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ocuments\"/>
    </mc:Choice>
  </mc:AlternateContent>
  <xr:revisionPtr revIDLastSave="0" documentId="8_{C65E1C73-564E-4DC6-BB91-A82442E1514C}" xr6:coauthVersionLast="32" xr6:coauthVersionMax="32" xr10:uidLastSave="{00000000-0000-0000-0000-000000000000}"/>
  <bookViews>
    <workbookView xWindow="0" yWindow="0" windowWidth="20490" windowHeight="7545"/>
  </bookViews>
  <sheets>
    <sheet name="russell 2000 (2)" sheetId="1" r:id="rId1"/>
  </sheets>
  <definedNames>
    <definedName name="_xlnm._FilterDatabase" localSheetId="0" hidden="1">'russell 2000 (2)'!$A$1:$U$1</definedName>
  </definedNames>
  <calcPr calcId="0"/>
</workbook>
</file>

<file path=xl/calcChain.xml><?xml version="1.0" encoding="utf-8"?>
<calcChain xmlns="http://schemas.openxmlformats.org/spreadsheetml/2006/main">
  <c r="F2" i="1" l="1"/>
  <c r="H2" i="1"/>
  <c r="J2" i="1"/>
  <c r="F3" i="1"/>
  <c r="H3" i="1"/>
  <c r="J3" i="1"/>
  <c r="F4" i="1"/>
  <c r="H4" i="1"/>
  <c r="J4" i="1"/>
  <c r="F5" i="1"/>
  <c r="H5" i="1"/>
  <c r="J5" i="1"/>
  <c r="F6" i="1"/>
  <c r="H6" i="1"/>
  <c r="J6" i="1"/>
  <c r="F7" i="1"/>
  <c r="H7" i="1"/>
  <c r="J7" i="1"/>
  <c r="F8" i="1"/>
  <c r="H8" i="1"/>
  <c r="J8" i="1"/>
  <c r="F9" i="1"/>
  <c r="H9" i="1"/>
  <c r="J9" i="1"/>
  <c r="F10" i="1"/>
  <c r="H10" i="1"/>
  <c r="J10" i="1"/>
  <c r="F11" i="1"/>
  <c r="H11" i="1"/>
  <c r="J11" i="1"/>
  <c r="F12" i="1"/>
  <c r="H12" i="1"/>
  <c r="J12" i="1"/>
  <c r="F13" i="1"/>
  <c r="H13" i="1"/>
  <c r="J13" i="1"/>
  <c r="F14" i="1"/>
  <c r="H14" i="1"/>
  <c r="J14" i="1"/>
  <c r="F15" i="1"/>
  <c r="H15" i="1"/>
  <c r="J15" i="1"/>
  <c r="F16" i="1"/>
  <c r="H16" i="1"/>
  <c r="J16" i="1"/>
  <c r="F17" i="1"/>
  <c r="H17" i="1"/>
  <c r="J17" i="1"/>
  <c r="F18" i="1"/>
  <c r="H18" i="1"/>
  <c r="J18" i="1"/>
  <c r="F19" i="1"/>
  <c r="H19" i="1"/>
  <c r="J19" i="1"/>
  <c r="F20" i="1"/>
  <c r="H20" i="1"/>
  <c r="J20" i="1"/>
  <c r="F21" i="1"/>
  <c r="H21" i="1"/>
  <c r="J21" i="1"/>
  <c r="F22" i="1"/>
  <c r="H22" i="1"/>
  <c r="J22" i="1"/>
  <c r="F23" i="1"/>
  <c r="H23" i="1"/>
  <c r="J23" i="1"/>
  <c r="F24" i="1"/>
  <c r="H24" i="1"/>
  <c r="J24" i="1"/>
  <c r="F25" i="1"/>
  <c r="H25" i="1"/>
  <c r="J25" i="1"/>
  <c r="F26" i="1"/>
  <c r="H26" i="1"/>
  <c r="J26" i="1"/>
  <c r="F27" i="1"/>
  <c r="H27" i="1"/>
  <c r="J27" i="1"/>
  <c r="F28" i="1"/>
  <c r="H28" i="1"/>
  <c r="J28" i="1"/>
  <c r="F29" i="1"/>
  <c r="H29" i="1"/>
  <c r="J29" i="1"/>
  <c r="F30" i="1"/>
  <c r="H30" i="1"/>
  <c r="J30" i="1"/>
  <c r="F31" i="1"/>
  <c r="H31" i="1"/>
  <c r="J31" i="1"/>
  <c r="F32" i="1"/>
  <c r="H32" i="1"/>
  <c r="J32" i="1"/>
  <c r="F33" i="1"/>
  <c r="H33" i="1"/>
  <c r="J33" i="1"/>
  <c r="F34" i="1"/>
  <c r="H34" i="1"/>
  <c r="J34" i="1"/>
  <c r="F35" i="1"/>
  <c r="H35" i="1"/>
  <c r="J35" i="1"/>
  <c r="F36" i="1"/>
  <c r="H36" i="1"/>
  <c r="J36" i="1"/>
  <c r="F37" i="1"/>
  <c r="H37" i="1"/>
  <c r="J37" i="1"/>
  <c r="F38" i="1"/>
  <c r="H38" i="1"/>
  <c r="J38" i="1"/>
  <c r="F39" i="1"/>
  <c r="H39" i="1"/>
  <c r="J39" i="1"/>
  <c r="F40" i="1"/>
  <c r="H40" i="1"/>
  <c r="J40" i="1"/>
  <c r="F41" i="1"/>
  <c r="H41" i="1"/>
  <c r="J41" i="1"/>
  <c r="F42" i="1"/>
  <c r="H42" i="1"/>
  <c r="J42" i="1"/>
  <c r="F43" i="1"/>
  <c r="H43" i="1"/>
  <c r="J43" i="1"/>
  <c r="F44" i="1"/>
  <c r="H44" i="1"/>
  <c r="J44" i="1"/>
  <c r="F45" i="1"/>
  <c r="H45" i="1"/>
  <c r="J45" i="1"/>
  <c r="F46" i="1"/>
  <c r="H46" i="1"/>
  <c r="J46" i="1"/>
  <c r="F47" i="1"/>
  <c r="H47" i="1"/>
  <c r="J47" i="1"/>
  <c r="F48" i="1"/>
  <c r="H48" i="1"/>
  <c r="J48" i="1"/>
  <c r="F49" i="1"/>
  <c r="H49" i="1"/>
  <c r="J49" i="1"/>
  <c r="F50" i="1"/>
  <c r="H50" i="1"/>
  <c r="J50" i="1"/>
  <c r="F51" i="1"/>
  <c r="H51" i="1"/>
  <c r="J51" i="1"/>
  <c r="F52" i="1"/>
  <c r="H52" i="1"/>
  <c r="J52" i="1"/>
  <c r="F53" i="1"/>
  <c r="H53" i="1"/>
  <c r="J53" i="1"/>
  <c r="F54" i="1"/>
  <c r="H54" i="1"/>
  <c r="J54" i="1"/>
  <c r="F55" i="1"/>
  <c r="H55" i="1"/>
  <c r="J55" i="1"/>
  <c r="F56" i="1"/>
  <c r="H56" i="1"/>
  <c r="J56" i="1"/>
  <c r="F57" i="1"/>
  <c r="H57" i="1"/>
  <c r="J57" i="1"/>
  <c r="F58" i="1"/>
  <c r="H58" i="1"/>
  <c r="J58" i="1"/>
  <c r="F59" i="1"/>
  <c r="H59" i="1"/>
  <c r="J59" i="1"/>
  <c r="F60" i="1"/>
  <c r="H60" i="1"/>
  <c r="J60" i="1"/>
  <c r="F61" i="1"/>
  <c r="H61" i="1"/>
  <c r="J61" i="1"/>
  <c r="F62" i="1"/>
  <c r="H62" i="1"/>
  <c r="J62" i="1"/>
  <c r="F63" i="1"/>
  <c r="H63" i="1"/>
  <c r="J63" i="1"/>
  <c r="F64" i="1"/>
  <c r="H64" i="1"/>
  <c r="J64" i="1"/>
  <c r="F65" i="1"/>
  <c r="H65" i="1"/>
  <c r="J65" i="1"/>
  <c r="F66" i="1"/>
  <c r="H66" i="1"/>
  <c r="J66" i="1"/>
  <c r="F67" i="1"/>
  <c r="H67" i="1"/>
  <c r="J67" i="1"/>
  <c r="F68" i="1"/>
  <c r="H68" i="1"/>
  <c r="J68" i="1"/>
  <c r="F69" i="1"/>
  <c r="H69" i="1"/>
  <c r="J69" i="1"/>
  <c r="F70" i="1"/>
  <c r="H70" i="1"/>
  <c r="J70" i="1"/>
  <c r="F71" i="1"/>
  <c r="H71" i="1"/>
  <c r="J71" i="1"/>
  <c r="F72" i="1"/>
  <c r="H72" i="1"/>
  <c r="J72" i="1"/>
  <c r="F73" i="1"/>
  <c r="H73" i="1"/>
  <c r="J73" i="1"/>
  <c r="F74" i="1"/>
  <c r="H74" i="1"/>
  <c r="J74" i="1"/>
  <c r="F75" i="1"/>
  <c r="H75" i="1"/>
  <c r="J75" i="1"/>
  <c r="F76" i="1"/>
  <c r="H76" i="1"/>
  <c r="J76" i="1"/>
  <c r="F77" i="1"/>
  <c r="H77" i="1"/>
  <c r="J77" i="1"/>
  <c r="F78" i="1"/>
  <c r="H78" i="1"/>
  <c r="J78" i="1"/>
  <c r="F79" i="1"/>
  <c r="H79" i="1"/>
  <c r="J79" i="1"/>
  <c r="F80" i="1"/>
  <c r="H80" i="1"/>
  <c r="J80" i="1"/>
  <c r="F81" i="1"/>
  <c r="H81" i="1"/>
  <c r="J81" i="1"/>
  <c r="F82" i="1"/>
  <c r="H82" i="1"/>
  <c r="J82" i="1"/>
  <c r="F83" i="1"/>
  <c r="H83" i="1"/>
  <c r="J83" i="1"/>
  <c r="F84" i="1"/>
  <c r="H84" i="1"/>
  <c r="J84" i="1"/>
  <c r="F85" i="1"/>
  <c r="H85" i="1"/>
  <c r="J85" i="1"/>
  <c r="F86" i="1"/>
  <c r="H86" i="1"/>
  <c r="J86" i="1"/>
  <c r="F87" i="1"/>
  <c r="H87" i="1"/>
  <c r="J87" i="1"/>
  <c r="F88" i="1"/>
  <c r="H88" i="1"/>
  <c r="J88" i="1"/>
  <c r="F89" i="1"/>
  <c r="H89" i="1"/>
  <c r="J89" i="1"/>
  <c r="F90" i="1"/>
  <c r="H90" i="1"/>
  <c r="J90" i="1"/>
  <c r="F91" i="1"/>
  <c r="H91" i="1"/>
  <c r="J91" i="1"/>
  <c r="F92" i="1"/>
  <c r="H92" i="1"/>
  <c r="J92" i="1"/>
  <c r="F93" i="1"/>
  <c r="H93" i="1"/>
  <c r="J93" i="1"/>
  <c r="F94" i="1"/>
  <c r="H94" i="1"/>
  <c r="J94" i="1"/>
  <c r="F95" i="1"/>
  <c r="H95" i="1"/>
  <c r="J95" i="1"/>
  <c r="F96" i="1"/>
  <c r="H96" i="1"/>
  <c r="J96" i="1"/>
  <c r="F97" i="1"/>
  <c r="H97" i="1"/>
  <c r="J97" i="1"/>
  <c r="F98" i="1"/>
  <c r="H98" i="1"/>
  <c r="J98" i="1"/>
  <c r="F99" i="1"/>
  <c r="H99" i="1"/>
  <c r="J99" i="1"/>
  <c r="F100" i="1"/>
  <c r="H100" i="1"/>
  <c r="J100" i="1"/>
  <c r="F101" i="1"/>
  <c r="H101" i="1"/>
  <c r="J101" i="1"/>
  <c r="F102" i="1"/>
  <c r="H102" i="1"/>
  <c r="J102" i="1"/>
  <c r="F103" i="1"/>
  <c r="H103" i="1"/>
  <c r="J103" i="1"/>
  <c r="F104" i="1"/>
  <c r="H104" i="1"/>
  <c r="J104" i="1"/>
  <c r="F105" i="1"/>
  <c r="H105" i="1"/>
  <c r="J105" i="1"/>
  <c r="F106" i="1"/>
  <c r="H106" i="1"/>
  <c r="J106" i="1"/>
  <c r="F107" i="1"/>
  <c r="H107" i="1"/>
  <c r="J107" i="1"/>
  <c r="F108" i="1"/>
  <c r="H108" i="1"/>
  <c r="J108" i="1"/>
  <c r="F109" i="1"/>
  <c r="H109" i="1"/>
  <c r="J109" i="1"/>
  <c r="F110" i="1"/>
  <c r="H110" i="1"/>
  <c r="J110" i="1"/>
  <c r="F111" i="1"/>
  <c r="H111" i="1"/>
  <c r="J111" i="1"/>
  <c r="F112" i="1"/>
  <c r="H112" i="1"/>
  <c r="J112" i="1"/>
  <c r="F113" i="1"/>
  <c r="H113" i="1"/>
  <c r="J113" i="1"/>
  <c r="F114" i="1"/>
  <c r="H114" i="1"/>
  <c r="J114" i="1"/>
  <c r="F115" i="1"/>
  <c r="H115" i="1"/>
  <c r="J115" i="1"/>
  <c r="F116" i="1"/>
  <c r="H116" i="1"/>
  <c r="J116" i="1"/>
  <c r="F117" i="1"/>
  <c r="H117" i="1"/>
  <c r="J117" i="1"/>
  <c r="F118" i="1"/>
  <c r="H118" i="1"/>
  <c r="J118" i="1"/>
  <c r="F119" i="1"/>
  <c r="H119" i="1"/>
  <c r="J119" i="1"/>
  <c r="F120" i="1"/>
  <c r="H120" i="1"/>
  <c r="J120" i="1"/>
  <c r="F121" i="1"/>
  <c r="H121" i="1"/>
  <c r="J121" i="1"/>
  <c r="F122" i="1"/>
  <c r="H122" i="1"/>
  <c r="J122" i="1"/>
  <c r="F123" i="1"/>
  <c r="H123" i="1"/>
  <c r="J123" i="1"/>
  <c r="F124" i="1"/>
  <c r="H124" i="1"/>
  <c r="J124" i="1"/>
  <c r="F125" i="1"/>
  <c r="H125" i="1"/>
  <c r="J125" i="1"/>
  <c r="F126" i="1"/>
  <c r="H126" i="1"/>
  <c r="J126" i="1"/>
  <c r="F127" i="1"/>
  <c r="H127" i="1"/>
  <c r="J127" i="1"/>
  <c r="F128" i="1"/>
  <c r="H128" i="1"/>
  <c r="J128" i="1"/>
  <c r="F129" i="1"/>
  <c r="H129" i="1"/>
  <c r="J129" i="1"/>
  <c r="F130" i="1"/>
  <c r="H130" i="1"/>
  <c r="J130" i="1"/>
  <c r="F131" i="1"/>
  <c r="H131" i="1"/>
  <c r="J131" i="1"/>
  <c r="F132" i="1"/>
  <c r="H132" i="1"/>
  <c r="J132" i="1"/>
  <c r="F133" i="1"/>
  <c r="H133" i="1"/>
  <c r="J133" i="1"/>
  <c r="F134" i="1"/>
  <c r="H134" i="1"/>
  <c r="J134" i="1"/>
  <c r="F135" i="1"/>
  <c r="H135" i="1"/>
  <c r="J135" i="1"/>
  <c r="F136" i="1"/>
  <c r="H136" i="1"/>
  <c r="J136" i="1"/>
  <c r="F137" i="1"/>
  <c r="H137" i="1"/>
  <c r="J137" i="1"/>
  <c r="F138" i="1"/>
  <c r="H138" i="1"/>
  <c r="J138" i="1"/>
  <c r="F139" i="1"/>
  <c r="H139" i="1"/>
  <c r="J139" i="1"/>
  <c r="F140" i="1"/>
  <c r="H140" i="1"/>
  <c r="J140" i="1"/>
  <c r="F141" i="1"/>
  <c r="H141" i="1"/>
  <c r="J141" i="1"/>
  <c r="F142" i="1"/>
  <c r="H142" i="1"/>
  <c r="J142" i="1"/>
  <c r="F143" i="1"/>
  <c r="H143" i="1"/>
  <c r="J143" i="1"/>
  <c r="F144" i="1"/>
  <c r="H144" i="1"/>
  <c r="J144" i="1"/>
  <c r="F145" i="1"/>
  <c r="H145" i="1"/>
  <c r="J145" i="1"/>
  <c r="F146" i="1"/>
  <c r="H146" i="1"/>
  <c r="J146" i="1"/>
  <c r="F147" i="1"/>
  <c r="H147" i="1"/>
  <c r="J147" i="1"/>
  <c r="F148" i="1"/>
  <c r="H148" i="1"/>
  <c r="J148" i="1"/>
  <c r="F149" i="1"/>
  <c r="H149" i="1"/>
  <c r="J149" i="1"/>
  <c r="F150" i="1"/>
  <c r="H150" i="1"/>
  <c r="J150" i="1"/>
  <c r="F151" i="1"/>
  <c r="H151" i="1"/>
  <c r="J151" i="1"/>
  <c r="F152" i="1"/>
  <c r="H152" i="1"/>
  <c r="J152" i="1"/>
  <c r="F153" i="1"/>
  <c r="H153" i="1"/>
  <c r="J153" i="1"/>
  <c r="F154" i="1"/>
  <c r="H154" i="1"/>
  <c r="J154" i="1"/>
  <c r="F155" i="1"/>
  <c r="H155" i="1"/>
  <c r="J155" i="1"/>
  <c r="F156" i="1"/>
  <c r="H156" i="1"/>
  <c r="J156" i="1"/>
  <c r="F157" i="1"/>
  <c r="H157" i="1"/>
  <c r="J157" i="1"/>
  <c r="F158" i="1"/>
  <c r="H158" i="1"/>
  <c r="J158" i="1"/>
  <c r="F159" i="1"/>
  <c r="H159" i="1"/>
  <c r="J159" i="1"/>
  <c r="F160" i="1"/>
  <c r="H160" i="1"/>
  <c r="J160" i="1"/>
  <c r="F161" i="1"/>
  <c r="H161" i="1"/>
  <c r="J161" i="1"/>
  <c r="F162" i="1"/>
  <c r="H162" i="1"/>
  <c r="J162" i="1"/>
  <c r="F163" i="1"/>
  <c r="H163" i="1"/>
  <c r="J163" i="1"/>
  <c r="F164" i="1"/>
  <c r="H164" i="1"/>
  <c r="J164" i="1"/>
  <c r="F165" i="1"/>
  <c r="H165" i="1"/>
  <c r="J165" i="1"/>
  <c r="F166" i="1"/>
  <c r="H166" i="1"/>
  <c r="J166" i="1"/>
  <c r="F167" i="1"/>
  <c r="H167" i="1"/>
  <c r="J167" i="1"/>
  <c r="F168" i="1"/>
  <c r="H168" i="1"/>
  <c r="J168" i="1"/>
  <c r="F169" i="1"/>
  <c r="H169" i="1"/>
  <c r="J169" i="1"/>
  <c r="F170" i="1"/>
  <c r="H170" i="1"/>
  <c r="J170" i="1"/>
  <c r="F171" i="1"/>
  <c r="H171" i="1"/>
  <c r="J171" i="1"/>
  <c r="F172" i="1"/>
  <c r="H172" i="1"/>
  <c r="J172" i="1"/>
  <c r="F173" i="1"/>
  <c r="H173" i="1"/>
  <c r="J173" i="1"/>
  <c r="F174" i="1"/>
  <c r="H174" i="1"/>
  <c r="J174" i="1"/>
  <c r="F175" i="1"/>
  <c r="H175" i="1"/>
  <c r="J175" i="1"/>
  <c r="F176" i="1"/>
  <c r="H176" i="1"/>
  <c r="J176" i="1"/>
  <c r="F177" i="1"/>
  <c r="H177" i="1"/>
  <c r="J177" i="1"/>
  <c r="F178" i="1"/>
  <c r="H178" i="1"/>
  <c r="J178" i="1"/>
  <c r="F179" i="1"/>
  <c r="H179" i="1"/>
  <c r="J179" i="1"/>
  <c r="F180" i="1"/>
  <c r="H180" i="1"/>
  <c r="J180" i="1"/>
  <c r="F181" i="1"/>
  <c r="H181" i="1"/>
  <c r="J181" i="1"/>
  <c r="F182" i="1"/>
  <c r="H182" i="1"/>
  <c r="J182" i="1"/>
  <c r="F183" i="1"/>
  <c r="H183" i="1"/>
  <c r="J183" i="1"/>
  <c r="F184" i="1"/>
  <c r="H184" i="1"/>
  <c r="J184" i="1"/>
  <c r="F185" i="1"/>
  <c r="H185" i="1"/>
  <c r="J185" i="1"/>
  <c r="F186" i="1"/>
  <c r="H186" i="1"/>
  <c r="J186" i="1"/>
  <c r="F187" i="1"/>
  <c r="H187" i="1"/>
  <c r="J187" i="1"/>
  <c r="F188" i="1"/>
  <c r="H188" i="1"/>
  <c r="J188" i="1"/>
  <c r="F189" i="1"/>
  <c r="H189" i="1"/>
  <c r="J189" i="1"/>
  <c r="F190" i="1"/>
  <c r="H190" i="1"/>
  <c r="J190" i="1"/>
  <c r="F191" i="1"/>
  <c r="H191" i="1"/>
  <c r="J191" i="1"/>
  <c r="F192" i="1"/>
  <c r="H192" i="1"/>
  <c r="J192" i="1"/>
  <c r="F193" i="1"/>
  <c r="H193" i="1"/>
  <c r="J193" i="1"/>
  <c r="F194" i="1"/>
  <c r="H194" i="1"/>
  <c r="J194" i="1"/>
  <c r="F195" i="1"/>
  <c r="H195" i="1"/>
  <c r="J195" i="1"/>
  <c r="F196" i="1"/>
  <c r="H196" i="1"/>
  <c r="J196" i="1"/>
  <c r="F197" i="1"/>
  <c r="H197" i="1"/>
  <c r="J197" i="1"/>
  <c r="F198" i="1"/>
  <c r="H198" i="1"/>
  <c r="J198" i="1"/>
  <c r="F199" i="1"/>
  <c r="H199" i="1"/>
  <c r="J199" i="1"/>
  <c r="F200" i="1"/>
  <c r="H200" i="1"/>
  <c r="J200" i="1"/>
  <c r="F201" i="1"/>
  <c r="H201" i="1"/>
  <c r="J201" i="1"/>
  <c r="F202" i="1"/>
  <c r="H202" i="1"/>
  <c r="J202" i="1"/>
  <c r="F203" i="1"/>
  <c r="H203" i="1"/>
  <c r="J203" i="1"/>
  <c r="F204" i="1"/>
  <c r="H204" i="1"/>
  <c r="J204" i="1"/>
  <c r="F205" i="1"/>
  <c r="H205" i="1"/>
  <c r="J205" i="1"/>
  <c r="F206" i="1"/>
  <c r="H206" i="1"/>
  <c r="J206" i="1"/>
  <c r="F207" i="1"/>
  <c r="H207" i="1"/>
  <c r="J207" i="1"/>
  <c r="F208" i="1"/>
  <c r="H208" i="1"/>
  <c r="J208" i="1"/>
  <c r="F209" i="1"/>
  <c r="H209" i="1"/>
  <c r="J209" i="1"/>
  <c r="F210" i="1"/>
  <c r="H210" i="1"/>
  <c r="J210" i="1"/>
  <c r="F211" i="1"/>
  <c r="H211" i="1"/>
  <c r="J211" i="1"/>
  <c r="F212" i="1"/>
  <c r="H212" i="1"/>
  <c r="J212" i="1"/>
  <c r="F213" i="1"/>
  <c r="H213" i="1"/>
  <c r="J213" i="1"/>
  <c r="F214" i="1"/>
  <c r="H214" i="1"/>
  <c r="J214" i="1"/>
  <c r="F215" i="1"/>
  <c r="H215" i="1"/>
  <c r="J215" i="1"/>
  <c r="F216" i="1"/>
  <c r="H216" i="1"/>
  <c r="J216" i="1"/>
  <c r="F217" i="1"/>
  <c r="H217" i="1"/>
  <c r="J217" i="1"/>
  <c r="F218" i="1"/>
  <c r="H218" i="1"/>
  <c r="J218" i="1"/>
  <c r="F219" i="1"/>
  <c r="H219" i="1"/>
  <c r="J219" i="1"/>
  <c r="F220" i="1"/>
  <c r="H220" i="1"/>
  <c r="J220" i="1"/>
  <c r="F221" i="1"/>
  <c r="H221" i="1"/>
  <c r="J221" i="1"/>
  <c r="F222" i="1"/>
  <c r="H222" i="1"/>
  <c r="J222" i="1"/>
  <c r="F223" i="1"/>
  <c r="H223" i="1"/>
  <c r="J223" i="1"/>
  <c r="F224" i="1"/>
  <c r="H224" i="1"/>
  <c r="J224" i="1"/>
  <c r="F225" i="1"/>
  <c r="H225" i="1"/>
  <c r="J225" i="1"/>
  <c r="F226" i="1"/>
  <c r="H226" i="1"/>
  <c r="J226" i="1"/>
  <c r="F227" i="1"/>
  <c r="H227" i="1"/>
  <c r="J227" i="1"/>
  <c r="F228" i="1"/>
  <c r="H228" i="1"/>
  <c r="J228" i="1"/>
  <c r="F229" i="1"/>
  <c r="H229" i="1"/>
  <c r="J229" i="1"/>
  <c r="F230" i="1"/>
  <c r="H230" i="1"/>
  <c r="J230" i="1"/>
  <c r="F231" i="1"/>
  <c r="H231" i="1"/>
  <c r="J231" i="1"/>
  <c r="F232" i="1"/>
  <c r="H232" i="1"/>
  <c r="J232" i="1"/>
  <c r="F233" i="1"/>
  <c r="H233" i="1"/>
  <c r="J233" i="1"/>
  <c r="F234" i="1"/>
  <c r="H234" i="1"/>
  <c r="J234" i="1"/>
  <c r="F235" i="1"/>
  <c r="H235" i="1"/>
  <c r="J235" i="1"/>
  <c r="F236" i="1"/>
  <c r="H236" i="1"/>
  <c r="J236" i="1"/>
  <c r="F237" i="1"/>
  <c r="H237" i="1"/>
  <c r="J237" i="1"/>
  <c r="F238" i="1"/>
  <c r="H238" i="1"/>
  <c r="J238" i="1"/>
  <c r="F239" i="1"/>
  <c r="H239" i="1"/>
  <c r="J239" i="1"/>
  <c r="F240" i="1"/>
  <c r="H240" i="1"/>
  <c r="J240" i="1"/>
  <c r="F241" i="1"/>
  <c r="H241" i="1"/>
  <c r="J241" i="1"/>
  <c r="F242" i="1"/>
  <c r="H242" i="1"/>
  <c r="J242" i="1"/>
  <c r="F243" i="1"/>
  <c r="H243" i="1"/>
  <c r="J243" i="1"/>
  <c r="F244" i="1"/>
  <c r="H244" i="1"/>
  <c r="J244" i="1"/>
  <c r="F245" i="1"/>
  <c r="H245" i="1"/>
  <c r="J245" i="1"/>
  <c r="F246" i="1"/>
  <c r="H246" i="1"/>
  <c r="J246" i="1"/>
  <c r="F247" i="1"/>
  <c r="H247" i="1"/>
  <c r="J247" i="1"/>
  <c r="F248" i="1"/>
  <c r="H248" i="1"/>
  <c r="J248" i="1"/>
  <c r="F249" i="1"/>
  <c r="H249" i="1"/>
  <c r="J249" i="1"/>
  <c r="F250" i="1"/>
  <c r="H250" i="1"/>
  <c r="J250" i="1"/>
  <c r="F251" i="1"/>
  <c r="H251" i="1"/>
  <c r="J251" i="1"/>
  <c r="F252" i="1"/>
  <c r="H252" i="1"/>
  <c r="J252" i="1"/>
  <c r="F253" i="1"/>
  <c r="H253" i="1"/>
  <c r="J253" i="1"/>
  <c r="F254" i="1"/>
  <c r="H254" i="1"/>
  <c r="J254" i="1"/>
  <c r="F255" i="1"/>
  <c r="H255" i="1"/>
  <c r="J255" i="1"/>
  <c r="F256" i="1"/>
  <c r="H256" i="1"/>
  <c r="J256" i="1"/>
  <c r="F257" i="1"/>
  <c r="H257" i="1"/>
  <c r="J257" i="1"/>
  <c r="F258" i="1"/>
  <c r="H258" i="1"/>
  <c r="J258" i="1"/>
  <c r="F259" i="1"/>
  <c r="H259" i="1"/>
  <c r="J259" i="1"/>
  <c r="F260" i="1"/>
  <c r="H260" i="1"/>
  <c r="J260" i="1"/>
  <c r="F261" i="1"/>
  <c r="H261" i="1"/>
  <c r="J261" i="1"/>
  <c r="F262" i="1"/>
  <c r="H262" i="1"/>
  <c r="J262" i="1"/>
  <c r="F263" i="1"/>
  <c r="H263" i="1"/>
  <c r="J263" i="1"/>
  <c r="F264" i="1"/>
  <c r="H264" i="1"/>
  <c r="J264" i="1"/>
  <c r="F265" i="1"/>
  <c r="H265" i="1"/>
  <c r="J265" i="1"/>
  <c r="F266" i="1"/>
  <c r="H266" i="1"/>
  <c r="J266" i="1"/>
  <c r="F267" i="1"/>
  <c r="H267" i="1"/>
  <c r="J267" i="1"/>
  <c r="F268" i="1"/>
  <c r="H268" i="1"/>
  <c r="J268" i="1"/>
  <c r="F269" i="1"/>
  <c r="H269" i="1"/>
  <c r="J269" i="1"/>
  <c r="F270" i="1"/>
  <c r="H270" i="1"/>
  <c r="J270" i="1"/>
  <c r="F271" i="1"/>
  <c r="H271" i="1"/>
  <c r="J271" i="1"/>
  <c r="F272" i="1"/>
  <c r="H272" i="1"/>
  <c r="J272" i="1"/>
  <c r="F273" i="1"/>
  <c r="H273" i="1"/>
  <c r="J273" i="1"/>
  <c r="F274" i="1"/>
  <c r="H274" i="1"/>
  <c r="J274" i="1"/>
  <c r="F275" i="1"/>
  <c r="H275" i="1"/>
  <c r="J275" i="1"/>
  <c r="F276" i="1"/>
  <c r="H276" i="1"/>
  <c r="J276" i="1"/>
  <c r="F277" i="1"/>
  <c r="H277" i="1"/>
  <c r="J277" i="1"/>
  <c r="F278" i="1"/>
  <c r="H278" i="1"/>
  <c r="J278" i="1"/>
  <c r="F279" i="1"/>
  <c r="H279" i="1"/>
  <c r="J279" i="1"/>
  <c r="F280" i="1"/>
  <c r="H280" i="1"/>
  <c r="J280" i="1"/>
  <c r="F281" i="1"/>
  <c r="H281" i="1"/>
  <c r="J281" i="1"/>
  <c r="F282" i="1"/>
  <c r="H282" i="1"/>
  <c r="J282" i="1"/>
  <c r="F283" i="1"/>
  <c r="H283" i="1"/>
  <c r="J283" i="1"/>
  <c r="F284" i="1"/>
  <c r="H284" i="1"/>
  <c r="J284" i="1"/>
  <c r="F285" i="1"/>
  <c r="H285" i="1"/>
  <c r="J285" i="1"/>
  <c r="F286" i="1"/>
  <c r="H286" i="1"/>
  <c r="J286" i="1"/>
  <c r="F287" i="1"/>
  <c r="H287" i="1"/>
  <c r="J287" i="1"/>
  <c r="F288" i="1"/>
  <c r="H288" i="1"/>
  <c r="J288" i="1"/>
  <c r="F289" i="1"/>
  <c r="H289" i="1"/>
  <c r="J289" i="1"/>
  <c r="F290" i="1"/>
  <c r="H290" i="1"/>
  <c r="J290" i="1"/>
  <c r="F291" i="1"/>
  <c r="H291" i="1"/>
  <c r="J291" i="1"/>
  <c r="F292" i="1"/>
  <c r="H292" i="1"/>
  <c r="J292" i="1"/>
  <c r="F293" i="1"/>
  <c r="H293" i="1"/>
  <c r="J293" i="1"/>
  <c r="F294" i="1"/>
  <c r="H294" i="1"/>
  <c r="J294" i="1"/>
  <c r="F295" i="1"/>
  <c r="H295" i="1"/>
  <c r="J295" i="1"/>
  <c r="F296" i="1"/>
  <c r="H296" i="1"/>
  <c r="J296" i="1"/>
  <c r="F297" i="1"/>
  <c r="H297" i="1"/>
  <c r="J297" i="1"/>
  <c r="F298" i="1"/>
  <c r="H298" i="1"/>
  <c r="J298" i="1"/>
  <c r="F299" i="1"/>
  <c r="H299" i="1"/>
  <c r="J299" i="1"/>
  <c r="F300" i="1"/>
  <c r="H300" i="1"/>
  <c r="J300" i="1"/>
  <c r="F301" i="1"/>
  <c r="H301" i="1"/>
  <c r="J301" i="1"/>
  <c r="F302" i="1"/>
  <c r="H302" i="1"/>
  <c r="J302" i="1"/>
  <c r="F303" i="1"/>
  <c r="H303" i="1"/>
  <c r="J303" i="1"/>
  <c r="F304" i="1"/>
  <c r="H304" i="1"/>
  <c r="J304" i="1"/>
  <c r="F305" i="1"/>
  <c r="H305" i="1"/>
  <c r="J305" i="1"/>
  <c r="F306" i="1"/>
  <c r="H306" i="1"/>
  <c r="J306" i="1"/>
  <c r="F307" i="1"/>
  <c r="H307" i="1"/>
  <c r="J307" i="1"/>
  <c r="F308" i="1"/>
  <c r="H308" i="1"/>
  <c r="J308" i="1"/>
  <c r="F309" i="1"/>
  <c r="H309" i="1"/>
  <c r="J309" i="1"/>
  <c r="F310" i="1"/>
  <c r="H310" i="1"/>
  <c r="J310" i="1"/>
  <c r="F311" i="1"/>
  <c r="H311" i="1"/>
  <c r="J311" i="1"/>
  <c r="F312" i="1"/>
  <c r="H312" i="1"/>
  <c r="J312" i="1"/>
  <c r="F313" i="1"/>
  <c r="H313" i="1"/>
  <c r="J313" i="1"/>
  <c r="F314" i="1"/>
  <c r="H314" i="1"/>
  <c r="J314" i="1"/>
  <c r="F315" i="1"/>
  <c r="H315" i="1"/>
  <c r="J315" i="1"/>
  <c r="F316" i="1"/>
  <c r="H316" i="1"/>
  <c r="J316" i="1"/>
  <c r="F317" i="1"/>
  <c r="H317" i="1"/>
  <c r="J317" i="1"/>
  <c r="F318" i="1"/>
  <c r="H318" i="1"/>
  <c r="J318" i="1"/>
  <c r="F319" i="1"/>
  <c r="H319" i="1"/>
  <c r="J319" i="1"/>
  <c r="F320" i="1"/>
  <c r="H320" i="1"/>
  <c r="J320" i="1"/>
  <c r="F321" i="1"/>
  <c r="H321" i="1"/>
  <c r="J321" i="1"/>
  <c r="F322" i="1"/>
  <c r="H322" i="1"/>
  <c r="J322" i="1"/>
  <c r="F323" i="1"/>
  <c r="H323" i="1"/>
  <c r="J323" i="1"/>
  <c r="F324" i="1"/>
  <c r="H324" i="1"/>
  <c r="J324" i="1"/>
  <c r="F325" i="1"/>
  <c r="H325" i="1"/>
  <c r="J325" i="1"/>
  <c r="F326" i="1"/>
  <c r="H326" i="1"/>
  <c r="J326" i="1"/>
  <c r="F327" i="1"/>
  <c r="H327" i="1"/>
  <c r="J327" i="1"/>
  <c r="F328" i="1"/>
  <c r="H328" i="1"/>
  <c r="J328" i="1"/>
  <c r="F329" i="1"/>
  <c r="H329" i="1"/>
  <c r="J329" i="1"/>
  <c r="F330" i="1"/>
  <c r="H330" i="1"/>
  <c r="J330" i="1"/>
  <c r="F331" i="1"/>
  <c r="H331" i="1"/>
  <c r="J331" i="1"/>
  <c r="F332" i="1"/>
  <c r="H332" i="1"/>
  <c r="J332" i="1"/>
  <c r="F333" i="1"/>
  <c r="H333" i="1"/>
  <c r="J333" i="1"/>
  <c r="F334" i="1"/>
  <c r="H334" i="1"/>
  <c r="J334" i="1"/>
  <c r="F335" i="1"/>
  <c r="H335" i="1"/>
  <c r="J335" i="1"/>
  <c r="F336" i="1"/>
  <c r="H336" i="1"/>
  <c r="J336" i="1"/>
  <c r="F337" i="1"/>
  <c r="H337" i="1"/>
  <c r="J337" i="1"/>
  <c r="F338" i="1"/>
  <c r="H338" i="1"/>
  <c r="J338" i="1"/>
  <c r="F339" i="1"/>
  <c r="H339" i="1"/>
  <c r="J339" i="1"/>
  <c r="F340" i="1"/>
  <c r="H340" i="1"/>
  <c r="J340" i="1"/>
  <c r="F341" i="1"/>
  <c r="H341" i="1"/>
  <c r="J341" i="1"/>
  <c r="F342" i="1"/>
  <c r="H342" i="1"/>
  <c r="J342" i="1"/>
  <c r="F343" i="1"/>
  <c r="H343" i="1"/>
  <c r="J343" i="1"/>
  <c r="F344" i="1"/>
  <c r="H344" i="1"/>
  <c r="J344" i="1"/>
  <c r="F345" i="1"/>
  <c r="H345" i="1"/>
  <c r="J345" i="1"/>
  <c r="F346" i="1"/>
  <c r="H346" i="1"/>
  <c r="J346" i="1"/>
  <c r="F347" i="1"/>
  <c r="H347" i="1"/>
  <c r="J347" i="1"/>
  <c r="F348" i="1"/>
  <c r="H348" i="1"/>
  <c r="J348" i="1"/>
  <c r="F349" i="1"/>
  <c r="H349" i="1"/>
  <c r="J349" i="1"/>
  <c r="F350" i="1"/>
  <c r="H350" i="1"/>
  <c r="J350" i="1"/>
  <c r="F351" i="1"/>
  <c r="H351" i="1"/>
  <c r="J351" i="1"/>
  <c r="F352" i="1"/>
  <c r="H352" i="1"/>
  <c r="J352" i="1"/>
  <c r="F353" i="1"/>
  <c r="H353" i="1"/>
  <c r="J353" i="1"/>
  <c r="F354" i="1"/>
  <c r="H354" i="1"/>
  <c r="J354" i="1"/>
  <c r="F355" i="1"/>
  <c r="H355" i="1"/>
  <c r="J355" i="1"/>
  <c r="F356" i="1"/>
  <c r="H356" i="1"/>
  <c r="J356" i="1"/>
  <c r="F357" i="1"/>
  <c r="H357" i="1"/>
  <c r="J357" i="1"/>
  <c r="F358" i="1"/>
  <c r="H358" i="1"/>
  <c r="J358" i="1"/>
  <c r="F359" i="1"/>
  <c r="H359" i="1"/>
  <c r="J359" i="1"/>
  <c r="F360" i="1"/>
  <c r="H360" i="1"/>
  <c r="J360" i="1"/>
  <c r="F361" i="1"/>
  <c r="H361" i="1"/>
  <c r="J361" i="1"/>
  <c r="F362" i="1"/>
  <c r="H362" i="1"/>
  <c r="J362" i="1"/>
  <c r="F363" i="1"/>
  <c r="H363" i="1"/>
  <c r="J363" i="1"/>
  <c r="F364" i="1"/>
  <c r="H364" i="1"/>
  <c r="J364" i="1"/>
  <c r="F365" i="1"/>
  <c r="H365" i="1"/>
  <c r="J365" i="1"/>
  <c r="F366" i="1"/>
  <c r="H366" i="1"/>
  <c r="J366" i="1"/>
  <c r="F367" i="1"/>
  <c r="H367" i="1"/>
  <c r="J367" i="1"/>
  <c r="F368" i="1"/>
  <c r="H368" i="1"/>
  <c r="J368" i="1"/>
  <c r="F369" i="1"/>
  <c r="H369" i="1"/>
  <c r="J369" i="1"/>
  <c r="F370" i="1"/>
  <c r="H370" i="1"/>
  <c r="J370" i="1"/>
  <c r="F371" i="1"/>
  <c r="H371" i="1"/>
  <c r="J371" i="1"/>
  <c r="F372" i="1"/>
  <c r="H372" i="1"/>
  <c r="J372" i="1"/>
  <c r="F373" i="1"/>
  <c r="H373" i="1"/>
  <c r="J373" i="1"/>
  <c r="F374" i="1"/>
  <c r="H374" i="1"/>
  <c r="J374" i="1"/>
  <c r="F375" i="1"/>
  <c r="H375" i="1"/>
  <c r="J375" i="1"/>
  <c r="F376" i="1"/>
  <c r="H376" i="1"/>
  <c r="J376" i="1"/>
  <c r="F377" i="1"/>
  <c r="H377" i="1"/>
  <c r="J377" i="1"/>
  <c r="F378" i="1"/>
  <c r="H378" i="1"/>
  <c r="J378" i="1"/>
  <c r="F379" i="1"/>
  <c r="H379" i="1"/>
  <c r="J379" i="1"/>
  <c r="F380" i="1"/>
  <c r="H380" i="1"/>
  <c r="J380" i="1"/>
  <c r="F381" i="1"/>
  <c r="H381" i="1"/>
  <c r="J381" i="1"/>
  <c r="F382" i="1"/>
  <c r="H382" i="1"/>
  <c r="J382" i="1"/>
  <c r="F383" i="1"/>
  <c r="H383" i="1"/>
  <c r="J383" i="1"/>
  <c r="F384" i="1"/>
  <c r="H384" i="1"/>
  <c r="J384" i="1"/>
  <c r="F385" i="1"/>
  <c r="H385" i="1"/>
  <c r="J385" i="1"/>
  <c r="F386" i="1"/>
  <c r="H386" i="1"/>
  <c r="J386" i="1"/>
  <c r="F387" i="1"/>
  <c r="H387" i="1"/>
  <c r="J387" i="1"/>
  <c r="F388" i="1"/>
  <c r="H388" i="1"/>
  <c r="J388" i="1"/>
  <c r="F389" i="1"/>
  <c r="H389" i="1"/>
  <c r="J389" i="1"/>
  <c r="F390" i="1"/>
  <c r="H390" i="1"/>
  <c r="J390" i="1"/>
  <c r="F391" i="1"/>
  <c r="H391" i="1"/>
  <c r="J391" i="1"/>
  <c r="F392" i="1"/>
  <c r="H392" i="1"/>
  <c r="J392" i="1"/>
  <c r="F393" i="1"/>
  <c r="H393" i="1"/>
  <c r="J393" i="1"/>
  <c r="F394" i="1"/>
  <c r="H394" i="1"/>
  <c r="J394" i="1"/>
  <c r="F395" i="1"/>
  <c r="H395" i="1"/>
  <c r="J395" i="1"/>
  <c r="F396" i="1"/>
  <c r="H396" i="1"/>
  <c r="J396" i="1"/>
  <c r="F397" i="1"/>
  <c r="H397" i="1"/>
  <c r="J397" i="1"/>
  <c r="F398" i="1"/>
  <c r="H398" i="1"/>
  <c r="J398" i="1"/>
  <c r="F399" i="1"/>
  <c r="H399" i="1"/>
  <c r="J399" i="1"/>
  <c r="F400" i="1"/>
  <c r="H400" i="1"/>
  <c r="J400" i="1"/>
  <c r="F401" i="1"/>
  <c r="H401" i="1"/>
  <c r="J401" i="1"/>
  <c r="F402" i="1"/>
  <c r="H402" i="1"/>
  <c r="J402" i="1"/>
  <c r="F403" i="1"/>
  <c r="H403" i="1"/>
  <c r="J403" i="1"/>
  <c r="F404" i="1"/>
  <c r="H404" i="1"/>
  <c r="J404" i="1"/>
  <c r="F405" i="1"/>
  <c r="H405" i="1"/>
  <c r="J405" i="1"/>
  <c r="F406" i="1"/>
  <c r="H406" i="1"/>
  <c r="J406" i="1"/>
  <c r="F407" i="1"/>
  <c r="H407" i="1"/>
  <c r="J407" i="1"/>
  <c r="F408" i="1"/>
  <c r="H408" i="1"/>
  <c r="J408" i="1"/>
  <c r="F409" i="1"/>
  <c r="H409" i="1"/>
  <c r="J409" i="1"/>
  <c r="F410" i="1"/>
  <c r="H410" i="1"/>
  <c r="J410" i="1"/>
  <c r="F411" i="1"/>
  <c r="H411" i="1"/>
  <c r="J411" i="1"/>
  <c r="F412" i="1"/>
  <c r="H412" i="1"/>
  <c r="J412" i="1"/>
  <c r="F413" i="1"/>
  <c r="H413" i="1"/>
  <c r="J413" i="1"/>
  <c r="F414" i="1"/>
  <c r="H414" i="1"/>
  <c r="J414" i="1"/>
  <c r="F415" i="1"/>
  <c r="H415" i="1"/>
  <c r="J415" i="1"/>
  <c r="F416" i="1"/>
  <c r="H416" i="1"/>
  <c r="J416" i="1"/>
  <c r="F417" i="1"/>
  <c r="H417" i="1"/>
  <c r="J417" i="1"/>
  <c r="F418" i="1"/>
  <c r="H418" i="1"/>
  <c r="J418" i="1"/>
  <c r="F419" i="1"/>
  <c r="H419" i="1"/>
  <c r="J419" i="1"/>
  <c r="F420" i="1"/>
  <c r="H420" i="1"/>
  <c r="J420" i="1"/>
  <c r="F421" i="1"/>
  <c r="H421" i="1"/>
  <c r="J421" i="1"/>
  <c r="F422" i="1"/>
  <c r="H422" i="1"/>
  <c r="J422" i="1"/>
  <c r="F423" i="1"/>
  <c r="H423" i="1"/>
  <c r="J423" i="1"/>
  <c r="F424" i="1"/>
  <c r="H424" i="1"/>
  <c r="J424" i="1"/>
  <c r="F425" i="1"/>
  <c r="H425" i="1"/>
  <c r="J425" i="1"/>
  <c r="F426" i="1"/>
  <c r="H426" i="1"/>
  <c r="J426" i="1"/>
  <c r="F427" i="1"/>
  <c r="H427" i="1"/>
  <c r="J427" i="1"/>
  <c r="F428" i="1"/>
  <c r="H428" i="1"/>
  <c r="J428" i="1"/>
  <c r="F429" i="1"/>
  <c r="H429" i="1"/>
  <c r="J429" i="1"/>
  <c r="F430" i="1"/>
  <c r="H430" i="1"/>
  <c r="J430" i="1"/>
  <c r="F431" i="1"/>
  <c r="H431" i="1"/>
  <c r="J431" i="1"/>
  <c r="F432" i="1"/>
  <c r="H432" i="1"/>
  <c r="J432" i="1"/>
  <c r="F433" i="1"/>
  <c r="H433" i="1"/>
  <c r="J433" i="1"/>
  <c r="F434" i="1"/>
  <c r="H434" i="1"/>
  <c r="J434" i="1"/>
  <c r="F435" i="1"/>
  <c r="H435" i="1"/>
  <c r="J435" i="1"/>
  <c r="F436" i="1"/>
  <c r="H436" i="1"/>
  <c r="J436" i="1"/>
  <c r="F437" i="1"/>
  <c r="H437" i="1"/>
  <c r="J437" i="1"/>
  <c r="F438" i="1"/>
  <c r="H438" i="1"/>
  <c r="J438" i="1"/>
  <c r="F439" i="1"/>
  <c r="H439" i="1"/>
  <c r="J439" i="1"/>
  <c r="F440" i="1"/>
  <c r="H440" i="1"/>
  <c r="J440" i="1"/>
  <c r="F441" i="1"/>
  <c r="H441" i="1"/>
  <c r="J441" i="1"/>
  <c r="F442" i="1"/>
  <c r="H442" i="1"/>
  <c r="J442" i="1"/>
  <c r="F443" i="1"/>
  <c r="H443" i="1"/>
  <c r="J443" i="1"/>
  <c r="F444" i="1"/>
  <c r="H444" i="1"/>
  <c r="J444" i="1"/>
  <c r="F445" i="1"/>
  <c r="H445" i="1"/>
  <c r="J445" i="1"/>
  <c r="F446" i="1"/>
  <c r="H446" i="1"/>
  <c r="J446" i="1"/>
  <c r="F447" i="1"/>
  <c r="H447" i="1"/>
  <c r="J447" i="1"/>
  <c r="F448" i="1"/>
  <c r="H448" i="1"/>
  <c r="J448" i="1"/>
  <c r="F449" i="1"/>
  <c r="H449" i="1"/>
  <c r="J449" i="1"/>
  <c r="F450" i="1"/>
  <c r="H450" i="1"/>
  <c r="J450" i="1"/>
  <c r="F451" i="1"/>
  <c r="H451" i="1"/>
  <c r="J451" i="1"/>
  <c r="F452" i="1"/>
  <c r="H452" i="1"/>
  <c r="J452" i="1"/>
  <c r="F453" i="1"/>
  <c r="H453" i="1"/>
  <c r="J453" i="1"/>
  <c r="F454" i="1"/>
  <c r="H454" i="1"/>
  <c r="J454" i="1"/>
  <c r="F455" i="1"/>
  <c r="H455" i="1"/>
  <c r="J455" i="1"/>
  <c r="F456" i="1"/>
  <c r="H456" i="1"/>
  <c r="J456" i="1"/>
  <c r="F457" i="1"/>
  <c r="H457" i="1"/>
  <c r="J457" i="1"/>
  <c r="F458" i="1"/>
  <c r="H458" i="1"/>
  <c r="J458" i="1"/>
  <c r="F459" i="1"/>
  <c r="H459" i="1"/>
  <c r="J459" i="1"/>
  <c r="F460" i="1"/>
  <c r="H460" i="1"/>
  <c r="J460" i="1"/>
  <c r="F461" i="1"/>
  <c r="H461" i="1"/>
  <c r="J461" i="1"/>
  <c r="F462" i="1"/>
  <c r="H462" i="1"/>
  <c r="J462" i="1"/>
  <c r="F463" i="1"/>
  <c r="H463" i="1"/>
  <c r="J463" i="1"/>
  <c r="F464" i="1"/>
  <c r="H464" i="1"/>
  <c r="J464" i="1"/>
  <c r="F465" i="1"/>
  <c r="H465" i="1"/>
  <c r="J465" i="1"/>
  <c r="F466" i="1"/>
  <c r="H466" i="1"/>
  <c r="J466" i="1"/>
  <c r="F467" i="1"/>
  <c r="H467" i="1"/>
  <c r="J467" i="1"/>
  <c r="F468" i="1"/>
  <c r="H468" i="1"/>
  <c r="J468" i="1"/>
  <c r="F469" i="1"/>
  <c r="H469" i="1"/>
  <c r="J469" i="1"/>
  <c r="F470" i="1"/>
  <c r="H470" i="1"/>
  <c r="J470" i="1"/>
  <c r="F471" i="1"/>
  <c r="H471" i="1"/>
  <c r="J471" i="1"/>
  <c r="F472" i="1"/>
  <c r="H472" i="1"/>
  <c r="J472" i="1"/>
  <c r="F473" i="1"/>
  <c r="H473" i="1"/>
  <c r="J473" i="1"/>
  <c r="F474" i="1"/>
  <c r="H474" i="1"/>
  <c r="J474" i="1"/>
  <c r="F475" i="1"/>
  <c r="H475" i="1"/>
  <c r="J475" i="1"/>
  <c r="F476" i="1"/>
  <c r="H476" i="1"/>
  <c r="J476" i="1"/>
  <c r="F477" i="1"/>
  <c r="H477" i="1"/>
  <c r="J477" i="1"/>
  <c r="F478" i="1"/>
  <c r="H478" i="1"/>
  <c r="J478" i="1"/>
  <c r="F479" i="1"/>
  <c r="H479" i="1"/>
  <c r="J479" i="1"/>
  <c r="F480" i="1"/>
  <c r="H480" i="1"/>
  <c r="J480" i="1"/>
  <c r="F481" i="1"/>
  <c r="H481" i="1"/>
  <c r="J481" i="1"/>
  <c r="F482" i="1"/>
  <c r="H482" i="1"/>
  <c r="J482" i="1"/>
  <c r="F483" i="1"/>
  <c r="H483" i="1"/>
  <c r="J483" i="1"/>
  <c r="F484" i="1"/>
  <c r="H484" i="1"/>
  <c r="J484" i="1"/>
  <c r="F485" i="1"/>
  <c r="H485" i="1"/>
  <c r="J485" i="1"/>
  <c r="F486" i="1"/>
  <c r="H486" i="1"/>
  <c r="J486" i="1"/>
  <c r="F487" i="1"/>
  <c r="H487" i="1"/>
  <c r="J487" i="1"/>
  <c r="F488" i="1"/>
  <c r="H488" i="1"/>
  <c r="J488" i="1"/>
  <c r="F489" i="1"/>
  <c r="H489" i="1"/>
  <c r="J489" i="1"/>
  <c r="F490" i="1"/>
  <c r="H490" i="1"/>
  <c r="J490" i="1"/>
  <c r="F491" i="1"/>
  <c r="H491" i="1"/>
  <c r="J491" i="1"/>
  <c r="F492" i="1"/>
  <c r="H492" i="1"/>
  <c r="J492" i="1"/>
  <c r="F493" i="1"/>
  <c r="H493" i="1"/>
  <c r="J493" i="1"/>
  <c r="F494" i="1"/>
  <c r="H494" i="1"/>
  <c r="J494" i="1"/>
  <c r="F495" i="1"/>
  <c r="H495" i="1"/>
  <c r="J495" i="1"/>
  <c r="F496" i="1"/>
  <c r="H496" i="1"/>
  <c r="J496" i="1"/>
  <c r="F497" i="1"/>
  <c r="H497" i="1"/>
  <c r="J497" i="1"/>
  <c r="F498" i="1"/>
  <c r="H498" i="1"/>
  <c r="J498" i="1"/>
  <c r="F499" i="1"/>
  <c r="H499" i="1"/>
  <c r="J499" i="1"/>
  <c r="F500" i="1"/>
  <c r="H500" i="1"/>
  <c r="J500" i="1"/>
  <c r="F501" i="1"/>
  <c r="H501" i="1"/>
  <c r="J501" i="1"/>
  <c r="F502" i="1"/>
  <c r="H502" i="1"/>
  <c r="J502" i="1"/>
  <c r="F503" i="1"/>
  <c r="H503" i="1"/>
  <c r="J503" i="1"/>
  <c r="F504" i="1"/>
  <c r="H504" i="1"/>
  <c r="J504" i="1"/>
  <c r="F505" i="1"/>
  <c r="H505" i="1"/>
  <c r="J505" i="1"/>
  <c r="F506" i="1"/>
  <c r="H506" i="1"/>
  <c r="J506" i="1"/>
  <c r="F507" i="1"/>
  <c r="H507" i="1"/>
  <c r="J507" i="1"/>
  <c r="F508" i="1"/>
  <c r="H508" i="1"/>
  <c r="J508" i="1"/>
  <c r="F509" i="1"/>
  <c r="H509" i="1"/>
  <c r="J509" i="1"/>
  <c r="F510" i="1"/>
  <c r="H510" i="1"/>
  <c r="J510" i="1"/>
  <c r="F511" i="1"/>
  <c r="H511" i="1"/>
  <c r="J511" i="1"/>
  <c r="F512" i="1"/>
  <c r="H512" i="1"/>
  <c r="J512" i="1"/>
  <c r="F513" i="1"/>
  <c r="H513" i="1"/>
  <c r="J513" i="1"/>
  <c r="F514" i="1"/>
  <c r="H514" i="1"/>
  <c r="J514" i="1"/>
  <c r="F515" i="1"/>
  <c r="H515" i="1"/>
  <c r="J515" i="1"/>
  <c r="F516" i="1"/>
  <c r="H516" i="1"/>
  <c r="J516" i="1"/>
  <c r="F517" i="1"/>
  <c r="H517" i="1"/>
  <c r="J517" i="1"/>
  <c r="F518" i="1"/>
  <c r="H518" i="1"/>
  <c r="J518" i="1"/>
  <c r="F519" i="1"/>
  <c r="H519" i="1"/>
  <c r="J519" i="1"/>
  <c r="F520" i="1"/>
  <c r="H520" i="1"/>
  <c r="J520" i="1"/>
  <c r="F521" i="1"/>
  <c r="H521" i="1"/>
  <c r="J521" i="1"/>
  <c r="F522" i="1"/>
  <c r="H522" i="1"/>
  <c r="J522" i="1"/>
  <c r="F523" i="1"/>
  <c r="H523" i="1"/>
  <c r="J523" i="1"/>
  <c r="F524" i="1"/>
  <c r="H524" i="1"/>
  <c r="J524" i="1"/>
  <c r="F525" i="1"/>
  <c r="H525" i="1"/>
  <c r="J525" i="1"/>
  <c r="F526" i="1"/>
  <c r="H526" i="1"/>
  <c r="J526" i="1"/>
  <c r="F527" i="1"/>
  <c r="H527" i="1"/>
  <c r="J527" i="1"/>
  <c r="F528" i="1"/>
  <c r="H528" i="1"/>
  <c r="J528" i="1"/>
  <c r="F529" i="1"/>
  <c r="H529" i="1"/>
  <c r="J529" i="1"/>
  <c r="F530" i="1"/>
  <c r="H530" i="1"/>
  <c r="J530" i="1"/>
  <c r="F531" i="1"/>
  <c r="H531" i="1"/>
  <c r="J531" i="1"/>
  <c r="F532" i="1"/>
  <c r="H532" i="1"/>
  <c r="J532" i="1"/>
  <c r="F533" i="1"/>
  <c r="H533" i="1"/>
  <c r="J533" i="1"/>
  <c r="F534" i="1"/>
  <c r="H534" i="1"/>
  <c r="J534" i="1"/>
  <c r="F535" i="1"/>
  <c r="H535" i="1"/>
  <c r="J535" i="1"/>
  <c r="F536" i="1"/>
  <c r="H536" i="1"/>
  <c r="J536" i="1"/>
  <c r="F537" i="1"/>
  <c r="H537" i="1"/>
  <c r="J537" i="1"/>
  <c r="F538" i="1"/>
  <c r="H538" i="1"/>
  <c r="J538" i="1"/>
  <c r="F539" i="1"/>
  <c r="H539" i="1"/>
  <c r="J539" i="1"/>
  <c r="F540" i="1"/>
  <c r="H540" i="1"/>
  <c r="J540" i="1"/>
  <c r="F541" i="1"/>
  <c r="H541" i="1"/>
  <c r="J541" i="1"/>
  <c r="F542" i="1"/>
  <c r="H542" i="1"/>
  <c r="J542" i="1"/>
  <c r="F543" i="1"/>
  <c r="H543" i="1"/>
  <c r="J543" i="1"/>
  <c r="F544" i="1"/>
  <c r="H544" i="1"/>
  <c r="J544" i="1"/>
  <c r="F545" i="1"/>
  <c r="H545" i="1"/>
  <c r="J545" i="1"/>
  <c r="F546" i="1"/>
  <c r="H546" i="1"/>
  <c r="J546" i="1"/>
  <c r="F547" i="1"/>
  <c r="H547" i="1"/>
  <c r="J547" i="1"/>
  <c r="F548" i="1"/>
  <c r="H548" i="1"/>
  <c r="J548" i="1"/>
  <c r="F549" i="1"/>
  <c r="H549" i="1"/>
  <c r="J549" i="1"/>
  <c r="F550" i="1"/>
  <c r="H550" i="1"/>
  <c r="J550" i="1"/>
  <c r="F551" i="1"/>
  <c r="H551" i="1"/>
  <c r="J551" i="1"/>
  <c r="F552" i="1"/>
  <c r="H552" i="1"/>
  <c r="J552" i="1"/>
  <c r="F553" i="1"/>
  <c r="H553" i="1"/>
  <c r="J553" i="1"/>
  <c r="F554" i="1"/>
  <c r="H554" i="1"/>
  <c r="J554" i="1"/>
  <c r="F555" i="1"/>
  <c r="H555" i="1"/>
  <c r="J555" i="1"/>
  <c r="F556" i="1"/>
  <c r="H556" i="1"/>
  <c r="J556" i="1"/>
  <c r="F557" i="1"/>
  <c r="H557" i="1"/>
  <c r="J557" i="1"/>
  <c r="F558" i="1"/>
  <c r="H558" i="1"/>
  <c r="J558" i="1"/>
  <c r="F559" i="1"/>
  <c r="H559" i="1"/>
  <c r="J559" i="1"/>
  <c r="F560" i="1"/>
  <c r="H560" i="1"/>
  <c r="J560" i="1"/>
  <c r="F561" i="1"/>
  <c r="H561" i="1"/>
  <c r="J561" i="1"/>
  <c r="F562" i="1"/>
  <c r="H562" i="1"/>
  <c r="J562" i="1"/>
  <c r="F563" i="1"/>
  <c r="H563" i="1"/>
  <c r="J563" i="1"/>
  <c r="F564" i="1"/>
  <c r="H564" i="1"/>
  <c r="J564" i="1"/>
  <c r="F565" i="1"/>
  <c r="H565" i="1"/>
  <c r="J565" i="1"/>
  <c r="F566" i="1"/>
  <c r="H566" i="1"/>
  <c r="J566" i="1"/>
  <c r="F567" i="1"/>
  <c r="H567" i="1"/>
  <c r="J567" i="1"/>
  <c r="F568" i="1"/>
  <c r="H568" i="1"/>
  <c r="J568" i="1"/>
  <c r="F569" i="1"/>
  <c r="H569" i="1"/>
  <c r="J569" i="1"/>
  <c r="F570" i="1"/>
  <c r="H570" i="1"/>
  <c r="J570" i="1"/>
  <c r="F571" i="1"/>
  <c r="H571" i="1"/>
  <c r="J571" i="1"/>
  <c r="F572" i="1"/>
  <c r="H572" i="1"/>
  <c r="J572" i="1"/>
  <c r="F573" i="1"/>
  <c r="H573" i="1"/>
  <c r="J573" i="1"/>
  <c r="F574" i="1"/>
  <c r="H574" i="1"/>
  <c r="J574" i="1"/>
  <c r="F575" i="1"/>
  <c r="H575" i="1"/>
  <c r="J575" i="1"/>
  <c r="F576" i="1"/>
  <c r="H576" i="1"/>
  <c r="J576" i="1"/>
  <c r="F577" i="1"/>
  <c r="H577" i="1"/>
  <c r="J577" i="1"/>
  <c r="F578" i="1"/>
  <c r="H578" i="1"/>
  <c r="J578" i="1"/>
  <c r="F579" i="1"/>
  <c r="H579" i="1"/>
  <c r="J579" i="1"/>
  <c r="F580" i="1"/>
  <c r="H580" i="1"/>
  <c r="J580" i="1"/>
  <c r="F581" i="1"/>
  <c r="H581" i="1"/>
  <c r="J581" i="1"/>
  <c r="F582" i="1"/>
  <c r="H582" i="1"/>
  <c r="J582" i="1"/>
  <c r="F583" i="1"/>
  <c r="H583" i="1"/>
  <c r="J583" i="1"/>
  <c r="F584" i="1"/>
  <c r="H584" i="1"/>
  <c r="J584" i="1"/>
  <c r="F585" i="1"/>
  <c r="H585" i="1"/>
  <c r="J585" i="1"/>
  <c r="F586" i="1"/>
  <c r="H586" i="1"/>
  <c r="J586" i="1"/>
  <c r="F587" i="1"/>
  <c r="H587" i="1"/>
  <c r="J587" i="1"/>
  <c r="F588" i="1"/>
  <c r="H588" i="1"/>
  <c r="J588" i="1"/>
  <c r="F589" i="1"/>
  <c r="H589" i="1"/>
  <c r="J589" i="1"/>
  <c r="F590" i="1"/>
  <c r="H590" i="1"/>
  <c r="J590" i="1"/>
  <c r="F591" i="1"/>
  <c r="H591" i="1"/>
  <c r="J591" i="1"/>
  <c r="F592" i="1"/>
  <c r="H592" i="1"/>
  <c r="J592" i="1"/>
  <c r="F593" i="1"/>
  <c r="H593" i="1"/>
  <c r="J593" i="1"/>
  <c r="F594" i="1"/>
  <c r="H594" i="1"/>
  <c r="J594" i="1"/>
  <c r="F595" i="1"/>
  <c r="H595" i="1"/>
  <c r="J595" i="1"/>
  <c r="F596" i="1"/>
  <c r="H596" i="1"/>
  <c r="J596" i="1"/>
  <c r="F597" i="1"/>
  <c r="H597" i="1"/>
  <c r="J597" i="1"/>
  <c r="F598" i="1"/>
  <c r="H598" i="1"/>
  <c r="J598" i="1"/>
  <c r="F599" i="1"/>
  <c r="H599" i="1"/>
  <c r="J599" i="1"/>
  <c r="F600" i="1"/>
  <c r="H600" i="1"/>
  <c r="J600" i="1"/>
  <c r="F601" i="1"/>
  <c r="H601" i="1"/>
  <c r="J601" i="1"/>
  <c r="F602" i="1"/>
  <c r="H602" i="1"/>
  <c r="J602" i="1"/>
  <c r="F603" i="1"/>
  <c r="H603" i="1"/>
  <c r="J603" i="1"/>
  <c r="F604" i="1"/>
  <c r="H604" i="1"/>
  <c r="J604" i="1"/>
  <c r="F605" i="1"/>
  <c r="H605" i="1"/>
  <c r="J605" i="1"/>
  <c r="F606" i="1"/>
  <c r="H606" i="1"/>
  <c r="J606" i="1"/>
  <c r="F607" i="1"/>
  <c r="H607" i="1"/>
  <c r="J607" i="1"/>
  <c r="F608" i="1"/>
  <c r="H608" i="1"/>
  <c r="J608" i="1"/>
  <c r="F609" i="1"/>
  <c r="H609" i="1"/>
  <c r="J609" i="1"/>
  <c r="F610" i="1"/>
  <c r="H610" i="1"/>
  <c r="J610" i="1"/>
  <c r="F611" i="1"/>
  <c r="H611" i="1"/>
  <c r="J611" i="1"/>
  <c r="F612" i="1"/>
  <c r="H612" i="1"/>
  <c r="J612" i="1"/>
  <c r="F613" i="1"/>
  <c r="H613" i="1"/>
  <c r="J613" i="1"/>
  <c r="F614" i="1"/>
  <c r="H614" i="1"/>
  <c r="J614" i="1"/>
  <c r="F615" i="1"/>
  <c r="H615" i="1"/>
  <c r="J615" i="1"/>
  <c r="F616" i="1"/>
  <c r="H616" i="1"/>
  <c r="J616" i="1"/>
  <c r="F617" i="1"/>
  <c r="H617" i="1"/>
  <c r="J617" i="1"/>
  <c r="F618" i="1"/>
  <c r="H618" i="1"/>
  <c r="J618" i="1"/>
  <c r="F619" i="1"/>
  <c r="H619" i="1"/>
  <c r="J619" i="1"/>
  <c r="F620" i="1"/>
  <c r="H620" i="1"/>
  <c r="J620" i="1"/>
  <c r="F621" i="1"/>
  <c r="H621" i="1"/>
  <c r="J621" i="1"/>
  <c r="F622" i="1"/>
  <c r="H622" i="1"/>
  <c r="J622" i="1"/>
  <c r="F623" i="1"/>
  <c r="H623" i="1"/>
  <c r="J623" i="1"/>
  <c r="F624" i="1"/>
  <c r="H624" i="1"/>
  <c r="J624" i="1"/>
  <c r="F625" i="1"/>
  <c r="H625" i="1"/>
  <c r="J625" i="1"/>
  <c r="F626" i="1"/>
  <c r="H626" i="1"/>
  <c r="J626" i="1"/>
  <c r="F627" i="1"/>
  <c r="H627" i="1"/>
  <c r="J627" i="1"/>
  <c r="F628" i="1"/>
  <c r="H628" i="1"/>
  <c r="J628" i="1"/>
  <c r="F629" i="1"/>
  <c r="H629" i="1"/>
  <c r="J629" i="1"/>
  <c r="F630" i="1"/>
  <c r="H630" i="1"/>
  <c r="J630" i="1"/>
  <c r="F631" i="1"/>
  <c r="H631" i="1"/>
  <c r="J631" i="1"/>
  <c r="F632" i="1"/>
  <c r="H632" i="1"/>
  <c r="J632" i="1"/>
  <c r="F633" i="1"/>
  <c r="H633" i="1"/>
  <c r="J633" i="1"/>
  <c r="F634" i="1"/>
  <c r="H634" i="1"/>
  <c r="J634" i="1"/>
  <c r="F635" i="1"/>
  <c r="H635" i="1"/>
  <c r="J635" i="1"/>
  <c r="F636" i="1"/>
  <c r="H636" i="1"/>
  <c r="J636" i="1"/>
  <c r="F637" i="1"/>
  <c r="H637" i="1"/>
  <c r="J637" i="1"/>
  <c r="F638" i="1"/>
  <c r="H638" i="1"/>
  <c r="J638" i="1"/>
  <c r="F639" i="1"/>
  <c r="H639" i="1"/>
  <c r="J639" i="1"/>
  <c r="F640" i="1"/>
  <c r="H640" i="1"/>
  <c r="J640" i="1"/>
  <c r="F641" i="1"/>
  <c r="H641" i="1"/>
  <c r="J641" i="1"/>
  <c r="F642" i="1"/>
  <c r="H642" i="1"/>
  <c r="J642" i="1"/>
  <c r="F643" i="1"/>
  <c r="H643" i="1"/>
  <c r="J643" i="1"/>
  <c r="F644" i="1"/>
  <c r="H644" i="1"/>
  <c r="J644" i="1"/>
  <c r="F645" i="1"/>
  <c r="H645" i="1"/>
  <c r="J645" i="1"/>
  <c r="F646" i="1"/>
  <c r="H646" i="1"/>
  <c r="J646" i="1"/>
  <c r="F647" i="1"/>
  <c r="H647" i="1"/>
  <c r="J647" i="1"/>
  <c r="F648" i="1"/>
  <c r="H648" i="1"/>
  <c r="J648" i="1"/>
  <c r="F649" i="1"/>
  <c r="H649" i="1"/>
  <c r="J649" i="1"/>
  <c r="F650" i="1"/>
  <c r="H650" i="1"/>
  <c r="J650" i="1"/>
  <c r="F651" i="1"/>
  <c r="H651" i="1"/>
  <c r="J651" i="1"/>
  <c r="F652" i="1"/>
  <c r="H652" i="1"/>
  <c r="J652" i="1"/>
  <c r="F653" i="1"/>
  <c r="H653" i="1"/>
  <c r="J653" i="1"/>
  <c r="F654" i="1"/>
  <c r="H654" i="1"/>
  <c r="J654" i="1"/>
  <c r="F655" i="1"/>
  <c r="H655" i="1"/>
  <c r="J655" i="1"/>
  <c r="F656" i="1"/>
  <c r="H656" i="1"/>
  <c r="J656" i="1"/>
  <c r="F657" i="1"/>
  <c r="H657" i="1"/>
  <c r="J657" i="1"/>
  <c r="F658" i="1"/>
  <c r="H658" i="1"/>
  <c r="J658" i="1"/>
  <c r="F659" i="1"/>
  <c r="H659" i="1"/>
  <c r="J659" i="1"/>
  <c r="F660" i="1"/>
  <c r="H660" i="1"/>
  <c r="J660" i="1"/>
  <c r="F661" i="1"/>
  <c r="H661" i="1"/>
  <c r="J661" i="1"/>
  <c r="F662" i="1"/>
  <c r="H662" i="1"/>
  <c r="J662" i="1"/>
  <c r="F663" i="1"/>
  <c r="H663" i="1"/>
  <c r="J663" i="1"/>
  <c r="F664" i="1"/>
  <c r="H664" i="1"/>
  <c r="J664" i="1"/>
  <c r="F665" i="1"/>
  <c r="H665" i="1"/>
  <c r="J665" i="1"/>
  <c r="F666" i="1"/>
  <c r="H666" i="1"/>
  <c r="J666" i="1"/>
  <c r="F667" i="1"/>
  <c r="H667" i="1"/>
  <c r="J667" i="1"/>
  <c r="F668" i="1"/>
  <c r="H668" i="1"/>
  <c r="J668" i="1"/>
  <c r="F669" i="1"/>
  <c r="H669" i="1"/>
  <c r="J669" i="1"/>
  <c r="F670" i="1"/>
  <c r="H670" i="1"/>
  <c r="J670" i="1"/>
  <c r="F671" i="1"/>
  <c r="H671" i="1"/>
  <c r="J671" i="1"/>
  <c r="F672" i="1"/>
  <c r="H672" i="1"/>
  <c r="J672" i="1"/>
  <c r="F673" i="1"/>
  <c r="H673" i="1"/>
  <c r="J673" i="1"/>
  <c r="F674" i="1"/>
  <c r="H674" i="1"/>
  <c r="J674" i="1"/>
  <c r="F675" i="1"/>
  <c r="H675" i="1"/>
  <c r="J675" i="1"/>
  <c r="F676" i="1"/>
  <c r="H676" i="1"/>
  <c r="J676" i="1"/>
  <c r="F677" i="1"/>
  <c r="H677" i="1"/>
  <c r="J677" i="1"/>
  <c r="F678" i="1"/>
  <c r="H678" i="1"/>
  <c r="J678" i="1"/>
  <c r="F679" i="1"/>
  <c r="H679" i="1"/>
  <c r="J679" i="1"/>
  <c r="F680" i="1"/>
  <c r="H680" i="1"/>
  <c r="J680" i="1"/>
  <c r="F681" i="1"/>
  <c r="H681" i="1"/>
  <c r="J681" i="1"/>
  <c r="F682" i="1"/>
  <c r="H682" i="1"/>
  <c r="J682" i="1"/>
  <c r="F683" i="1"/>
  <c r="H683" i="1"/>
  <c r="J683" i="1"/>
  <c r="F684" i="1"/>
  <c r="H684" i="1"/>
  <c r="J684" i="1"/>
  <c r="F685" i="1"/>
  <c r="H685" i="1"/>
  <c r="J685" i="1"/>
  <c r="F686" i="1"/>
  <c r="H686" i="1"/>
  <c r="J686" i="1"/>
  <c r="F687" i="1"/>
  <c r="H687" i="1"/>
  <c r="J687" i="1"/>
  <c r="F688" i="1"/>
  <c r="H688" i="1"/>
  <c r="J688" i="1"/>
  <c r="F689" i="1"/>
  <c r="H689" i="1"/>
  <c r="J689" i="1"/>
  <c r="F690" i="1"/>
  <c r="H690" i="1"/>
  <c r="J690" i="1"/>
  <c r="F691" i="1"/>
  <c r="H691" i="1"/>
  <c r="J691" i="1"/>
  <c r="F692" i="1"/>
  <c r="H692" i="1"/>
  <c r="J692" i="1"/>
  <c r="F693" i="1"/>
  <c r="H693" i="1"/>
  <c r="J693" i="1"/>
  <c r="F694" i="1"/>
  <c r="H694" i="1"/>
  <c r="J694" i="1"/>
  <c r="F695" i="1"/>
  <c r="H695" i="1"/>
  <c r="J695" i="1"/>
  <c r="F696" i="1"/>
  <c r="H696" i="1"/>
  <c r="J696" i="1"/>
  <c r="F697" i="1"/>
  <c r="H697" i="1"/>
  <c r="J697" i="1"/>
  <c r="F698" i="1"/>
  <c r="H698" i="1"/>
  <c r="J698" i="1"/>
  <c r="F699" i="1"/>
  <c r="H699" i="1"/>
  <c r="J699" i="1"/>
  <c r="F700" i="1"/>
  <c r="H700" i="1"/>
  <c r="J700" i="1"/>
  <c r="F701" i="1"/>
  <c r="H701" i="1"/>
  <c r="J701" i="1"/>
  <c r="F702" i="1"/>
  <c r="H702" i="1"/>
  <c r="J702" i="1"/>
  <c r="F703" i="1"/>
  <c r="H703" i="1"/>
  <c r="J703" i="1"/>
  <c r="F704" i="1"/>
  <c r="H704" i="1"/>
  <c r="J704" i="1"/>
  <c r="F705" i="1"/>
  <c r="H705" i="1"/>
  <c r="J705" i="1"/>
  <c r="F706" i="1"/>
  <c r="H706" i="1"/>
  <c r="J706" i="1"/>
  <c r="F707" i="1"/>
  <c r="H707" i="1"/>
  <c r="J707" i="1"/>
  <c r="F708" i="1"/>
  <c r="H708" i="1"/>
  <c r="J708" i="1"/>
  <c r="F709" i="1"/>
  <c r="H709" i="1"/>
  <c r="J709" i="1"/>
  <c r="F710" i="1"/>
  <c r="H710" i="1"/>
  <c r="J710" i="1"/>
  <c r="F711" i="1"/>
  <c r="H711" i="1"/>
  <c r="J711" i="1"/>
  <c r="F712" i="1"/>
  <c r="H712" i="1"/>
  <c r="J712" i="1"/>
  <c r="F713" i="1"/>
  <c r="H713" i="1"/>
  <c r="J713" i="1"/>
  <c r="F714" i="1"/>
  <c r="H714" i="1"/>
  <c r="J714" i="1"/>
  <c r="F715" i="1"/>
  <c r="H715" i="1"/>
  <c r="J715" i="1"/>
  <c r="F716" i="1"/>
  <c r="H716" i="1"/>
  <c r="J716" i="1"/>
  <c r="F717" i="1"/>
  <c r="H717" i="1"/>
  <c r="J717" i="1"/>
  <c r="F718" i="1"/>
  <c r="H718" i="1"/>
  <c r="J718" i="1"/>
  <c r="F719" i="1"/>
  <c r="H719" i="1"/>
  <c r="J719" i="1"/>
  <c r="F720" i="1"/>
  <c r="H720" i="1"/>
  <c r="J720" i="1"/>
  <c r="F721" i="1"/>
  <c r="H721" i="1"/>
  <c r="J721" i="1"/>
  <c r="F722" i="1"/>
  <c r="H722" i="1"/>
  <c r="J722" i="1"/>
  <c r="F723" i="1"/>
  <c r="H723" i="1"/>
  <c r="J723" i="1"/>
  <c r="F724" i="1"/>
  <c r="H724" i="1"/>
  <c r="J724" i="1"/>
  <c r="F725" i="1"/>
  <c r="H725" i="1"/>
  <c r="J725" i="1"/>
  <c r="F726" i="1"/>
  <c r="H726" i="1"/>
  <c r="J726" i="1"/>
  <c r="F727" i="1"/>
  <c r="H727" i="1"/>
  <c r="J727" i="1"/>
  <c r="F728" i="1"/>
  <c r="H728" i="1"/>
  <c r="J728" i="1"/>
  <c r="F729" i="1"/>
  <c r="H729" i="1"/>
  <c r="J729" i="1"/>
  <c r="F730" i="1"/>
  <c r="H730" i="1"/>
  <c r="J730" i="1"/>
  <c r="F731" i="1"/>
  <c r="H731" i="1"/>
  <c r="J731" i="1"/>
  <c r="F732" i="1"/>
  <c r="H732" i="1"/>
  <c r="J732" i="1"/>
  <c r="F733" i="1"/>
  <c r="H733" i="1"/>
  <c r="J733" i="1"/>
  <c r="F734" i="1"/>
  <c r="H734" i="1"/>
  <c r="J734" i="1"/>
  <c r="F735" i="1"/>
  <c r="H735" i="1"/>
  <c r="J735" i="1"/>
  <c r="F736" i="1"/>
  <c r="H736" i="1"/>
  <c r="J736" i="1"/>
  <c r="F737" i="1"/>
  <c r="H737" i="1"/>
  <c r="J737" i="1"/>
  <c r="F738" i="1"/>
  <c r="H738" i="1"/>
  <c r="J738" i="1"/>
  <c r="F739" i="1"/>
  <c r="H739" i="1"/>
  <c r="J739" i="1"/>
  <c r="F740" i="1"/>
  <c r="H740" i="1"/>
  <c r="J740" i="1"/>
  <c r="F741" i="1"/>
  <c r="H741" i="1"/>
  <c r="J741" i="1"/>
  <c r="F742" i="1"/>
  <c r="H742" i="1"/>
  <c r="J742" i="1"/>
  <c r="F743" i="1"/>
  <c r="H743" i="1"/>
  <c r="J743" i="1"/>
  <c r="F744" i="1"/>
  <c r="H744" i="1"/>
  <c r="J744" i="1"/>
  <c r="F745" i="1"/>
  <c r="H745" i="1"/>
  <c r="J745" i="1"/>
  <c r="F746" i="1"/>
  <c r="H746" i="1"/>
  <c r="J746" i="1"/>
  <c r="F747" i="1"/>
  <c r="H747" i="1"/>
  <c r="J747" i="1"/>
  <c r="F748" i="1"/>
  <c r="H748" i="1"/>
  <c r="J748" i="1"/>
  <c r="F749" i="1"/>
  <c r="H749" i="1"/>
  <c r="J749" i="1"/>
  <c r="F750" i="1"/>
  <c r="H750" i="1"/>
  <c r="J750" i="1"/>
  <c r="F751" i="1"/>
  <c r="H751" i="1"/>
  <c r="J751" i="1"/>
  <c r="F752" i="1"/>
  <c r="H752" i="1"/>
  <c r="J752" i="1"/>
  <c r="F753" i="1"/>
  <c r="H753" i="1"/>
  <c r="J753" i="1"/>
  <c r="F754" i="1"/>
  <c r="H754" i="1"/>
  <c r="J754" i="1"/>
  <c r="F755" i="1"/>
  <c r="H755" i="1"/>
  <c r="J755" i="1"/>
  <c r="F756" i="1"/>
  <c r="H756" i="1"/>
  <c r="J756" i="1"/>
  <c r="F757" i="1"/>
  <c r="H757" i="1"/>
  <c r="J757" i="1"/>
  <c r="F758" i="1"/>
  <c r="H758" i="1"/>
  <c r="J758" i="1"/>
  <c r="F759" i="1"/>
  <c r="H759" i="1"/>
  <c r="J759" i="1"/>
  <c r="F760" i="1"/>
  <c r="H760" i="1"/>
  <c r="J760" i="1"/>
  <c r="F761" i="1"/>
  <c r="H761" i="1"/>
  <c r="J761" i="1"/>
  <c r="F762" i="1"/>
  <c r="H762" i="1"/>
  <c r="J762" i="1"/>
  <c r="F763" i="1"/>
  <c r="H763" i="1"/>
  <c r="J763" i="1"/>
  <c r="F764" i="1"/>
  <c r="H764" i="1"/>
  <c r="J764" i="1"/>
  <c r="F765" i="1"/>
  <c r="H765" i="1"/>
  <c r="J765" i="1"/>
  <c r="F766" i="1"/>
  <c r="H766" i="1"/>
  <c r="J766" i="1"/>
  <c r="F767" i="1"/>
  <c r="H767" i="1"/>
  <c r="J767" i="1"/>
  <c r="F768" i="1"/>
  <c r="H768" i="1"/>
  <c r="J768" i="1"/>
  <c r="F769" i="1"/>
  <c r="H769" i="1"/>
  <c r="J769" i="1"/>
  <c r="F770" i="1"/>
  <c r="H770" i="1"/>
  <c r="J770" i="1"/>
  <c r="F771" i="1"/>
  <c r="H771" i="1"/>
  <c r="J771" i="1"/>
  <c r="F772" i="1"/>
  <c r="H772" i="1"/>
  <c r="J772" i="1"/>
  <c r="F773" i="1"/>
  <c r="H773" i="1"/>
  <c r="J773" i="1"/>
  <c r="F774" i="1"/>
  <c r="H774" i="1"/>
  <c r="J774" i="1"/>
  <c r="F775" i="1"/>
  <c r="H775" i="1"/>
  <c r="J775" i="1"/>
  <c r="F776" i="1"/>
  <c r="H776" i="1"/>
  <c r="J776" i="1"/>
  <c r="F777" i="1"/>
  <c r="H777" i="1"/>
  <c r="J777" i="1"/>
  <c r="F778" i="1"/>
  <c r="H778" i="1"/>
  <c r="J778" i="1"/>
  <c r="F779" i="1"/>
  <c r="H779" i="1"/>
  <c r="J779" i="1"/>
  <c r="F780" i="1"/>
  <c r="H780" i="1"/>
  <c r="J780" i="1"/>
  <c r="F781" i="1"/>
  <c r="H781" i="1"/>
  <c r="J781" i="1"/>
  <c r="F782" i="1"/>
  <c r="H782" i="1"/>
  <c r="J782" i="1"/>
  <c r="F783" i="1"/>
  <c r="H783" i="1"/>
  <c r="J783" i="1"/>
  <c r="F784" i="1"/>
  <c r="H784" i="1"/>
  <c r="J784" i="1"/>
  <c r="F785" i="1"/>
  <c r="H785" i="1"/>
  <c r="J785" i="1"/>
  <c r="F786" i="1"/>
  <c r="H786" i="1"/>
  <c r="J786" i="1"/>
  <c r="F787" i="1"/>
  <c r="H787" i="1"/>
  <c r="J787" i="1"/>
  <c r="F788" i="1"/>
  <c r="H788" i="1"/>
  <c r="J788" i="1"/>
  <c r="F789" i="1"/>
  <c r="H789" i="1"/>
  <c r="J789" i="1"/>
  <c r="F790" i="1"/>
  <c r="H790" i="1"/>
  <c r="J790" i="1"/>
  <c r="F791" i="1"/>
  <c r="H791" i="1"/>
  <c r="J791" i="1"/>
  <c r="F792" i="1"/>
  <c r="H792" i="1"/>
  <c r="J792" i="1"/>
  <c r="F793" i="1"/>
  <c r="H793" i="1"/>
  <c r="J793" i="1"/>
  <c r="F794" i="1"/>
  <c r="H794" i="1"/>
  <c r="J794" i="1"/>
  <c r="F795" i="1"/>
  <c r="H795" i="1"/>
  <c r="J795" i="1"/>
  <c r="F796" i="1"/>
  <c r="H796" i="1"/>
  <c r="J796" i="1"/>
  <c r="F797" i="1"/>
  <c r="H797" i="1"/>
  <c r="J797" i="1"/>
  <c r="F798" i="1"/>
  <c r="H798" i="1"/>
  <c r="J798" i="1"/>
  <c r="F799" i="1"/>
  <c r="H799" i="1"/>
  <c r="J799" i="1"/>
  <c r="F800" i="1"/>
  <c r="H800" i="1"/>
  <c r="J800" i="1"/>
  <c r="F801" i="1"/>
  <c r="H801" i="1"/>
  <c r="J801" i="1"/>
  <c r="F802" i="1"/>
  <c r="H802" i="1"/>
  <c r="J802" i="1"/>
  <c r="F803" i="1"/>
  <c r="H803" i="1"/>
  <c r="J803" i="1"/>
  <c r="F804" i="1"/>
  <c r="H804" i="1"/>
  <c r="J804" i="1"/>
  <c r="F805" i="1"/>
  <c r="H805" i="1"/>
  <c r="J805" i="1"/>
  <c r="F806" i="1"/>
  <c r="H806" i="1"/>
  <c r="J806" i="1"/>
  <c r="F807" i="1"/>
  <c r="H807" i="1"/>
  <c r="J807" i="1"/>
  <c r="F808" i="1"/>
  <c r="H808" i="1"/>
  <c r="J808" i="1"/>
  <c r="F809" i="1"/>
  <c r="H809" i="1"/>
  <c r="J809" i="1"/>
  <c r="F810" i="1"/>
  <c r="H810" i="1"/>
  <c r="J810" i="1"/>
  <c r="F811" i="1"/>
  <c r="H811" i="1"/>
  <c r="J811" i="1"/>
  <c r="F812" i="1"/>
  <c r="H812" i="1"/>
  <c r="J812" i="1"/>
  <c r="F813" i="1"/>
  <c r="H813" i="1"/>
  <c r="J813" i="1"/>
  <c r="F814" i="1"/>
  <c r="H814" i="1"/>
  <c r="J814" i="1"/>
  <c r="F815" i="1"/>
  <c r="H815" i="1"/>
  <c r="J815" i="1"/>
  <c r="F816" i="1"/>
  <c r="H816" i="1"/>
  <c r="J816" i="1"/>
  <c r="F817" i="1"/>
  <c r="H817" i="1"/>
  <c r="J817" i="1"/>
  <c r="F818" i="1"/>
  <c r="H818" i="1"/>
  <c r="J818" i="1"/>
  <c r="F819" i="1"/>
  <c r="H819" i="1"/>
  <c r="J819" i="1"/>
  <c r="F820" i="1"/>
  <c r="H820" i="1"/>
  <c r="J820" i="1"/>
  <c r="F821" i="1"/>
  <c r="H821" i="1"/>
  <c r="J821" i="1"/>
  <c r="F822" i="1"/>
  <c r="H822" i="1"/>
  <c r="J822" i="1"/>
  <c r="F823" i="1"/>
  <c r="H823" i="1"/>
  <c r="J823" i="1"/>
  <c r="F824" i="1"/>
  <c r="H824" i="1"/>
  <c r="J824" i="1"/>
  <c r="F825" i="1"/>
  <c r="H825" i="1"/>
  <c r="J825" i="1"/>
  <c r="F826" i="1"/>
  <c r="H826" i="1"/>
  <c r="J826" i="1"/>
  <c r="F827" i="1"/>
  <c r="H827" i="1"/>
  <c r="J827" i="1"/>
  <c r="F828" i="1"/>
  <c r="H828" i="1"/>
  <c r="J828" i="1"/>
  <c r="F829" i="1"/>
  <c r="H829" i="1"/>
  <c r="J829" i="1"/>
  <c r="F830" i="1"/>
  <c r="H830" i="1"/>
  <c r="J830" i="1"/>
  <c r="F831" i="1"/>
  <c r="H831" i="1"/>
  <c r="J831" i="1"/>
  <c r="F832" i="1"/>
  <c r="H832" i="1"/>
  <c r="J832" i="1"/>
  <c r="F833" i="1"/>
  <c r="H833" i="1"/>
  <c r="J833" i="1"/>
  <c r="F834" i="1"/>
  <c r="H834" i="1"/>
  <c r="J834" i="1"/>
  <c r="F835" i="1"/>
  <c r="H835" i="1"/>
  <c r="J835" i="1"/>
  <c r="F836" i="1"/>
  <c r="H836" i="1"/>
  <c r="J836" i="1"/>
  <c r="F837" i="1"/>
  <c r="H837" i="1"/>
  <c r="J837" i="1"/>
  <c r="F838" i="1"/>
  <c r="H838" i="1"/>
  <c r="J838" i="1"/>
  <c r="F839" i="1"/>
  <c r="H839" i="1"/>
  <c r="J839" i="1"/>
  <c r="F840" i="1"/>
  <c r="H840" i="1"/>
  <c r="J840" i="1"/>
  <c r="F841" i="1"/>
  <c r="H841" i="1"/>
  <c r="J841" i="1"/>
  <c r="F842" i="1"/>
  <c r="H842" i="1"/>
  <c r="J842" i="1"/>
  <c r="F843" i="1"/>
  <c r="H843" i="1"/>
  <c r="J843" i="1"/>
  <c r="F844" i="1"/>
  <c r="H844" i="1"/>
  <c r="J844" i="1"/>
  <c r="F845" i="1"/>
  <c r="H845" i="1"/>
  <c r="J845" i="1"/>
  <c r="F846" i="1"/>
  <c r="H846" i="1"/>
  <c r="J846" i="1"/>
  <c r="F847" i="1"/>
  <c r="H847" i="1"/>
  <c r="J847" i="1"/>
  <c r="F848" i="1"/>
  <c r="H848" i="1"/>
  <c r="J848" i="1"/>
  <c r="F849" i="1"/>
  <c r="H849" i="1"/>
  <c r="J849" i="1"/>
  <c r="F850" i="1"/>
  <c r="H850" i="1"/>
  <c r="J850" i="1"/>
  <c r="F851" i="1"/>
  <c r="H851" i="1"/>
  <c r="J851" i="1"/>
  <c r="F852" i="1"/>
  <c r="H852" i="1"/>
  <c r="J852" i="1"/>
  <c r="F853" i="1"/>
  <c r="H853" i="1"/>
  <c r="J853" i="1"/>
  <c r="F854" i="1"/>
  <c r="H854" i="1"/>
  <c r="J854" i="1"/>
  <c r="F855" i="1"/>
  <c r="H855" i="1"/>
  <c r="J855" i="1"/>
  <c r="F856" i="1"/>
  <c r="H856" i="1"/>
  <c r="J856" i="1"/>
  <c r="F857" i="1"/>
  <c r="H857" i="1"/>
  <c r="J857" i="1"/>
  <c r="F858" i="1"/>
  <c r="H858" i="1"/>
  <c r="J858" i="1"/>
  <c r="F859" i="1"/>
  <c r="H859" i="1"/>
  <c r="J859" i="1"/>
  <c r="F860" i="1"/>
  <c r="H860" i="1"/>
  <c r="J860" i="1"/>
  <c r="F861" i="1"/>
  <c r="H861" i="1"/>
  <c r="J861" i="1"/>
  <c r="F862" i="1"/>
  <c r="H862" i="1"/>
  <c r="J862" i="1"/>
  <c r="F863" i="1"/>
  <c r="H863" i="1"/>
  <c r="J863" i="1"/>
  <c r="F864" i="1"/>
  <c r="H864" i="1"/>
  <c r="J864" i="1"/>
  <c r="F865" i="1"/>
  <c r="H865" i="1"/>
  <c r="J865" i="1"/>
  <c r="F866" i="1"/>
  <c r="H866" i="1"/>
  <c r="J866" i="1"/>
  <c r="F867" i="1"/>
  <c r="H867" i="1"/>
  <c r="J867" i="1"/>
  <c r="F868" i="1"/>
  <c r="H868" i="1"/>
  <c r="J868" i="1"/>
  <c r="F869" i="1"/>
  <c r="H869" i="1"/>
  <c r="J869" i="1"/>
  <c r="F870" i="1"/>
  <c r="H870" i="1"/>
  <c r="J870" i="1"/>
  <c r="F871" i="1"/>
  <c r="H871" i="1"/>
  <c r="J871" i="1"/>
  <c r="F872" i="1"/>
  <c r="H872" i="1"/>
  <c r="J872" i="1"/>
  <c r="F873" i="1"/>
  <c r="H873" i="1"/>
  <c r="J873" i="1"/>
  <c r="F874" i="1"/>
  <c r="H874" i="1"/>
  <c r="J874" i="1"/>
  <c r="F875" i="1"/>
  <c r="H875" i="1"/>
  <c r="J875" i="1"/>
  <c r="F876" i="1"/>
  <c r="H876" i="1"/>
  <c r="J876" i="1"/>
  <c r="F877" i="1"/>
  <c r="H877" i="1"/>
  <c r="J877" i="1"/>
  <c r="F878" i="1"/>
  <c r="H878" i="1"/>
  <c r="J878" i="1"/>
  <c r="F879" i="1"/>
  <c r="H879" i="1"/>
  <c r="J879" i="1"/>
  <c r="F880" i="1"/>
  <c r="H880" i="1"/>
  <c r="J880" i="1"/>
  <c r="F881" i="1"/>
  <c r="H881" i="1"/>
  <c r="J881" i="1"/>
  <c r="F882" i="1"/>
  <c r="H882" i="1"/>
  <c r="J882" i="1"/>
  <c r="F883" i="1"/>
  <c r="H883" i="1"/>
  <c r="J883" i="1"/>
  <c r="F884" i="1"/>
  <c r="H884" i="1"/>
  <c r="J884" i="1"/>
  <c r="F885" i="1"/>
  <c r="H885" i="1"/>
  <c r="J885" i="1"/>
  <c r="F886" i="1"/>
  <c r="H886" i="1"/>
  <c r="J886" i="1"/>
  <c r="F887" i="1"/>
  <c r="H887" i="1"/>
  <c r="J887" i="1"/>
  <c r="F888" i="1"/>
  <c r="H888" i="1"/>
  <c r="J888" i="1"/>
  <c r="F889" i="1"/>
  <c r="H889" i="1"/>
  <c r="J889" i="1"/>
  <c r="F890" i="1"/>
  <c r="H890" i="1"/>
  <c r="J890" i="1"/>
  <c r="F891" i="1"/>
  <c r="H891" i="1"/>
  <c r="J891" i="1"/>
  <c r="F892" i="1"/>
  <c r="H892" i="1"/>
  <c r="J892" i="1"/>
  <c r="F893" i="1"/>
  <c r="H893" i="1"/>
  <c r="J893" i="1"/>
  <c r="F894" i="1"/>
  <c r="H894" i="1"/>
  <c r="J894" i="1"/>
  <c r="F895" i="1"/>
  <c r="H895" i="1"/>
  <c r="J895" i="1"/>
  <c r="F896" i="1"/>
  <c r="H896" i="1"/>
  <c r="J896" i="1"/>
  <c r="F897" i="1"/>
  <c r="H897" i="1"/>
  <c r="J897" i="1"/>
  <c r="F898" i="1"/>
  <c r="H898" i="1"/>
  <c r="J898" i="1"/>
  <c r="F899" i="1"/>
  <c r="H899" i="1"/>
  <c r="J899" i="1"/>
  <c r="F900" i="1"/>
  <c r="H900" i="1"/>
  <c r="J900" i="1"/>
  <c r="F901" i="1"/>
  <c r="H901" i="1"/>
  <c r="J901" i="1"/>
  <c r="F902" i="1"/>
  <c r="H902" i="1"/>
  <c r="J902" i="1"/>
  <c r="F903" i="1"/>
  <c r="H903" i="1"/>
  <c r="J903" i="1"/>
  <c r="F904" i="1"/>
  <c r="H904" i="1"/>
  <c r="J904" i="1"/>
  <c r="F905" i="1"/>
  <c r="H905" i="1"/>
  <c r="J905" i="1"/>
  <c r="F906" i="1"/>
  <c r="H906" i="1"/>
  <c r="J906" i="1"/>
  <c r="F907" i="1"/>
  <c r="H907" i="1"/>
  <c r="J907" i="1"/>
  <c r="F908" i="1"/>
  <c r="H908" i="1"/>
  <c r="J908" i="1"/>
  <c r="F909" i="1"/>
  <c r="H909" i="1"/>
  <c r="J909" i="1"/>
  <c r="F910" i="1"/>
  <c r="H910" i="1"/>
  <c r="J910" i="1"/>
  <c r="F911" i="1"/>
  <c r="H911" i="1"/>
  <c r="J911" i="1"/>
  <c r="F912" i="1"/>
  <c r="H912" i="1"/>
  <c r="J912" i="1"/>
  <c r="F913" i="1"/>
  <c r="H913" i="1"/>
  <c r="J913" i="1"/>
  <c r="F914" i="1"/>
  <c r="H914" i="1"/>
  <c r="J914" i="1"/>
  <c r="F915" i="1"/>
  <c r="H915" i="1"/>
  <c r="J915" i="1"/>
  <c r="F916" i="1"/>
  <c r="H916" i="1"/>
  <c r="J916" i="1"/>
  <c r="F917" i="1"/>
  <c r="H917" i="1"/>
  <c r="J917" i="1"/>
  <c r="F918" i="1"/>
  <c r="H918" i="1"/>
  <c r="J918" i="1"/>
  <c r="F919" i="1"/>
  <c r="H919" i="1"/>
  <c r="J919" i="1"/>
  <c r="F920" i="1"/>
  <c r="H920" i="1"/>
  <c r="J920" i="1"/>
  <c r="F921" i="1"/>
  <c r="H921" i="1"/>
  <c r="J921" i="1"/>
  <c r="F922" i="1"/>
  <c r="H922" i="1"/>
  <c r="J922" i="1"/>
  <c r="F923" i="1"/>
  <c r="H923" i="1"/>
  <c r="J923" i="1"/>
  <c r="F924" i="1"/>
  <c r="H924" i="1"/>
  <c r="J924" i="1"/>
  <c r="F925" i="1"/>
  <c r="H925" i="1"/>
  <c r="J925" i="1"/>
  <c r="F926" i="1"/>
  <c r="H926" i="1"/>
  <c r="J926" i="1"/>
  <c r="F927" i="1"/>
  <c r="H927" i="1"/>
  <c r="J927" i="1"/>
  <c r="F928" i="1"/>
  <c r="H928" i="1"/>
  <c r="J928" i="1"/>
  <c r="F929" i="1"/>
  <c r="H929" i="1"/>
  <c r="J929" i="1"/>
  <c r="F930" i="1"/>
  <c r="H930" i="1"/>
  <c r="J930" i="1"/>
  <c r="F931" i="1"/>
  <c r="H931" i="1"/>
  <c r="J931" i="1"/>
  <c r="F932" i="1"/>
  <c r="H932" i="1"/>
  <c r="J932" i="1"/>
  <c r="F933" i="1"/>
  <c r="H933" i="1"/>
  <c r="J933" i="1"/>
  <c r="F934" i="1"/>
  <c r="H934" i="1"/>
  <c r="J934" i="1"/>
  <c r="F935" i="1"/>
  <c r="H935" i="1"/>
  <c r="J935" i="1"/>
  <c r="F936" i="1"/>
  <c r="H936" i="1"/>
  <c r="J936" i="1"/>
  <c r="F937" i="1"/>
  <c r="H937" i="1"/>
  <c r="J937" i="1"/>
  <c r="F938" i="1"/>
  <c r="H938" i="1"/>
  <c r="J938" i="1"/>
  <c r="F939" i="1"/>
  <c r="H939" i="1"/>
  <c r="J939" i="1"/>
  <c r="F940" i="1"/>
  <c r="H940" i="1"/>
  <c r="J940" i="1"/>
  <c r="F941" i="1"/>
  <c r="H941" i="1"/>
  <c r="J941" i="1"/>
  <c r="F942" i="1"/>
  <c r="H942" i="1"/>
  <c r="J942" i="1"/>
  <c r="F943" i="1"/>
  <c r="H943" i="1"/>
  <c r="J943" i="1"/>
  <c r="F944" i="1"/>
  <c r="H944" i="1"/>
  <c r="J944" i="1"/>
  <c r="F945" i="1"/>
  <c r="H945" i="1"/>
  <c r="J945" i="1"/>
  <c r="F946" i="1"/>
  <c r="H946" i="1"/>
  <c r="J946" i="1"/>
  <c r="F947" i="1"/>
  <c r="H947" i="1"/>
  <c r="J947" i="1"/>
  <c r="F948" i="1"/>
  <c r="H948" i="1"/>
  <c r="J948" i="1"/>
  <c r="F949" i="1"/>
  <c r="H949" i="1"/>
  <c r="J949" i="1"/>
  <c r="F950" i="1"/>
  <c r="H950" i="1"/>
  <c r="J950" i="1"/>
  <c r="F951" i="1"/>
  <c r="H951" i="1"/>
  <c r="J951" i="1"/>
  <c r="F952" i="1"/>
  <c r="H952" i="1"/>
  <c r="J952" i="1"/>
  <c r="F953" i="1"/>
  <c r="H953" i="1"/>
  <c r="J953" i="1"/>
  <c r="F954" i="1"/>
  <c r="H954" i="1"/>
  <c r="J954" i="1"/>
  <c r="F955" i="1"/>
  <c r="H955" i="1"/>
  <c r="J955" i="1"/>
  <c r="F956" i="1"/>
  <c r="H956" i="1"/>
  <c r="J956" i="1"/>
  <c r="F957" i="1"/>
  <c r="H957" i="1"/>
  <c r="J957" i="1"/>
  <c r="F958" i="1"/>
  <c r="H958" i="1"/>
  <c r="J958" i="1"/>
  <c r="F959" i="1"/>
  <c r="H959" i="1"/>
  <c r="J959" i="1"/>
  <c r="F960" i="1"/>
  <c r="H960" i="1"/>
  <c r="J960" i="1"/>
  <c r="F961" i="1"/>
  <c r="H961" i="1"/>
  <c r="J961" i="1"/>
  <c r="F962" i="1"/>
  <c r="H962" i="1"/>
  <c r="J962" i="1"/>
  <c r="F963" i="1"/>
  <c r="H963" i="1"/>
  <c r="J963" i="1"/>
  <c r="F964" i="1"/>
  <c r="H964" i="1"/>
  <c r="J964" i="1"/>
  <c r="F965" i="1"/>
  <c r="H965" i="1"/>
  <c r="J965" i="1"/>
  <c r="F966" i="1"/>
  <c r="H966" i="1"/>
  <c r="J966" i="1"/>
  <c r="F967" i="1"/>
  <c r="H967" i="1"/>
  <c r="J967" i="1"/>
  <c r="F968" i="1"/>
  <c r="H968" i="1"/>
  <c r="J968" i="1"/>
  <c r="F969" i="1"/>
  <c r="H969" i="1"/>
  <c r="J969" i="1"/>
  <c r="F970" i="1"/>
  <c r="H970" i="1"/>
  <c r="J970" i="1"/>
  <c r="F971" i="1"/>
  <c r="H971" i="1"/>
  <c r="J971" i="1"/>
  <c r="F972" i="1"/>
  <c r="H972" i="1"/>
  <c r="J972" i="1"/>
  <c r="F973" i="1"/>
  <c r="H973" i="1"/>
  <c r="J973" i="1"/>
  <c r="F974" i="1"/>
  <c r="H974" i="1"/>
  <c r="J974" i="1"/>
  <c r="F975" i="1"/>
  <c r="H975" i="1"/>
  <c r="J975" i="1"/>
  <c r="F976" i="1"/>
  <c r="H976" i="1"/>
  <c r="J976" i="1"/>
  <c r="F977" i="1"/>
  <c r="H977" i="1"/>
  <c r="J977" i="1"/>
  <c r="F978" i="1"/>
  <c r="H978" i="1"/>
  <c r="J978" i="1"/>
  <c r="F979" i="1"/>
  <c r="H979" i="1"/>
  <c r="J979" i="1"/>
  <c r="F980" i="1"/>
  <c r="H980" i="1"/>
  <c r="J980" i="1"/>
  <c r="F981" i="1"/>
  <c r="H981" i="1"/>
  <c r="J981" i="1"/>
  <c r="F982" i="1"/>
  <c r="H982" i="1"/>
  <c r="J982" i="1"/>
  <c r="F983" i="1"/>
  <c r="H983" i="1"/>
  <c r="J983" i="1"/>
  <c r="F984" i="1"/>
  <c r="H984" i="1"/>
  <c r="J984" i="1"/>
  <c r="F985" i="1"/>
  <c r="H985" i="1"/>
  <c r="J985" i="1"/>
  <c r="F986" i="1"/>
  <c r="H986" i="1"/>
  <c r="J986" i="1"/>
  <c r="F987" i="1"/>
  <c r="H987" i="1"/>
  <c r="J987" i="1"/>
  <c r="F988" i="1"/>
  <c r="H988" i="1"/>
  <c r="J988" i="1"/>
  <c r="F989" i="1"/>
  <c r="H989" i="1"/>
  <c r="J989" i="1"/>
  <c r="F990" i="1"/>
  <c r="H990" i="1"/>
  <c r="J990" i="1"/>
  <c r="F991" i="1"/>
  <c r="H991" i="1"/>
  <c r="J991" i="1"/>
  <c r="F992" i="1"/>
  <c r="H992" i="1"/>
  <c r="J992" i="1"/>
  <c r="F993" i="1"/>
  <c r="H993" i="1"/>
  <c r="J993" i="1"/>
  <c r="F994" i="1"/>
  <c r="H994" i="1"/>
  <c r="J994" i="1"/>
  <c r="F995" i="1"/>
  <c r="H995" i="1"/>
  <c r="J995" i="1"/>
  <c r="F996" i="1"/>
  <c r="H996" i="1"/>
  <c r="J996" i="1"/>
  <c r="F997" i="1"/>
  <c r="H997" i="1"/>
  <c r="J997" i="1"/>
  <c r="F998" i="1"/>
  <c r="H998" i="1"/>
  <c r="J998" i="1"/>
  <c r="F999" i="1"/>
  <c r="H999" i="1"/>
  <c r="J999" i="1"/>
  <c r="F1000" i="1"/>
  <c r="H1000" i="1"/>
  <c r="J1000" i="1"/>
  <c r="F1001" i="1"/>
  <c r="H1001" i="1"/>
  <c r="J1001" i="1"/>
  <c r="F1002" i="1"/>
  <c r="H1002" i="1"/>
  <c r="J1002" i="1"/>
  <c r="F1003" i="1"/>
  <c r="H1003" i="1"/>
  <c r="J1003" i="1"/>
  <c r="F1004" i="1"/>
  <c r="H1004" i="1"/>
  <c r="J1004" i="1"/>
  <c r="F1005" i="1"/>
  <c r="H1005" i="1"/>
  <c r="J1005" i="1"/>
  <c r="F1006" i="1"/>
  <c r="H1006" i="1"/>
  <c r="J1006" i="1"/>
  <c r="F1007" i="1"/>
  <c r="H1007" i="1"/>
  <c r="J1007" i="1"/>
  <c r="F1008" i="1"/>
  <c r="H1008" i="1"/>
  <c r="J1008" i="1"/>
  <c r="F1009" i="1"/>
  <c r="H1009" i="1"/>
  <c r="J1009" i="1"/>
  <c r="F1010" i="1"/>
  <c r="H1010" i="1"/>
  <c r="J1010" i="1"/>
  <c r="F1011" i="1"/>
  <c r="H1011" i="1"/>
  <c r="J1011" i="1"/>
  <c r="F1012" i="1"/>
  <c r="H1012" i="1"/>
  <c r="J1012" i="1"/>
  <c r="F1013" i="1"/>
  <c r="H1013" i="1"/>
  <c r="J1013" i="1"/>
  <c r="F1014" i="1"/>
  <c r="H1014" i="1"/>
  <c r="J1014" i="1"/>
  <c r="F1015" i="1"/>
  <c r="H1015" i="1"/>
  <c r="J1015" i="1"/>
  <c r="F1016" i="1"/>
  <c r="H1016" i="1"/>
  <c r="J1016" i="1"/>
  <c r="F1017" i="1"/>
  <c r="H1017" i="1"/>
  <c r="J1017" i="1"/>
  <c r="F1018" i="1"/>
  <c r="H1018" i="1"/>
  <c r="J1018" i="1"/>
  <c r="F1019" i="1"/>
  <c r="H1019" i="1"/>
  <c r="J1019" i="1"/>
  <c r="F1020" i="1"/>
  <c r="H1020" i="1"/>
  <c r="J1020" i="1"/>
  <c r="F1021" i="1"/>
  <c r="H1021" i="1"/>
  <c r="J1021" i="1"/>
  <c r="F1022" i="1"/>
  <c r="H1022" i="1"/>
  <c r="J1022" i="1"/>
  <c r="F1023" i="1"/>
  <c r="H1023" i="1"/>
  <c r="J1023" i="1"/>
  <c r="F1024" i="1"/>
  <c r="H1024" i="1"/>
  <c r="J1024" i="1"/>
  <c r="F1025" i="1"/>
  <c r="H1025" i="1"/>
  <c r="J1025" i="1"/>
  <c r="F1026" i="1"/>
  <c r="H1026" i="1"/>
  <c r="J1026" i="1"/>
  <c r="F1027" i="1"/>
  <c r="H1027" i="1"/>
  <c r="J1027" i="1"/>
  <c r="F1028" i="1"/>
  <c r="H1028" i="1"/>
  <c r="J1028" i="1"/>
  <c r="F1029" i="1"/>
  <c r="H1029" i="1"/>
  <c r="J1029" i="1"/>
  <c r="F1030" i="1"/>
  <c r="H1030" i="1"/>
  <c r="J1030" i="1"/>
  <c r="F1031" i="1"/>
  <c r="H1031" i="1"/>
  <c r="J1031" i="1"/>
  <c r="F1032" i="1"/>
  <c r="H1032" i="1"/>
  <c r="J1032" i="1"/>
  <c r="F1033" i="1"/>
  <c r="H1033" i="1"/>
  <c r="J1033" i="1"/>
  <c r="F1034" i="1"/>
  <c r="H1034" i="1"/>
  <c r="J1034" i="1"/>
  <c r="F1035" i="1"/>
  <c r="H1035" i="1"/>
  <c r="J1035" i="1"/>
  <c r="F1036" i="1"/>
  <c r="H1036" i="1"/>
  <c r="J1036" i="1"/>
  <c r="F1037" i="1"/>
  <c r="H1037" i="1"/>
  <c r="J1037" i="1"/>
  <c r="F1038" i="1"/>
  <c r="H1038" i="1"/>
  <c r="J1038" i="1"/>
  <c r="F1039" i="1"/>
  <c r="H1039" i="1"/>
  <c r="J1039" i="1"/>
  <c r="F1040" i="1"/>
  <c r="H1040" i="1"/>
  <c r="J1040" i="1"/>
  <c r="F1041" i="1"/>
  <c r="H1041" i="1"/>
  <c r="J1041" i="1"/>
  <c r="F1042" i="1"/>
  <c r="H1042" i="1"/>
  <c r="J1042" i="1"/>
  <c r="F1043" i="1"/>
  <c r="H1043" i="1"/>
  <c r="J1043" i="1"/>
  <c r="F1044" i="1"/>
  <c r="H1044" i="1"/>
  <c r="J1044" i="1"/>
  <c r="F1045" i="1"/>
  <c r="H1045" i="1"/>
  <c r="J1045" i="1"/>
  <c r="F1046" i="1"/>
  <c r="H1046" i="1"/>
  <c r="J1046" i="1"/>
  <c r="F1047" i="1"/>
  <c r="H1047" i="1"/>
  <c r="J1047" i="1"/>
  <c r="F1048" i="1"/>
  <c r="H1048" i="1"/>
  <c r="J1048" i="1"/>
  <c r="F1049" i="1"/>
  <c r="H1049" i="1"/>
  <c r="J1049" i="1"/>
  <c r="F1050" i="1"/>
  <c r="H1050" i="1"/>
  <c r="J1050" i="1"/>
  <c r="F1051" i="1"/>
  <c r="H1051" i="1"/>
  <c r="J1051" i="1"/>
  <c r="F1052" i="1"/>
  <c r="H1052" i="1"/>
  <c r="J1052" i="1"/>
  <c r="F1053" i="1"/>
  <c r="H1053" i="1"/>
  <c r="J1053" i="1"/>
  <c r="F1054" i="1"/>
  <c r="H1054" i="1"/>
  <c r="J1054" i="1"/>
  <c r="F1055" i="1"/>
  <c r="H1055" i="1"/>
  <c r="J1055" i="1"/>
  <c r="F1056" i="1"/>
  <c r="H1056" i="1"/>
  <c r="J1056" i="1"/>
  <c r="F1057" i="1"/>
  <c r="H1057" i="1"/>
  <c r="J1057" i="1"/>
  <c r="F1058" i="1"/>
  <c r="H1058" i="1"/>
  <c r="J1058" i="1"/>
  <c r="F1059" i="1"/>
  <c r="H1059" i="1"/>
  <c r="J1059" i="1"/>
  <c r="F1060" i="1"/>
  <c r="H1060" i="1"/>
  <c r="J1060" i="1"/>
  <c r="F1061" i="1"/>
  <c r="H1061" i="1"/>
  <c r="J1061" i="1"/>
  <c r="F1062" i="1"/>
  <c r="H1062" i="1"/>
  <c r="J1062" i="1"/>
  <c r="F1063" i="1"/>
  <c r="H1063" i="1"/>
  <c r="J1063" i="1"/>
  <c r="F1064" i="1"/>
  <c r="H1064" i="1"/>
  <c r="J1064" i="1"/>
  <c r="F1065" i="1"/>
  <c r="H1065" i="1"/>
  <c r="J1065" i="1"/>
  <c r="F1066" i="1"/>
  <c r="H1066" i="1"/>
  <c r="J1066" i="1"/>
  <c r="F1067" i="1"/>
  <c r="H1067" i="1"/>
  <c r="J1067" i="1"/>
  <c r="F1068" i="1"/>
  <c r="H1068" i="1"/>
  <c r="J1068" i="1"/>
  <c r="F1069" i="1"/>
  <c r="H1069" i="1"/>
  <c r="J1069" i="1"/>
  <c r="F1070" i="1"/>
  <c r="H1070" i="1"/>
  <c r="J1070" i="1"/>
  <c r="F1071" i="1"/>
  <c r="H1071" i="1"/>
  <c r="J1071" i="1"/>
  <c r="F1072" i="1"/>
  <c r="H1072" i="1"/>
  <c r="J1072" i="1"/>
  <c r="F1073" i="1"/>
  <c r="H1073" i="1"/>
  <c r="J1073" i="1"/>
  <c r="F1074" i="1"/>
  <c r="H1074" i="1"/>
  <c r="J1074" i="1"/>
  <c r="F1075" i="1"/>
  <c r="H1075" i="1"/>
  <c r="J1075" i="1"/>
  <c r="F1076" i="1"/>
  <c r="H1076" i="1"/>
  <c r="J1076" i="1"/>
  <c r="F1077" i="1"/>
  <c r="H1077" i="1"/>
  <c r="J1077" i="1"/>
  <c r="F1078" i="1"/>
  <c r="H1078" i="1"/>
  <c r="J1078" i="1"/>
  <c r="F1079" i="1"/>
  <c r="H1079" i="1"/>
  <c r="J1079" i="1"/>
  <c r="F1080" i="1"/>
  <c r="H1080" i="1"/>
  <c r="J1080" i="1"/>
  <c r="F1081" i="1"/>
  <c r="H1081" i="1"/>
  <c r="J1081" i="1"/>
  <c r="F1082" i="1"/>
  <c r="H1082" i="1"/>
  <c r="J1082" i="1"/>
  <c r="F1083" i="1"/>
  <c r="H1083" i="1"/>
  <c r="J1083" i="1"/>
  <c r="F1084" i="1"/>
  <c r="H1084" i="1"/>
  <c r="J1084" i="1"/>
  <c r="F1085" i="1"/>
  <c r="H1085" i="1"/>
  <c r="J1085" i="1"/>
  <c r="F1086" i="1"/>
  <c r="H1086" i="1"/>
  <c r="J1086" i="1"/>
  <c r="F1087" i="1"/>
  <c r="H1087" i="1"/>
  <c r="J1087" i="1"/>
  <c r="F1088" i="1"/>
  <c r="H1088" i="1"/>
  <c r="J1088" i="1"/>
  <c r="F1089" i="1"/>
  <c r="H1089" i="1"/>
  <c r="J1089" i="1"/>
  <c r="F1090" i="1"/>
  <c r="H1090" i="1"/>
  <c r="J1090" i="1"/>
  <c r="F1091" i="1"/>
  <c r="H1091" i="1"/>
  <c r="J1091" i="1"/>
  <c r="F1092" i="1"/>
  <c r="H1092" i="1"/>
  <c r="J1092" i="1"/>
  <c r="F1093" i="1"/>
  <c r="H1093" i="1"/>
  <c r="J1093" i="1"/>
  <c r="F1094" i="1"/>
  <c r="H1094" i="1"/>
  <c r="J1094" i="1"/>
  <c r="F1095" i="1"/>
  <c r="H1095" i="1"/>
  <c r="J1095" i="1"/>
  <c r="F1096" i="1"/>
  <c r="H1096" i="1"/>
  <c r="J1096" i="1"/>
  <c r="F1097" i="1"/>
  <c r="H1097" i="1"/>
  <c r="J1097" i="1"/>
  <c r="F1098" i="1"/>
  <c r="H1098" i="1"/>
  <c r="J1098" i="1"/>
  <c r="F1099" i="1"/>
  <c r="H1099" i="1"/>
  <c r="J1099" i="1"/>
  <c r="F1100" i="1"/>
  <c r="H1100" i="1"/>
  <c r="J1100" i="1"/>
  <c r="F1101" i="1"/>
  <c r="H1101" i="1"/>
  <c r="J1101" i="1"/>
  <c r="F1102" i="1"/>
  <c r="H1102" i="1"/>
  <c r="J1102" i="1"/>
  <c r="F1103" i="1"/>
  <c r="H1103" i="1"/>
  <c r="J1103" i="1"/>
  <c r="F1104" i="1"/>
  <c r="H1104" i="1"/>
  <c r="J1104" i="1"/>
  <c r="F1105" i="1"/>
  <c r="H1105" i="1"/>
  <c r="J1105" i="1"/>
  <c r="F1106" i="1"/>
  <c r="H1106" i="1"/>
  <c r="J1106" i="1"/>
  <c r="F1107" i="1"/>
  <c r="H1107" i="1"/>
  <c r="J1107" i="1"/>
  <c r="F1108" i="1"/>
  <c r="H1108" i="1"/>
  <c r="J1108" i="1"/>
  <c r="F1109" i="1"/>
  <c r="H1109" i="1"/>
  <c r="J1109" i="1"/>
  <c r="F1110" i="1"/>
  <c r="H1110" i="1"/>
  <c r="J1110" i="1"/>
  <c r="F1111" i="1"/>
  <c r="H1111" i="1"/>
  <c r="J1111" i="1"/>
  <c r="F1112" i="1"/>
  <c r="H1112" i="1"/>
  <c r="J1112" i="1"/>
  <c r="F1113" i="1"/>
  <c r="H1113" i="1"/>
  <c r="J1113" i="1"/>
  <c r="F1114" i="1"/>
  <c r="H1114" i="1"/>
  <c r="J1114" i="1"/>
  <c r="F1115" i="1"/>
  <c r="H1115" i="1"/>
  <c r="J1115" i="1"/>
  <c r="F1116" i="1"/>
  <c r="H1116" i="1"/>
  <c r="J1116" i="1"/>
  <c r="F1117" i="1"/>
  <c r="H1117" i="1"/>
  <c r="J1117" i="1"/>
  <c r="F1118" i="1"/>
  <c r="H1118" i="1"/>
  <c r="J1118" i="1"/>
  <c r="F1119" i="1"/>
  <c r="H1119" i="1"/>
  <c r="J1119" i="1"/>
  <c r="F1120" i="1"/>
  <c r="H1120" i="1"/>
  <c r="J1120" i="1"/>
  <c r="F1121" i="1"/>
  <c r="H1121" i="1"/>
  <c r="J1121" i="1"/>
  <c r="F1122" i="1"/>
  <c r="H1122" i="1"/>
  <c r="J1122" i="1"/>
  <c r="F1123" i="1"/>
  <c r="H1123" i="1"/>
  <c r="J1123" i="1"/>
  <c r="F1124" i="1"/>
  <c r="H1124" i="1"/>
  <c r="J1124" i="1"/>
  <c r="F1125" i="1"/>
  <c r="H1125" i="1"/>
  <c r="J1125" i="1"/>
  <c r="F1126" i="1"/>
  <c r="H1126" i="1"/>
  <c r="J1126" i="1"/>
  <c r="F1127" i="1"/>
  <c r="H1127" i="1"/>
  <c r="J1127" i="1"/>
  <c r="F1128" i="1"/>
  <c r="H1128" i="1"/>
  <c r="J1128" i="1"/>
  <c r="F1129" i="1"/>
  <c r="H1129" i="1"/>
  <c r="J1129" i="1"/>
  <c r="F1130" i="1"/>
  <c r="H1130" i="1"/>
  <c r="J1130" i="1"/>
  <c r="F1131" i="1"/>
  <c r="H1131" i="1"/>
  <c r="J1131" i="1"/>
  <c r="F1132" i="1"/>
  <c r="H1132" i="1"/>
  <c r="J1132" i="1"/>
  <c r="F1133" i="1"/>
  <c r="H1133" i="1"/>
  <c r="J1133" i="1"/>
  <c r="F1134" i="1"/>
  <c r="H1134" i="1"/>
  <c r="J1134" i="1"/>
  <c r="F1135" i="1"/>
  <c r="H1135" i="1"/>
  <c r="J1135" i="1"/>
  <c r="F1136" i="1"/>
  <c r="H1136" i="1"/>
  <c r="J1136" i="1"/>
  <c r="F1137" i="1"/>
  <c r="H1137" i="1"/>
  <c r="J1137" i="1"/>
  <c r="F1138" i="1"/>
  <c r="H1138" i="1"/>
  <c r="J1138" i="1"/>
  <c r="F1139" i="1"/>
  <c r="H1139" i="1"/>
  <c r="J1139" i="1"/>
  <c r="F1140" i="1"/>
  <c r="H1140" i="1"/>
  <c r="J1140" i="1"/>
  <c r="F1141" i="1"/>
  <c r="H1141" i="1"/>
  <c r="J1141" i="1"/>
  <c r="F1142" i="1"/>
  <c r="H1142" i="1"/>
  <c r="J1142" i="1"/>
  <c r="F1143" i="1"/>
  <c r="H1143" i="1"/>
  <c r="J1143" i="1"/>
  <c r="F1144" i="1"/>
  <c r="H1144" i="1"/>
  <c r="J1144" i="1"/>
  <c r="F1145" i="1"/>
  <c r="H1145" i="1"/>
  <c r="J1145" i="1"/>
  <c r="F1146" i="1"/>
  <c r="H1146" i="1"/>
  <c r="J1146" i="1"/>
  <c r="F1147" i="1"/>
  <c r="H1147" i="1"/>
  <c r="J1147" i="1"/>
  <c r="F1148" i="1"/>
  <c r="H1148" i="1"/>
  <c r="J1148" i="1"/>
  <c r="F1149" i="1"/>
  <c r="H1149" i="1"/>
  <c r="J1149" i="1"/>
  <c r="F1150" i="1"/>
  <c r="H1150" i="1"/>
  <c r="J1150" i="1"/>
  <c r="F1151" i="1"/>
  <c r="H1151" i="1"/>
  <c r="J1151" i="1"/>
  <c r="F1152" i="1"/>
  <c r="H1152" i="1"/>
  <c r="J1152" i="1"/>
  <c r="F1153" i="1"/>
  <c r="H1153" i="1"/>
  <c r="J1153" i="1"/>
  <c r="F1154" i="1"/>
  <c r="H1154" i="1"/>
  <c r="J1154" i="1"/>
  <c r="F1155" i="1"/>
  <c r="H1155" i="1"/>
  <c r="J1155" i="1"/>
  <c r="F1156" i="1"/>
  <c r="H1156" i="1"/>
  <c r="J1156" i="1"/>
  <c r="F1157" i="1"/>
  <c r="H1157" i="1"/>
  <c r="J1157" i="1"/>
  <c r="F1158" i="1"/>
  <c r="H1158" i="1"/>
  <c r="J1158" i="1"/>
  <c r="F1159" i="1"/>
  <c r="H1159" i="1"/>
  <c r="J1159" i="1"/>
  <c r="F1160" i="1"/>
  <c r="H1160" i="1"/>
  <c r="J1160" i="1"/>
  <c r="F1161" i="1"/>
  <c r="H1161" i="1"/>
  <c r="J1161" i="1"/>
  <c r="F1162" i="1"/>
  <c r="H1162" i="1"/>
  <c r="J1162" i="1"/>
  <c r="F1163" i="1"/>
  <c r="H1163" i="1"/>
  <c r="J1163" i="1"/>
  <c r="F1164" i="1"/>
  <c r="H1164" i="1"/>
  <c r="J1164" i="1"/>
  <c r="F1165" i="1"/>
  <c r="H1165" i="1"/>
  <c r="J1165" i="1"/>
  <c r="F1166" i="1"/>
  <c r="H1166" i="1"/>
  <c r="J1166" i="1"/>
  <c r="F1167" i="1"/>
  <c r="H1167" i="1"/>
  <c r="J1167" i="1"/>
  <c r="F1168" i="1"/>
  <c r="H1168" i="1"/>
  <c r="J1168" i="1"/>
  <c r="F1169" i="1"/>
  <c r="H1169" i="1"/>
  <c r="J1169" i="1"/>
  <c r="F1170" i="1"/>
  <c r="H1170" i="1"/>
  <c r="J1170" i="1"/>
  <c r="F1171" i="1"/>
  <c r="H1171" i="1"/>
  <c r="J1171" i="1"/>
  <c r="F1172" i="1"/>
  <c r="H1172" i="1"/>
  <c r="J1172" i="1"/>
  <c r="F1173" i="1"/>
  <c r="H1173" i="1"/>
  <c r="J1173" i="1"/>
  <c r="F1174" i="1"/>
  <c r="H1174" i="1"/>
  <c r="J1174" i="1"/>
  <c r="F1175" i="1"/>
  <c r="H1175" i="1"/>
  <c r="J1175" i="1"/>
  <c r="F1176" i="1"/>
  <c r="H1176" i="1"/>
  <c r="J1176" i="1"/>
  <c r="F1177" i="1"/>
  <c r="H1177" i="1"/>
  <c r="J1177" i="1"/>
  <c r="F1178" i="1"/>
  <c r="H1178" i="1"/>
  <c r="J1178" i="1"/>
  <c r="F1179" i="1"/>
  <c r="H1179" i="1"/>
  <c r="J1179" i="1"/>
  <c r="F1180" i="1"/>
  <c r="H1180" i="1"/>
  <c r="J1180" i="1"/>
  <c r="F1181" i="1"/>
  <c r="H1181" i="1"/>
  <c r="J1181" i="1"/>
  <c r="F1182" i="1"/>
  <c r="H1182" i="1"/>
  <c r="J1182" i="1"/>
  <c r="F1183" i="1"/>
  <c r="H1183" i="1"/>
  <c r="J1183" i="1"/>
  <c r="F1184" i="1"/>
  <c r="H1184" i="1"/>
  <c r="J1184" i="1"/>
  <c r="F1185" i="1"/>
  <c r="H1185" i="1"/>
  <c r="J1185" i="1"/>
  <c r="F1186" i="1"/>
  <c r="H1186" i="1"/>
  <c r="J1186" i="1"/>
  <c r="F1187" i="1"/>
  <c r="H1187" i="1"/>
  <c r="J1187" i="1"/>
  <c r="F1188" i="1"/>
  <c r="H1188" i="1"/>
  <c r="J1188" i="1"/>
  <c r="F1189" i="1"/>
  <c r="H1189" i="1"/>
  <c r="J1189" i="1"/>
  <c r="F1190" i="1"/>
  <c r="H1190" i="1"/>
  <c r="J1190" i="1"/>
  <c r="F1191" i="1"/>
  <c r="H1191" i="1"/>
  <c r="J1191" i="1"/>
  <c r="F1192" i="1"/>
  <c r="H1192" i="1"/>
  <c r="J1192" i="1"/>
  <c r="F1193" i="1"/>
  <c r="H1193" i="1"/>
  <c r="J1193" i="1"/>
  <c r="F1194" i="1"/>
  <c r="H1194" i="1"/>
  <c r="J1194" i="1"/>
  <c r="F1195" i="1"/>
  <c r="H1195" i="1"/>
  <c r="J1195" i="1"/>
  <c r="F1196" i="1"/>
  <c r="H1196" i="1"/>
  <c r="J1196" i="1"/>
  <c r="F1197" i="1"/>
  <c r="H1197" i="1"/>
  <c r="J1197" i="1"/>
  <c r="F1198" i="1"/>
  <c r="H1198" i="1"/>
  <c r="J1198" i="1"/>
  <c r="F1199" i="1"/>
  <c r="H1199" i="1"/>
  <c r="J1199" i="1"/>
  <c r="F1200" i="1"/>
  <c r="H1200" i="1"/>
  <c r="J1200" i="1"/>
  <c r="F1201" i="1"/>
  <c r="H1201" i="1"/>
  <c r="J1201" i="1"/>
  <c r="F1202" i="1"/>
  <c r="H1202" i="1"/>
  <c r="J1202" i="1"/>
  <c r="F1203" i="1"/>
  <c r="H1203" i="1"/>
  <c r="J1203" i="1"/>
  <c r="F1204" i="1"/>
  <c r="H1204" i="1"/>
  <c r="J1204" i="1"/>
  <c r="F1205" i="1"/>
  <c r="H1205" i="1"/>
  <c r="J1205" i="1"/>
  <c r="F1206" i="1"/>
  <c r="H1206" i="1"/>
  <c r="J1206" i="1"/>
  <c r="F1207" i="1"/>
  <c r="H1207" i="1"/>
  <c r="J1207" i="1"/>
  <c r="F1208" i="1"/>
  <c r="H1208" i="1"/>
  <c r="J1208" i="1"/>
  <c r="F1209" i="1"/>
  <c r="H1209" i="1"/>
  <c r="J1209" i="1"/>
  <c r="F1210" i="1"/>
  <c r="H1210" i="1"/>
  <c r="J1210" i="1"/>
  <c r="F1211" i="1"/>
  <c r="H1211" i="1"/>
  <c r="J1211" i="1"/>
  <c r="F1212" i="1"/>
  <c r="H1212" i="1"/>
  <c r="J1212" i="1"/>
  <c r="F1213" i="1"/>
  <c r="H1213" i="1"/>
  <c r="J1213" i="1"/>
  <c r="F1214" i="1"/>
  <c r="H1214" i="1"/>
  <c r="J1214" i="1"/>
  <c r="F1215" i="1"/>
  <c r="H1215" i="1"/>
  <c r="J1215" i="1"/>
  <c r="F1216" i="1"/>
  <c r="H1216" i="1"/>
  <c r="J1216" i="1"/>
  <c r="F1217" i="1"/>
  <c r="H1217" i="1"/>
  <c r="J1217" i="1"/>
  <c r="F1218" i="1"/>
  <c r="H1218" i="1"/>
  <c r="J1218" i="1"/>
  <c r="F1219" i="1"/>
  <c r="H1219" i="1"/>
  <c r="J1219" i="1"/>
  <c r="F1220" i="1"/>
  <c r="H1220" i="1"/>
  <c r="J1220" i="1"/>
  <c r="F1221" i="1"/>
  <c r="H1221" i="1"/>
  <c r="J1221" i="1"/>
  <c r="F1222" i="1"/>
  <c r="H1222" i="1"/>
  <c r="J1222" i="1"/>
  <c r="F1223" i="1"/>
  <c r="H1223" i="1"/>
  <c r="J1223" i="1"/>
  <c r="F1224" i="1"/>
  <c r="H1224" i="1"/>
  <c r="J1224" i="1"/>
  <c r="F1225" i="1"/>
  <c r="H1225" i="1"/>
  <c r="J1225" i="1"/>
  <c r="F1226" i="1"/>
  <c r="H1226" i="1"/>
  <c r="J1226" i="1"/>
  <c r="F1227" i="1"/>
  <c r="H1227" i="1"/>
  <c r="J1227" i="1"/>
  <c r="F1228" i="1"/>
  <c r="H1228" i="1"/>
  <c r="J1228" i="1"/>
  <c r="F1229" i="1"/>
  <c r="H1229" i="1"/>
  <c r="J1229" i="1"/>
  <c r="F1230" i="1"/>
  <c r="H1230" i="1"/>
  <c r="J1230" i="1"/>
  <c r="F1231" i="1"/>
  <c r="H1231" i="1"/>
  <c r="J1231" i="1"/>
  <c r="F1232" i="1"/>
  <c r="H1232" i="1"/>
  <c r="J1232" i="1"/>
  <c r="F1233" i="1"/>
  <c r="H1233" i="1"/>
  <c r="J1233" i="1"/>
  <c r="F1234" i="1"/>
  <c r="H1234" i="1"/>
  <c r="J1234" i="1"/>
  <c r="F1235" i="1"/>
  <c r="H1235" i="1"/>
  <c r="J1235" i="1"/>
  <c r="F1236" i="1"/>
  <c r="H1236" i="1"/>
  <c r="J1236" i="1"/>
  <c r="F1237" i="1"/>
  <c r="H1237" i="1"/>
  <c r="J1237" i="1"/>
  <c r="F1238" i="1"/>
  <c r="H1238" i="1"/>
  <c r="J1238" i="1"/>
  <c r="F1239" i="1"/>
  <c r="H1239" i="1"/>
  <c r="J1239" i="1"/>
  <c r="F1240" i="1"/>
  <c r="H1240" i="1"/>
  <c r="J1240" i="1"/>
  <c r="F1241" i="1"/>
  <c r="H1241" i="1"/>
  <c r="J1241" i="1"/>
  <c r="F1242" i="1"/>
  <c r="H1242" i="1"/>
  <c r="J1242" i="1"/>
  <c r="F1243" i="1"/>
  <c r="H1243" i="1"/>
  <c r="J1243" i="1"/>
  <c r="F1244" i="1"/>
  <c r="H1244" i="1"/>
  <c r="J1244" i="1"/>
  <c r="F1245" i="1"/>
  <c r="H1245" i="1"/>
  <c r="J1245" i="1"/>
  <c r="F1246" i="1"/>
  <c r="H1246" i="1"/>
  <c r="J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H1337" i="1"/>
  <c r="J1337" i="1"/>
  <c r="F1338" i="1"/>
  <c r="H1338" i="1"/>
  <c r="J1338" i="1"/>
  <c r="F1339" i="1"/>
  <c r="H1339" i="1"/>
  <c r="J1339" i="1"/>
  <c r="F1340" i="1"/>
  <c r="H1340" i="1"/>
  <c r="J1340" i="1"/>
  <c r="F1341" i="1"/>
  <c r="H1341" i="1"/>
  <c r="J1341" i="1"/>
  <c r="F1342" i="1"/>
  <c r="H1342" i="1"/>
  <c r="J1342" i="1"/>
  <c r="F1343" i="1"/>
  <c r="H1343" i="1"/>
  <c r="J1343" i="1"/>
  <c r="F1344" i="1"/>
  <c r="H1344" i="1"/>
  <c r="J1344" i="1"/>
  <c r="F1345" i="1"/>
  <c r="H1345" i="1"/>
  <c r="J1345" i="1"/>
  <c r="F1346" i="1"/>
  <c r="H1346" i="1"/>
  <c r="J1346" i="1"/>
  <c r="F1347" i="1"/>
  <c r="H1347" i="1"/>
  <c r="J1347" i="1"/>
  <c r="F1348" i="1"/>
  <c r="H1348" i="1"/>
  <c r="J1348" i="1"/>
  <c r="F1349" i="1"/>
  <c r="H1349" i="1"/>
  <c r="J1349" i="1"/>
  <c r="F1350" i="1"/>
  <c r="H1350" i="1"/>
  <c r="J1350" i="1"/>
  <c r="F1351" i="1"/>
  <c r="H1351" i="1"/>
  <c r="J1351" i="1"/>
  <c r="F1352" i="1"/>
  <c r="H1352" i="1"/>
  <c r="J1352" i="1"/>
  <c r="F1353" i="1"/>
  <c r="H1353" i="1"/>
  <c r="J1353" i="1"/>
  <c r="F1354" i="1"/>
  <c r="H1354" i="1"/>
  <c r="J1354" i="1"/>
  <c r="F1355" i="1"/>
  <c r="H1355" i="1"/>
  <c r="J1355" i="1"/>
  <c r="F1356" i="1"/>
  <c r="H1356" i="1"/>
  <c r="J1356" i="1"/>
  <c r="F1357" i="1"/>
  <c r="H1357" i="1"/>
  <c r="J1357" i="1"/>
  <c r="F1358" i="1"/>
  <c r="H1358" i="1"/>
  <c r="J1358" i="1"/>
  <c r="F1359" i="1"/>
  <c r="H1359" i="1"/>
  <c r="J1359" i="1"/>
  <c r="F1360" i="1"/>
  <c r="H1360" i="1"/>
  <c r="J1360" i="1"/>
  <c r="F1361" i="1"/>
  <c r="H1361" i="1"/>
  <c r="J1361" i="1"/>
  <c r="F1362" i="1"/>
  <c r="H1362" i="1"/>
  <c r="J1362" i="1"/>
  <c r="F1363" i="1"/>
  <c r="H1363" i="1"/>
  <c r="J1363" i="1"/>
  <c r="F1364" i="1"/>
  <c r="H1364" i="1"/>
  <c r="J1364" i="1"/>
  <c r="F1365" i="1"/>
  <c r="H1365" i="1"/>
  <c r="J1365" i="1"/>
  <c r="F1366" i="1"/>
  <c r="H1366" i="1"/>
  <c r="J1366" i="1"/>
  <c r="F1367" i="1"/>
  <c r="H1367" i="1"/>
  <c r="J1367" i="1"/>
  <c r="F1368" i="1"/>
  <c r="H1368" i="1"/>
  <c r="J1368" i="1"/>
  <c r="F1369" i="1"/>
  <c r="H1369" i="1"/>
  <c r="J1369" i="1"/>
  <c r="F1370" i="1"/>
  <c r="H1370" i="1"/>
  <c r="J1370" i="1"/>
  <c r="F1371" i="1"/>
  <c r="H1371" i="1"/>
  <c r="J1371" i="1"/>
  <c r="F1372" i="1"/>
  <c r="H1372" i="1"/>
  <c r="J1372" i="1"/>
  <c r="F1373" i="1"/>
  <c r="H1373" i="1"/>
  <c r="J1373" i="1"/>
  <c r="F1374" i="1"/>
  <c r="H1374" i="1"/>
  <c r="J1374" i="1"/>
  <c r="F1375" i="1"/>
  <c r="H1375" i="1"/>
  <c r="J1375" i="1"/>
  <c r="F1376" i="1"/>
  <c r="H1376" i="1"/>
  <c r="J1376" i="1"/>
  <c r="F1377" i="1"/>
  <c r="H1377" i="1"/>
  <c r="J1377" i="1"/>
  <c r="F1378" i="1"/>
  <c r="H1378" i="1"/>
  <c r="J1378" i="1"/>
  <c r="F1379" i="1"/>
  <c r="H1379" i="1"/>
  <c r="J1379" i="1"/>
  <c r="F1380" i="1"/>
  <c r="H1380" i="1"/>
  <c r="J1380" i="1"/>
  <c r="F1381" i="1"/>
  <c r="H1381" i="1"/>
  <c r="J1381" i="1"/>
  <c r="F1382" i="1"/>
  <c r="H1382" i="1"/>
  <c r="J1382" i="1"/>
  <c r="F1383" i="1"/>
  <c r="H1383" i="1"/>
  <c r="J1383" i="1"/>
  <c r="F1384" i="1"/>
  <c r="H1384" i="1"/>
  <c r="J1384" i="1"/>
  <c r="F1385" i="1"/>
  <c r="H1385" i="1"/>
  <c r="J1385" i="1"/>
  <c r="F1386" i="1"/>
  <c r="H1386" i="1"/>
  <c r="J1386" i="1"/>
  <c r="F1387" i="1"/>
  <c r="H1387" i="1"/>
  <c r="J1387" i="1"/>
  <c r="F1388" i="1"/>
  <c r="H1388" i="1"/>
  <c r="J1388" i="1"/>
  <c r="F1389" i="1"/>
  <c r="H1389" i="1"/>
  <c r="J1389" i="1"/>
  <c r="F1390" i="1"/>
  <c r="H1390" i="1"/>
  <c r="J1390" i="1"/>
  <c r="F1391" i="1"/>
  <c r="H1391" i="1"/>
  <c r="J1391" i="1"/>
  <c r="F1392" i="1"/>
  <c r="H1392" i="1"/>
  <c r="J1392" i="1"/>
  <c r="F1393" i="1"/>
  <c r="H1393" i="1"/>
  <c r="J1393" i="1"/>
  <c r="F1394" i="1"/>
  <c r="H1394" i="1"/>
  <c r="J1394" i="1"/>
  <c r="F1395" i="1"/>
  <c r="H1395" i="1"/>
  <c r="J1395" i="1"/>
  <c r="F1396" i="1"/>
  <c r="H1396" i="1"/>
  <c r="J1396" i="1"/>
  <c r="F1397" i="1"/>
  <c r="H1397" i="1"/>
  <c r="J1397" i="1"/>
  <c r="F1398" i="1"/>
  <c r="H1398" i="1"/>
  <c r="J1398" i="1"/>
  <c r="F1399" i="1"/>
  <c r="H1399" i="1"/>
  <c r="J1399" i="1"/>
  <c r="F1400" i="1"/>
  <c r="H1400" i="1"/>
  <c r="J1400" i="1"/>
  <c r="F1401" i="1"/>
  <c r="H1401" i="1"/>
  <c r="J1401" i="1"/>
  <c r="F1402" i="1"/>
  <c r="H1402" i="1"/>
  <c r="J1402" i="1"/>
  <c r="F1403" i="1"/>
  <c r="H1403" i="1"/>
  <c r="J1403" i="1"/>
  <c r="F1404" i="1"/>
  <c r="H1404" i="1"/>
  <c r="J1404" i="1"/>
  <c r="F1405" i="1"/>
  <c r="H1405" i="1"/>
  <c r="J1405" i="1"/>
  <c r="F1406" i="1"/>
  <c r="H1406" i="1"/>
  <c r="J1406" i="1"/>
  <c r="F1407" i="1"/>
  <c r="H1407" i="1"/>
  <c r="J1407" i="1"/>
  <c r="F1408" i="1"/>
  <c r="H1408" i="1"/>
  <c r="J1408" i="1"/>
  <c r="F1409" i="1"/>
  <c r="H1409" i="1"/>
  <c r="J1409" i="1"/>
  <c r="F1410" i="1"/>
  <c r="H1410" i="1"/>
  <c r="J1410" i="1"/>
  <c r="F1411" i="1"/>
  <c r="H1411" i="1"/>
  <c r="J1411" i="1"/>
  <c r="F1412" i="1"/>
  <c r="H1412" i="1"/>
  <c r="J1412" i="1"/>
  <c r="F1413" i="1"/>
  <c r="H1413" i="1"/>
  <c r="J1413" i="1"/>
  <c r="F1414" i="1"/>
  <c r="H1414" i="1"/>
  <c r="J1414" i="1"/>
  <c r="F1415" i="1"/>
  <c r="H1415" i="1"/>
  <c r="J1415" i="1"/>
  <c r="F1416" i="1"/>
  <c r="H1416" i="1"/>
  <c r="J1416" i="1"/>
  <c r="F1417" i="1"/>
  <c r="H1417" i="1"/>
  <c r="J1417" i="1"/>
  <c r="F1418" i="1"/>
  <c r="H1418" i="1"/>
  <c r="J1418" i="1"/>
  <c r="F1419" i="1"/>
  <c r="H1419" i="1"/>
  <c r="J1419" i="1"/>
  <c r="F1420" i="1"/>
  <c r="H1420" i="1"/>
  <c r="J1420" i="1"/>
  <c r="F1421" i="1"/>
  <c r="H1421" i="1"/>
  <c r="J1421" i="1"/>
  <c r="F1422" i="1"/>
  <c r="H1422" i="1"/>
  <c r="J1422" i="1"/>
  <c r="F1423" i="1"/>
  <c r="H1423" i="1"/>
  <c r="J1423" i="1"/>
  <c r="F1424" i="1"/>
  <c r="H1424" i="1"/>
  <c r="J1424" i="1"/>
  <c r="F1425" i="1"/>
  <c r="H1425" i="1"/>
  <c r="J1425" i="1"/>
  <c r="F1426" i="1"/>
  <c r="H1426" i="1"/>
  <c r="J1426" i="1"/>
  <c r="F1427" i="1"/>
  <c r="H1427" i="1"/>
  <c r="J1427" i="1"/>
  <c r="F1428" i="1"/>
  <c r="H1428" i="1"/>
  <c r="J1428" i="1"/>
  <c r="F1429" i="1"/>
  <c r="H1429" i="1"/>
  <c r="J1429" i="1"/>
  <c r="F1430" i="1"/>
  <c r="H1430" i="1"/>
  <c r="J1430" i="1"/>
  <c r="F1431" i="1"/>
  <c r="H1431" i="1"/>
  <c r="J1431" i="1"/>
  <c r="F1432" i="1"/>
  <c r="H1432" i="1"/>
  <c r="J1432" i="1"/>
  <c r="F1433" i="1"/>
  <c r="H1433" i="1"/>
  <c r="J1433" i="1"/>
  <c r="F1434" i="1"/>
  <c r="H1434" i="1"/>
  <c r="J1434" i="1"/>
  <c r="F1435" i="1"/>
  <c r="H1435" i="1"/>
  <c r="J1435" i="1"/>
  <c r="F1436" i="1"/>
  <c r="H1436" i="1"/>
  <c r="J1436" i="1"/>
  <c r="F1437" i="1"/>
  <c r="H1437" i="1"/>
  <c r="J1437" i="1"/>
  <c r="F1438" i="1"/>
  <c r="H1438" i="1"/>
  <c r="J1438" i="1"/>
  <c r="F1439" i="1"/>
  <c r="H1439" i="1"/>
  <c r="J1439" i="1"/>
  <c r="F1440" i="1"/>
  <c r="H1440" i="1"/>
  <c r="J1440" i="1"/>
  <c r="F1441" i="1"/>
  <c r="H1441" i="1"/>
  <c r="J1441" i="1"/>
  <c r="F1442" i="1"/>
  <c r="H1442" i="1"/>
  <c r="J1442" i="1"/>
  <c r="F1443" i="1"/>
  <c r="H1443" i="1"/>
  <c r="J1443" i="1"/>
  <c r="F1444" i="1"/>
  <c r="H1444" i="1"/>
  <c r="J1444" i="1"/>
  <c r="F1445" i="1"/>
  <c r="H1445" i="1"/>
  <c r="J1445" i="1"/>
  <c r="F1446" i="1"/>
  <c r="H1446" i="1"/>
  <c r="J1446" i="1"/>
  <c r="F1447" i="1"/>
  <c r="H1447" i="1"/>
  <c r="J1447" i="1"/>
  <c r="F1448" i="1"/>
  <c r="H1448" i="1"/>
  <c r="J1448" i="1"/>
  <c r="F1449" i="1"/>
  <c r="H1449" i="1"/>
  <c r="J1449" i="1"/>
  <c r="F1450" i="1"/>
  <c r="H1450" i="1"/>
  <c r="J1450" i="1"/>
  <c r="F1451" i="1"/>
  <c r="H1451" i="1"/>
  <c r="J1451" i="1"/>
  <c r="F1452" i="1"/>
  <c r="H1452" i="1"/>
  <c r="J1452" i="1"/>
  <c r="F1453" i="1"/>
  <c r="H1453" i="1"/>
  <c r="J1453" i="1"/>
  <c r="F1454" i="1"/>
  <c r="H1454" i="1"/>
  <c r="J1454" i="1"/>
  <c r="F1455" i="1"/>
  <c r="H1455" i="1"/>
  <c r="J1455" i="1"/>
  <c r="F1456" i="1"/>
  <c r="H1456" i="1"/>
  <c r="J1456" i="1"/>
  <c r="F1457" i="1"/>
  <c r="H1457" i="1"/>
  <c r="J1457" i="1"/>
  <c r="F1458" i="1"/>
  <c r="H1458" i="1"/>
  <c r="J1458" i="1"/>
  <c r="F1459" i="1"/>
  <c r="H1459" i="1"/>
  <c r="J1459" i="1"/>
  <c r="F1460" i="1"/>
  <c r="H1460" i="1"/>
  <c r="J1460" i="1"/>
  <c r="F1461" i="1"/>
  <c r="H1461" i="1"/>
  <c r="J1461" i="1"/>
  <c r="F1462" i="1"/>
  <c r="H1462" i="1"/>
  <c r="J1462" i="1"/>
  <c r="F1463" i="1"/>
  <c r="H1463" i="1"/>
  <c r="J1463" i="1"/>
  <c r="F1464" i="1"/>
  <c r="H1464" i="1"/>
  <c r="J1464" i="1"/>
  <c r="F1465" i="1"/>
  <c r="H1465" i="1"/>
  <c r="J1465" i="1"/>
  <c r="F1466" i="1"/>
  <c r="H1466" i="1"/>
  <c r="J1466" i="1"/>
  <c r="F1467" i="1"/>
  <c r="H1467" i="1"/>
  <c r="J1467" i="1"/>
  <c r="F1468" i="1"/>
  <c r="H1468" i="1"/>
  <c r="J1468" i="1"/>
  <c r="F1469" i="1"/>
  <c r="H1469" i="1"/>
  <c r="J1469" i="1"/>
  <c r="F1470" i="1"/>
  <c r="H1470" i="1"/>
  <c r="J1470" i="1"/>
  <c r="F1471" i="1"/>
  <c r="H1471" i="1"/>
  <c r="J1471" i="1"/>
  <c r="F1472" i="1"/>
  <c r="H1472" i="1"/>
  <c r="J1472" i="1"/>
  <c r="F1473" i="1"/>
  <c r="H1473" i="1"/>
  <c r="J1473" i="1"/>
  <c r="F1474" i="1"/>
  <c r="H1474" i="1"/>
  <c r="J1474" i="1"/>
  <c r="F1475" i="1"/>
  <c r="H1475" i="1"/>
  <c r="J1475" i="1"/>
  <c r="F1476" i="1"/>
  <c r="H1476" i="1"/>
  <c r="J1476" i="1"/>
  <c r="F1477" i="1"/>
  <c r="H1477" i="1"/>
  <c r="J1477" i="1"/>
  <c r="F1478" i="1"/>
  <c r="H1478" i="1"/>
  <c r="J1478" i="1"/>
  <c r="F1479" i="1"/>
  <c r="H1479" i="1"/>
  <c r="J1479" i="1"/>
  <c r="F1480" i="1"/>
  <c r="H1480" i="1"/>
  <c r="J1480" i="1"/>
  <c r="F1481" i="1"/>
  <c r="H1481" i="1"/>
  <c r="J1481" i="1"/>
  <c r="F1482" i="1"/>
  <c r="H1482" i="1"/>
  <c r="J1482" i="1"/>
  <c r="F1483" i="1"/>
  <c r="H1483" i="1"/>
  <c r="J1483" i="1"/>
  <c r="F1484" i="1"/>
  <c r="H1484" i="1"/>
  <c r="J1484" i="1"/>
  <c r="F1485" i="1"/>
  <c r="H1485" i="1"/>
  <c r="J1485" i="1"/>
  <c r="F1486" i="1"/>
  <c r="H1486" i="1"/>
  <c r="J1486" i="1"/>
  <c r="F1487" i="1"/>
  <c r="H1487" i="1"/>
  <c r="J1487" i="1"/>
  <c r="F1488" i="1"/>
  <c r="H1488" i="1"/>
  <c r="J1488" i="1"/>
  <c r="F1489" i="1"/>
  <c r="H1489" i="1"/>
  <c r="J1489" i="1"/>
  <c r="F1490" i="1"/>
  <c r="H1490" i="1"/>
  <c r="J1490" i="1"/>
  <c r="F1491" i="1"/>
  <c r="H1491" i="1"/>
  <c r="J1491" i="1"/>
  <c r="F1492" i="1"/>
  <c r="H1492" i="1"/>
  <c r="J1492" i="1"/>
  <c r="F1493" i="1"/>
  <c r="H1493" i="1"/>
  <c r="J1493" i="1"/>
  <c r="F1494" i="1"/>
  <c r="H1494" i="1"/>
  <c r="J1494" i="1"/>
  <c r="F1495" i="1"/>
  <c r="H1495" i="1"/>
  <c r="J1495" i="1"/>
  <c r="F1496" i="1"/>
  <c r="H1496" i="1"/>
  <c r="J1496" i="1"/>
  <c r="F1497" i="1"/>
  <c r="H1497" i="1"/>
  <c r="J1497" i="1"/>
  <c r="F1498" i="1"/>
  <c r="H1498" i="1"/>
  <c r="J1498" i="1"/>
  <c r="F1499" i="1"/>
  <c r="H1499" i="1"/>
  <c r="J1499" i="1"/>
  <c r="F1500" i="1"/>
  <c r="H1500" i="1"/>
  <c r="J1500" i="1"/>
  <c r="F1501" i="1"/>
  <c r="H1501" i="1"/>
  <c r="J1501" i="1"/>
  <c r="F1502" i="1"/>
  <c r="H1502" i="1"/>
  <c r="J1502" i="1"/>
  <c r="F1503" i="1"/>
  <c r="H1503" i="1"/>
  <c r="J1503" i="1"/>
  <c r="F1504" i="1"/>
  <c r="H1504" i="1"/>
  <c r="J1504" i="1"/>
  <c r="F1505" i="1"/>
  <c r="H1505" i="1"/>
  <c r="J1505" i="1"/>
  <c r="F1506" i="1"/>
  <c r="H1506" i="1"/>
  <c r="J1506" i="1"/>
  <c r="F1507" i="1"/>
  <c r="H1507" i="1"/>
  <c r="J1507" i="1"/>
  <c r="F1508" i="1"/>
  <c r="H1508" i="1"/>
  <c r="J1508" i="1"/>
  <c r="F1509" i="1"/>
  <c r="H1509" i="1"/>
  <c r="J1509" i="1"/>
  <c r="F1510" i="1"/>
  <c r="H1510" i="1"/>
  <c r="J1510" i="1"/>
  <c r="F1511" i="1"/>
  <c r="H1511" i="1"/>
  <c r="J1511" i="1"/>
  <c r="F1512" i="1"/>
  <c r="H1512" i="1"/>
  <c r="J1512" i="1"/>
  <c r="F1513" i="1"/>
  <c r="H1513" i="1"/>
  <c r="J1513" i="1"/>
  <c r="F1514" i="1"/>
  <c r="H1514" i="1"/>
  <c r="J1514" i="1"/>
  <c r="F1515" i="1"/>
  <c r="H1515" i="1"/>
  <c r="J1515" i="1"/>
  <c r="F1516" i="1"/>
  <c r="H1516" i="1"/>
  <c r="J1516" i="1"/>
  <c r="F1517" i="1"/>
  <c r="H1517" i="1"/>
  <c r="J1517" i="1"/>
  <c r="F1518" i="1"/>
  <c r="H1518" i="1"/>
  <c r="J1518" i="1"/>
  <c r="F1519" i="1"/>
  <c r="H1519" i="1"/>
  <c r="J1519" i="1"/>
  <c r="F1520" i="1"/>
  <c r="H1520" i="1"/>
  <c r="J1520" i="1"/>
  <c r="F1521" i="1"/>
  <c r="H1521" i="1"/>
  <c r="J1521" i="1"/>
  <c r="F1522" i="1"/>
  <c r="H1522" i="1"/>
  <c r="J1522" i="1"/>
  <c r="F1523" i="1"/>
  <c r="H1523" i="1"/>
  <c r="J1523" i="1"/>
  <c r="F1524" i="1"/>
  <c r="H1524" i="1"/>
  <c r="J1524" i="1"/>
  <c r="F1525" i="1"/>
  <c r="H1525" i="1"/>
  <c r="J1525" i="1"/>
  <c r="F1526" i="1"/>
  <c r="H1526" i="1"/>
  <c r="J1526" i="1"/>
  <c r="F1527" i="1"/>
  <c r="H1527" i="1"/>
  <c r="J1527" i="1"/>
  <c r="F1528" i="1"/>
  <c r="H1528" i="1"/>
  <c r="J1528" i="1"/>
  <c r="F1529" i="1"/>
  <c r="H1529" i="1"/>
  <c r="J1529" i="1"/>
  <c r="F1530" i="1"/>
  <c r="H1530" i="1"/>
  <c r="J1530" i="1"/>
  <c r="F1531" i="1"/>
  <c r="H1531" i="1"/>
  <c r="J1531" i="1"/>
  <c r="F1532" i="1"/>
  <c r="H1532" i="1"/>
  <c r="J1532" i="1"/>
  <c r="F1533" i="1"/>
  <c r="H1533" i="1"/>
  <c r="J1533" i="1"/>
  <c r="F1534" i="1"/>
  <c r="H1534" i="1"/>
  <c r="J1534" i="1"/>
  <c r="F1535" i="1"/>
  <c r="H1535" i="1"/>
  <c r="J1535" i="1"/>
  <c r="F1536" i="1"/>
  <c r="H1536" i="1"/>
  <c r="J1536" i="1"/>
  <c r="F1537" i="1"/>
  <c r="H1537" i="1"/>
  <c r="J1537" i="1"/>
  <c r="F1538" i="1"/>
  <c r="H1538" i="1"/>
  <c r="J1538" i="1"/>
  <c r="F1539" i="1"/>
  <c r="H1539" i="1"/>
  <c r="J1539" i="1"/>
  <c r="F1540" i="1"/>
  <c r="H1540" i="1"/>
  <c r="J1540" i="1"/>
  <c r="F1541" i="1"/>
  <c r="H1541" i="1"/>
  <c r="J1541" i="1"/>
  <c r="F1542" i="1"/>
  <c r="H1542" i="1"/>
  <c r="J1542" i="1"/>
  <c r="F1543" i="1"/>
  <c r="H1543" i="1"/>
  <c r="J1543" i="1"/>
  <c r="F1544" i="1"/>
  <c r="H1544" i="1"/>
  <c r="J1544" i="1"/>
  <c r="F1545" i="1"/>
  <c r="H1545" i="1"/>
  <c r="J1545" i="1"/>
  <c r="F1546" i="1"/>
  <c r="H1546" i="1"/>
  <c r="J1546" i="1"/>
  <c r="F1547" i="1"/>
  <c r="H1547" i="1"/>
  <c r="J1547" i="1"/>
  <c r="F1548" i="1"/>
  <c r="H1548" i="1"/>
  <c r="J1548" i="1"/>
  <c r="F1549" i="1"/>
  <c r="H1549" i="1"/>
  <c r="J1549" i="1"/>
  <c r="F1550" i="1"/>
  <c r="H1550" i="1"/>
  <c r="J1550" i="1"/>
  <c r="F1551" i="1"/>
  <c r="H1551" i="1"/>
  <c r="J1551" i="1"/>
  <c r="F1552" i="1"/>
  <c r="H1552" i="1"/>
  <c r="J1552" i="1"/>
  <c r="F1553" i="1"/>
  <c r="H1553" i="1"/>
  <c r="J1553" i="1"/>
  <c r="F1554" i="1"/>
  <c r="H1554" i="1"/>
  <c r="J1554" i="1"/>
  <c r="F1555" i="1"/>
  <c r="H1555" i="1"/>
  <c r="J1555" i="1"/>
  <c r="F1556" i="1"/>
  <c r="H1556" i="1"/>
  <c r="J1556" i="1"/>
  <c r="F1557" i="1"/>
  <c r="H1557" i="1"/>
  <c r="J1557" i="1"/>
  <c r="F1558" i="1"/>
  <c r="H1558" i="1"/>
  <c r="J1558" i="1"/>
  <c r="F1559" i="1"/>
  <c r="H1559" i="1"/>
  <c r="J1559" i="1"/>
  <c r="F1560" i="1"/>
  <c r="H1560" i="1"/>
  <c r="J1560" i="1"/>
  <c r="F1561" i="1"/>
  <c r="H1561" i="1"/>
  <c r="J1561" i="1"/>
  <c r="F1562" i="1"/>
  <c r="H1562" i="1"/>
  <c r="J1562" i="1"/>
  <c r="F1563" i="1"/>
  <c r="H1563" i="1"/>
  <c r="J1563" i="1"/>
  <c r="F1564" i="1"/>
  <c r="H1564" i="1"/>
  <c r="J1564" i="1"/>
  <c r="F1565" i="1"/>
  <c r="H1565" i="1"/>
  <c r="J1565" i="1"/>
  <c r="F1566" i="1"/>
  <c r="H1566" i="1"/>
  <c r="J1566" i="1"/>
  <c r="F1567" i="1"/>
  <c r="H1567" i="1"/>
  <c r="J1567" i="1"/>
  <c r="F1568" i="1"/>
  <c r="H1568" i="1"/>
  <c r="J1568" i="1"/>
  <c r="F1569" i="1"/>
  <c r="H1569" i="1"/>
  <c r="J1569" i="1"/>
  <c r="F1570" i="1"/>
  <c r="H1570" i="1"/>
  <c r="J1570" i="1"/>
  <c r="F1571" i="1"/>
  <c r="H1571" i="1"/>
  <c r="J1571" i="1"/>
  <c r="F1572" i="1"/>
  <c r="H1572" i="1"/>
  <c r="J1572" i="1"/>
  <c r="F1573" i="1"/>
  <c r="H1573" i="1"/>
  <c r="J1573" i="1"/>
  <c r="F1574" i="1"/>
  <c r="H1574" i="1"/>
  <c r="J1574" i="1"/>
  <c r="F1575" i="1"/>
  <c r="H1575" i="1"/>
  <c r="J1575" i="1"/>
  <c r="F1576" i="1"/>
  <c r="H1576" i="1"/>
  <c r="J1576" i="1"/>
  <c r="F1577" i="1"/>
  <c r="H1577" i="1"/>
  <c r="J1577" i="1"/>
  <c r="F1578" i="1"/>
  <c r="H1578" i="1"/>
  <c r="J1578" i="1"/>
  <c r="F1579" i="1"/>
  <c r="H1579" i="1"/>
  <c r="J1579" i="1"/>
  <c r="F1580" i="1"/>
  <c r="H1580" i="1"/>
  <c r="J1580" i="1"/>
  <c r="F1581" i="1"/>
  <c r="H1581" i="1"/>
  <c r="J1581" i="1"/>
  <c r="F1582" i="1"/>
  <c r="H1582" i="1"/>
  <c r="J1582" i="1"/>
  <c r="F1583" i="1"/>
  <c r="H1583" i="1"/>
  <c r="J1583" i="1"/>
  <c r="F1584" i="1"/>
  <c r="H1584" i="1"/>
  <c r="J1584" i="1"/>
  <c r="F1585" i="1"/>
  <c r="H1585" i="1"/>
  <c r="J1585" i="1"/>
  <c r="F1586" i="1"/>
  <c r="H1586" i="1"/>
  <c r="J1586" i="1"/>
  <c r="F1587" i="1"/>
  <c r="H1587" i="1"/>
  <c r="J1587" i="1"/>
  <c r="F1588" i="1"/>
  <c r="H1588" i="1"/>
  <c r="J1588" i="1"/>
  <c r="F1589" i="1"/>
  <c r="H1589" i="1"/>
  <c r="J1589" i="1"/>
  <c r="F1590" i="1"/>
  <c r="H1590" i="1"/>
  <c r="J1590" i="1"/>
  <c r="F1591" i="1"/>
  <c r="H1591" i="1"/>
  <c r="J1591" i="1"/>
  <c r="F1592" i="1"/>
  <c r="H1592" i="1"/>
  <c r="J1592" i="1"/>
  <c r="F1593" i="1"/>
  <c r="H1593" i="1"/>
  <c r="J1593" i="1"/>
  <c r="F1594" i="1"/>
  <c r="H1594" i="1"/>
  <c r="J1594" i="1"/>
  <c r="F1595" i="1"/>
  <c r="H1595" i="1"/>
  <c r="J1595" i="1"/>
  <c r="F1596" i="1"/>
  <c r="H1596" i="1"/>
  <c r="J1596" i="1"/>
  <c r="F1597" i="1"/>
  <c r="H1597" i="1"/>
  <c r="J1597" i="1"/>
  <c r="F1598" i="1"/>
  <c r="H1598" i="1"/>
  <c r="J1598" i="1"/>
  <c r="F1599" i="1"/>
  <c r="H1599" i="1"/>
  <c r="J1599" i="1"/>
  <c r="F1600" i="1"/>
  <c r="H1600" i="1"/>
  <c r="J1600" i="1"/>
  <c r="F1601" i="1"/>
  <c r="H1601" i="1"/>
  <c r="J1601" i="1"/>
  <c r="F1602" i="1"/>
  <c r="H1602" i="1"/>
  <c r="J1602" i="1"/>
  <c r="F1603" i="1"/>
  <c r="H1603" i="1"/>
  <c r="J1603" i="1"/>
  <c r="F1604" i="1"/>
  <c r="H1604" i="1"/>
  <c r="J1604" i="1"/>
  <c r="F1605" i="1"/>
  <c r="H1605" i="1"/>
  <c r="J1605" i="1"/>
  <c r="F1606" i="1"/>
  <c r="H1606" i="1"/>
  <c r="J1606" i="1"/>
  <c r="F1607" i="1"/>
  <c r="H1607" i="1"/>
  <c r="J1607" i="1"/>
  <c r="F1608" i="1"/>
  <c r="H1608" i="1"/>
  <c r="J1608" i="1"/>
  <c r="F1609" i="1"/>
  <c r="H1609" i="1"/>
  <c r="J1609" i="1"/>
  <c r="F1610" i="1"/>
  <c r="H1610" i="1"/>
  <c r="J1610" i="1"/>
  <c r="F1611" i="1"/>
  <c r="H1611" i="1"/>
  <c r="J1611" i="1"/>
  <c r="F1612" i="1"/>
  <c r="H1612" i="1"/>
  <c r="J1612" i="1"/>
  <c r="F1613" i="1"/>
  <c r="H1613" i="1"/>
  <c r="J1613" i="1"/>
  <c r="F1614" i="1"/>
  <c r="H1614" i="1"/>
  <c r="J1614" i="1"/>
  <c r="F1615" i="1"/>
  <c r="H1615" i="1"/>
  <c r="J1615" i="1"/>
  <c r="F1616" i="1"/>
  <c r="H1616" i="1"/>
  <c r="J1616" i="1"/>
  <c r="F1617" i="1"/>
  <c r="H1617" i="1"/>
  <c r="J1617" i="1"/>
  <c r="F1618" i="1"/>
  <c r="H1618" i="1"/>
  <c r="J1618" i="1"/>
  <c r="F1619" i="1"/>
  <c r="H1619" i="1"/>
  <c r="J1619" i="1"/>
  <c r="F1620" i="1"/>
  <c r="H1620" i="1"/>
  <c r="J1620" i="1"/>
  <c r="F1621" i="1"/>
  <c r="H1621" i="1"/>
  <c r="J1621" i="1"/>
  <c r="F1622" i="1"/>
  <c r="H1622" i="1"/>
  <c r="J1622" i="1"/>
  <c r="F1623" i="1"/>
  <c r="H1623" i="1"/>
  <c r="J1623" i="1"/>
  <c r="F1624" i="1"/>
  <c r="H1624" i="1"/>
  <c r="J1624" i="1"/>
  <c r="F1625" i="1"/>
  <c r="H1625" i="1"/>
  <c r="J1625" i="1"/>
  <c r="F1626" i="1"/>
  <c r="H1626" i="1"/>
  <c r="J1626" i="1"/>
  <c r="F1627" i="1"/>
  <c r="H1627" i="1"/>
  <c r="J1627" i="1"/>
  <c r="F1628" i="1"/>
  <c r="H1628" i="1"/>
  <c r="J1628" i="1"/>
  <c r="F1629" i="1"/>
  <c r="H1629" i="1"/>
  <c r="J1629" i="1"/>
  <c r="F1630" i="1"/>
  <c r="H1630" i="1"/>
  <c r="J1630" i="1"/>
  <c r="F1631" i="1"/>
  <c r="H1631" i="1"/>
  <c r="J1631" i="1"/>
  <c r="F1632" i="1"/>
  <c r="H1632" i="1"/>
  <c r="J1632" i="1"/>
  <c r="F1633" i="1"/>
  <c r="H1633" i="1"/>
  <c r="J1633" i="1"/>
  <c r="F1634" i="1"/>
  <c r="H1634" i="1"/>
  <c r="J1634" i="1"/>
  <c r="F1635" i="1"/>
  <c r="H1635" i="1"/>
  <c r="J1635" i="1"/>
  <c r="F1636" i="1"/>
  <c r="H1636" i="1"/>
  <c r="J1636" i="1"/>
  <c r="F1637" i="1"/>
  <c r="H1637" i="1"/>
  <c r="J1637" i="1"/>
  <c r="F1638" i="1"/>
  <c r="H1638" i="1"/>
  <c r="J1638" i="1"/>
  <c r="F1639" i="1"/>
  <c r="H1639" i="1"/>
  <c r="J1639" i="1"/>
  <c r="F1640" i="1"/>
  <c r="H1640" i="1"/>
  <c r="J1640" i="1"/>
  <c r="F1641" i="1"/>
  <c r="H1641" i="1"/>
  <c r="J1641" i="1"/>
  <c r="F1642" i="1"/>
  <c r="H1642" i="1"/>
  <c r="J1642" i="1"/>
  <c r="F1643" i="1"/>
  <c r="H1643" i="1"/>
  <c r="J1643" i="1"/>
  <c r="F1644" i="1"/>
  <c r="H1644" i="1"/>
  <c r="J1644" i="1"/>
  <c r="F1645" i="1"/>
  <c r="H1645" i="1"/>
  <c r="J1645" i="1"/>
  <c r="F1646" i="1"/>
  <c r="H1646" i="1"/>
  <c r="J1646" i="1"/>
  <c r="F1647" i="1"/>
  <c r="H1647" i="1"/>
  <c r="J1647" i="1"/>
  <c r="F1648" i="1"/>
  <c r="H1648" i="1"/>
  <c r="J1648" i="1"/>
  <c r="F1649" i="1"/>
  <c r="H1649" i="1"/>
  <c r="J1649" i="1"/>
  <c r="F1650" i="1"/>
  <c r="H1650" i="1"/>
  <c r="J1650" i="1"/>
  <c r="F1651" i="1"/>
  <c r="H1651" i="1"/>
  <c r="J1651" i="1"/>
  <c r="F1652" i="1"/>
  <c r="H1652" i="1"/>
  <c r="J1652" i="1"/>
  <c r="F1653" i="1"/>
  <c r="H1653" i="1"/>
  <c r="J1653" i="1"/>
  <c r="F1654" i="1"/>
  <c r="H1654" i="1"/>
  <c r="J1654" i="1"/>
  <c r="F1655" i="1"/>
  <c r="H1655" i="1"/>
  <c r="J1655" i="1"/>
  <c r="F1656" i="1"/>
  <c r="H1656" i="1"/>
  <c r="J1656" i="1"/>
  <c r="F1657" i="1"/>
  <c r="H1657" i="1"/>
  <c r="J1657" i="1"/>
  <c r="F1658" i="1"/>
  <c r="H1658" i="1"/>
  <c r="J1658" i="1"/>
  <c r="F1659" i="1"/>
  <c r="H1659" i="1"/>
  <c r="J1659" i="1"/>
  <c r="F1660" i="1"/>
  <c r="H1660" i="1"/>
  <c r="J1660" i="1"/>
  <c r="F1661" i="1"/>
  <c r="H1661" i="1"/>
  <c r="J1661" i="1"/>
  <c r="F1662" i="1"/>
  <c r="H1662" i="1"/>
  <c r="J1662" i="1"/>
  <c r="F1663" i="1"/>
  <c r="H1663" i="1"/>
  <c r="J1663" i="1"/>
  <c r="F1664" i="1"/>
  <c r="H1664" i="1"/>
  <c r="J1664" i="1"/>
  <c r="F1665" i="1"/>
  <c r="H1665" i="1"/>
  <c r="J1665" i="1"/>
  <c r="F1666" i="1"/>
  <c r="H1666" i="1"/>
  <c r="J1666" i="1"/>
  <c r="F1667" i="1"/>
  <c r="H1667" i="1"/>
  <c r="J1667" i="1"/>
  <c r="F1668" i="1"/>
  <c r="H1668" i="1"/>
  <c r="J1668" i="1"/>
  <c r="F1669" i="1"/>
  <c r="H1669" i="1"/>
  <c r="J1669" i="1"/>
  <c r="F1670" i="1"/>
  <c r="H1670" i="1"/>
  <c r="J1670" i="1"/>
  <c r="F1671" i="1"/>
  <c r="H1671" i="1"/>
  <c r="J1671" i="1"/>
  <c r="F1672" i="1"/>
  <c r="H1672" i="1"/>
  <c r="J1672" i="1"/>
  <c r="F1673" i="1"/>
  <c r="H1673" i="1"/>
  <c r="J1673" i="1"/>
  <c r="F1674" i="1"/>
  <c r="H1674" i="1"/>
  <c r="J1674" i="1"/>
  <c r="F1675" i="1"/>
  <c r="H1675" i="1"/>
  <c r="J1675" i="1"/>
  <c r="F1676" i="1"/>
  <c r="H1676" i="1"/>
  <c r="J1676" i="1"/>
  <c r="F1677" i="1"/>
  <c r="H1677" i="1"/>
  <c r="J1677" i="1"/>
  <c r="F1678" i="1"/>
  <c r="H1678" i="1"/>
  <c r="J1678" i="1"/>
  <c r="F1679" i="1"/>
  <c r="H1679" i="1"/>
  <c r="J1679" i="1"/>
  <c r="F1680" i="1"/>
  <c r="H1680" i="1"/>
  <c r="J1680" i="1"/>
  <c r="F1681" i="1"/>
  <c r="H1681" i="1"/>
  <c r="J1681" i="1"/>
  <c r="F1682" i="1"/>
  <c r="H1682" i="1"/>
  <c r="J1682" i="1"/>
  <c r="F1683" i="1"/>
  <c r="H1683" i="1"/>
  <c r="J1683" i="1"/>
  <c r="F1684" i="1"/>
  <c r="H1684" i="1"/>
  <c r="J1684" i="1"/>
  <c r="F1685" i="1"/>
  <c r="H1685" i="1"/>
  <c r="J1685" i="1"/>
  <c r="F1686" i="1"/>
  <c r="H1686" i="1"/>
  <c r="J1686" i="1"/>
  <c r="F1687" i="1"/>
  <c r="H1687" i="1"/>
  <c r="J1687" i="1"/>
  <c r="F1688" i="1"/>
  <c r="H1688" i="1"/>
  <c r="J1688" i="1"/>
  <c r="F1689" i="1"/>
  <c r="H1689" i="1"/>
  <c r="J1689" i="1"/>
  <c r="F1690" i="1"/>
  <c r="H1690" i="1"/>
  <c r="J1690" i="1"/>
  <c r="F1691" i="1"/>
  <c r="H1691" i="1"/>
  <c r="J1691" i="1"/>
  <c r="F1692" i="1"/>
  <c r="H1692" i="1"/>
  <c r="J1692" i="1"/>
  <c r="F1693" i="1"/>
  <c r="H1693" i="1"/>
  <c r="J1693" i="1"/>
  <c r="F1694" i="1"/>
  <c r="H1694" i="1"/>
  <c r="J1694" i="1"/>
  <c r="F1695" i="1"/>
  <c r="H1695" i="1"/>
  <c r="J1695" i="1"/>
  <c r="F1696" i="1"/>
  <c r="H1696" i="1"/>
  <c r="J1696" i="1"/>
  <c r="F1697" i="1"/>
  <c r="H1697" i="1"/>
  <c r="J1697" i="1"/>
  <c r="F1698" i="1"/>
  <c r="H1698" i="1"/>
  <c r="J1698" i="1"/>
  <c r="F1699" i="1"/>
  <c r="H1699" i="1"/>
  <c r="J1699" i="1"/>
  <c r="F1700" i="1"/>
  <c r="H1700" i="1"/>
  <c r="J1700" i="1"/>
  <c r="F1701" i="1"/>
  <c r="H1701" i="1"/>
  <c r="J1701" i="1"/>
  <c r="F1702" i="1"/>
  <c r="H1702" i="1"/>
  <c r="J1702" i="1"/>
  <c r="F1703" i="1"/>
  <c r="H1703" i="1"/>
  <c r="J1703" i="1"/>
  <c r="F1704" i="1"/>
  <c r="H1704" i="1"/>
  <c r="J1704" i="1"/>
  <c r="F1705" i="1"/>
  <c r="H1705" i="1"/>
  <c r="J1705" i="1"/>
  <c r="F1706" i="1"/>
  <c r="H1706" i="1"/>
  <c r="J1706" i="1"/>
  <c r="F1707" i="1"/>
  <c r="H1707" i="1"/>
  <c r="J1707" i="1"/>
  <c r="F1708" i="1"/>
  <c r="H1708" i="1"/>
  <c r="J1708" i="1"/>
  <c r="F1709" i="1"/>
  <c r="H1709" i="1"/>
  <c r="J1709" i="1"/>
  <c r="F1710" i="1"/>
  <c r="H1710" i="1"/>
  <c r="J1710" i="1"/>
  <c r="F1711" i="1"/>
  <c r="H1711" i="1"/>
  <c r="J1711" i="1"/>
  <c r="F1712" i="1"/>
  <c r="H1712" i="1"/>
  <c r="J1712" i="1"/>
  <c r="F1713" i="1"/>
  <c r="H1713" i="1"/>
  <c r="J1713" i="1"/>
  <c r="F1714" i="1"/>
  <c r="H1714" i="1"/>
  <c r="J1714" i="1"/>
  <c r="F1715" i="1"/>
  <c r="H1715" i="1"/>
  <c r="J1715" i="1"/>
  <c r="F1716" i="1"/>
  <c r="H1716" i="1"/>
  <c r="J1716" i="1"/>
  <c r="F1717" i="1"/>
  <c r="H1717" i="1"/>
  <c r="J1717" i="1"/>
  <c r="F1718" i="1"/>
  <c r="H1718" i="1"/>
  <c r="J1718" i="1"/>
  <c r="F1719" i="1"/>
  <c r="H1719" i="1"/>
  <c r="J1719" i="1"/>
  <c r="F1720" i="1"/>
  <c r="H1720" i="1"/>
  <c r="J1720" i="1"/>
  <c r="F1721" i="1"/>
  <c r="H1721" i="1"/>
  <c r="J1721" i="1"/>
  <c r="F1722" i="1"/>
  <c r="H1722" i="1"/>
  <c r="J1722" i="1"/>
  <c r="F1723" i="1"/>
  <c r="H1723" i="1"/>
  <c r="J1723" i="1"/>
  <c r="F1724" i="1"/>
  <c r="H1724" i="1"/>
  <c r="J1724" i="1"/>
  <c r="F1725" i="1"/>
  <c r="H1725" i="1"/>
  <c r="J1725" i="1"/>
  <c r="F1726" i="1"/>
  <c r="H1726" i="1"/>
  <c r="J1726" i="1"/>
  <c r="F1727" i="1"/>
  <c r="H1727" i="1"/>
  <c r="J1727" i="1"/>
  <c r="F1728" i="1"/>
  <c r="H1728" i="1"/>
  <c r="J1728" i="1"/>
  <c r="F1729" i="1"/>
  <c r="H1729" i="1"/>
  <c r="J1729" i="1"/>
  <c r="F1730" i="1"/>
  <c r="H1730" i="1"/>
  <c r="J1730" i="1"/>
  <c r="F1731" i="1"/>
  <c r="H1731" i="1"/>
  <c r="J1731" i="1"/>
  <c r="F1732" i="1"/>
  <c r="H1732" i="1"/>
  <c r="J1732" i="1"/>
  <c r="F1733" i="1"/>
  <c r="H1733" i="1"/>
  <c r="J1733" i="1"/>
  <c r="F1734" i="1"/>
  <c r="H1734" i="1"/>
  <c r="J1734" i="1"/>
  <c r="F1735" i="1"/>
  <c r="H1735" i="1"/>
  <c r="J1735" i="1"/>
  <c r="F1736" i="1"/>
  <c r="H1736" i="1"/>
  <c r="J1736" i="1"/>
  <c r="F1737" i="1"/>
  <c r="H1737" i="1"/>
  <c r="J1737" i="1"/>
  <c r="F1738" i="1"/>
  <c r="H1738" i="1"/>
  <c r="J1738" i="1"/>
  <c r="F1739" i="1"/>
  <c r="H1739" i="1"/>
  <c r="J1739" i="1"/>
  <c r="F1740" i="1"/>
  <c r="H1740" i="1"/>
  <c r="J1740" i="1"/>
  <c r="F1741" i="1"/>
  <c r="H1741" i="1"/>
  <c r="J1741" i="1"/>
  <c r="F1742" i="1"/>
  <c r="H1742" i="1"/>
  <c r="J1742" i="1"/>
  <c r="F1743" i="1"/>
  <c r="H1743" i="1"/>
  <c r="J1743" i="1"/>
  <c r="F1744" i="1"/>
  <c r="H1744" i="1"/>
  <c r="J1744" i="1"/>
  <c r="F1745" i="1"/>
  <c r="H1745" i="1"/>
  <c r="J1745" i="1"/>
  <c r="F1746" i="1"/>
  <c r="H1746" i="1"/>
  <c r="J1746" i="1"/>
  <c r="F1747" i="1"/>
  <c r="H1747" i="1"/>
  <c r="J1747" i="1"/>
  <c r="F1748" i="1"/>
  <c r="H1748" i="1"/>
  <c r="J1748" i="1"/>
  <c r="F1749" i="1"/>
  <c r="H1749" i="1"/>
  <c r="J1749" i="1"/>
  <c r="F1750" i="1"/>
  <c r="H1750" i="1"/>
  <c r="J1750" i="1"/>
  <c r="F1751" i="1"/>
  <c r="H1751" i="1"/>
  <c r="J1751" i="1"/>
  <c r="F1752" i="1"/>
  <c r="H1752" i="1"/>
  <c r="J1752" i="1"/>
  <c r="F1753" i="1"/>
  <c r="H1753" i="1"/>
  <c r="J1753" i="1"/>
  <c r="F1754" i="1"/>
  <c r="H1754" i="1"/>
  <c r="J1754" i="1"/>
  <c r="F1755" i="1"/>
  <c r="H1755" i="1"/>
  <c r="J1755" i="1"/>
  <c r="F1756" i="1"/>
  <c r="H1756" i="1"/>
  <c r="J1756" i="1"/>
  <c r="F1757" i="1"/>
  <c r="H1757" i="1"/>
  <c r="J1757" i="1"/>
  <c r="F1758" i="1"/>
  <c r="H1758" i="1"/>
  <c r="J1758" i="1"/>
  <c r="F1759" i="1"/>
  <c r="H1759" i="1"/>
  <c r="J1759" i="1"/>
  <c r="F1760" i="1"/>
  <c r="H1760" i="1"/>
  <c r="J1760" i="1"/>
  <c r="F1761" i="1"/>
  <c r="H1761" i="1"/>
  <c r="J1761" i="1"/>
  <c r="F1762" i="1"/>
  <c r="H1762" i="1"/>
  <c r="J1762" i="1"/>
  <c r="F1763" i="1"/>
  <c r="H1763" i="1"/>
  <c r="J1763" i="1"/>
  <c r="F1764" i="1"/>
  <c r="H1764" i="1"/>
  <c r="J1764" i="1"/>
  <c r="F1765" i="1"/>
  <c r="H1765" i="1"/>
  <c r="J1765" i="1"/>
  <c r="F1766" i="1"/>
  <c r="H1766" i="1"/>
  <c r="J1766" i="1"/>
  <c r="F1767" i="1"/>
  <c r="H1767" i="1"/>
  <c r="J1767" i="1"/>
  <c r="F1768" i="1"/>
  <c r="H1768" i="1"/>
  <c r="J1768" i="1"/>
  <c r="F1769" i="1"/>
  <c r="H1769" i="1"/>
  <c r="J1769" i="1"/>
  <c r="F1770" i="1"/>
  <c r="H1770" i="1"/>
  <c r="J1770" i="1"/>
  <c r="F1771" i="1"/>
  <c r="H1771" i="1"/>
  <c r="J1771" i="1"/>
  <c r="F1772" i="1"/>
  <c r="H1772" i="1"/>
  <c r="J1772" i="1"/>
  <c r="F1773" i="1"/>
  <c r="H1773" i="1"/>
  <c r="J1773" i="1"/>
  <c r="F1774" i="1"/>
  <c r="H1774" i="1"/>
  <c r="J1774" i="1"/>
  <c r="F1775" i="1"/>
  <c r="H1775" i="1"/>
  <c r="J1775" i="1"/>
  <c r="F1776" i="1"/>
  <c r="H1776" i="1"/>
  <c r="J1776" i="1"/>
  <c r="F1777" i="1"/>
  <c r="H1777" i="1"/>
  <c r="J1777" i="1"/>
  <c r="F1778" i="1"/>
  <c r="H1778" i="1"/>
  <c r="J1778" i="1"/>
  <c r="F1779" i="1"/>
  <c r="H1779" i="1"/>
  <c r="J1779" i="1"/>
  <c r="F1780" i="1"/>
  <c r="H1780" i="1"/>
  <c r="J1780" i="1"/>
  <c r="F1781" i="1"/>
  <c r="H1781" i="1"/>
  <c r="J1781" i="1"/>
  <c r="F1782" i="1"/>
  <c r="H1782" i="1"/>
  <c r="J1782" i="1"/>
  <c r="F1783" i="1"/>
  <c r="H1783" i="1"/>
  <c r="J1783" i="1"/>
  <c r="F1784" i="1"/>
  <c r="H1784" i="1"/>
  <c r="J1784" i="1"/>
  <c r="F1785" i="1"/>
  <c r="H1785" i="1"/>
  <c r="J1785" i="1"/>
  <c r="F1786" i="1"/>
  <c r="H1786" i="1"/>
  <c r="J1786" i="1"/>
  <c r="F1787" i="1"/>
  <c r="H1787" i="1"/>
  <c r="J1787" i="1"/>
  <c r="F1788" i="1"/>
  <c r="H1788" i="1"/>
  <c r="J1788" i="1"/>
  <c r="F1789" i="1"/>
  <c r="H1789" i="1"/>
  <c r="J1789" i="1"/>
  <c r="F1790" i="1"/>
  <c r="H1790" i="1"/>
  <c r="J1790" i="1"/>
  <c r="F1791" i="1"/>
  <c r="H1791" i="1"/>
  <c r="J1791" i="1"/>
  <c r="F1792" i="1"/>
  <c r="H1792" i="1"/>
  <c r="J1792" i="1"/>
  <c r="F1793" i="1"/>
  <c r="H1793" i="1"/>
  <c r="J1793" i="1"/>
  <c r="F1794" i="1"/>
  <c r="H1794" i="1"/>
  <c r="J1794" i="1"/>
  <c r="F1795" i="1"/>
  <c r="H1795" i="1"/>
  <c r="J1795" i="1"/>
  <c r="F1796" i="1"/>
  <c r="H1796" i="1"/>
  <c r="J1796" i="1"/>
  <c r="F1797" i="1"/>
  <c r="H1797" i="1"/>
  <c r="J1797" i="1"/>
  <c r="F1798" i="1"/>
  <c r="H1798" i="1"/>
  <c r="J1798" i="1"/>
  <c r="F1799" i="1"/>
  <c r="H1799" i="1"/>
  <c r="J1799" i="1"/>
  <c r="F1800" i="1"/>
  <c r="H1800" i="1"/>
  <c r="J1800" i="1"/>
  <c r="F1801" i="1"/>
  <c r="H1801" i="1"/>
  <c r="J1801" i="1"/>
  <c r="F1802" i="1"/>
  <c r="H1802" i="1"/>
  <c r="J1802" i="1"/>
  <c r="F1803" i="1"/>
  <c r="H1803" i="1"/>
  <c r="J1803" i="1"/>
  <c r="F1804" i="1"/>
  <c r="H1804" i="1"/>
  <c r="J1804" i="1"/>
  <c r="F1805" i="1"/>
  <c r="H1805" i="1"/>
  <c r="J1805" i="1"/>
  <c r="F1806" i="1"/>
  <c r="H1806" i="1"/>
  <c r="J1806" i="1"/>
  <c r="F1807" i="1"/>
  <c r="H1807" i="1"/>
  <c r="J1807" i="1"/>
  <c r="F1808" i="1"/>
  <c r="H1808" i="1"/>
  <c r="J1808" i="1"/>
  <c r="F1809" i="1"/>
  <c r="H1809" i="1"/>
  <c r="J1809" i="1"/>
  <c r="F1810" i="1"/>
  <c r="H1810" i="1"/>
  <c r="J1810" i="1"/>
  <c r="F1811" i="1"/>
  <c r="H1811" i="1"/>
  <c r="J1811" i="1"/>
  <c r="F1812" i="1"/>
  <c r="H1812" i="1"/>
  <c r="J1812" i="1"/>
  <c r="F1813" i="1"/>
  <c r="H1813" i="1"/>
  <c r="J1813" i="1"/>
  <c r="F1814" i="1"/>
  <c r="H1814" i="1"/>
  <c r="J1814" i="1"/>
  <c r="F1815" i="1"/>
  <c r="H1815" i="1"/>
  <c r="J1815" i="1"/>
  <c r="F1816" i="1"/>
  <c r="H1816" i="1"/>
  <c r="J1816" i="1"/>
  <c r="F1817" i="1"/>
  <c r="H1817" i="1"/>
  <c r="J1817" i="1"/>
  <c r="F1818" i="1"/>
  <c r="H1818" i="1"/>
  <c r="J1818" i="1"/>
  <c r="F1819" i="1"/>
  <c r="H1819" i="1"/>
  <c r="J1819" i="1"/>
  <c r="F1820" i="1"/>
  <c r="H1820" i="1"/>
  <c r="J1820" i="1"/>
  <c r="F1821" i="1"/>
  <c r="H1821" i="1"/>
  <c r="J1821" i="1"/>
  <c r="F1822" i="1"/>
  <c r="H1822" i="1"/>
  <c r="J1822" i="1"/>
  <c r="F1823" i="1"/>
  <c r="H1823" i="1"/>
  <c r="J1823" i="1"/>
  <c r="F1824" i="1"/>
  <c r="H1824" i="1"/>
  <c r="J1824" i="1"/>
  <c r="F1825" i="1"/>
  <c r="H1825" i="1"/>
  <c r="J1825" i="1"/>
  <c r="F1826" i="1"/>
  <c r="H1826" i="1"/>
  <c r="J1826" i="1"/>
  <c r="F1827" i="1"/>
  <c r="H1827" i="1"/>
  <c r="J1827" i="1"/>
  <c r="F1828" i="1"/>
  <c r="H1828" i="1"/>
  <c r="J1828" i="1"/>
  <c r="F1829" i="1"/>
  <c r="H1829" i="1"/>
  <c r="J1829" i="1"/>
  <c r="F1830" i="1"/>
  <c r="H1830" i="1"/>
  <c r="J1830" i="1"/>
  <c r="F1831" i="1"/>
  <c r="H1831" i="1"/>
  <c r="J1831" i="1"/>
  <c r="F1832" i="1"/>
  <c r="H1832" i="1"/>
  <c r="J1832" i="1"/>
  <c r="F1833" i="1"/>
  <c r="H1833" i="1"/>
  <c r="J1833" i="1"/>
  <c r="F1834" i="1"/>
  <c r="H1834" i="1"/>
  <c r="J1834" i="1"/>
  <c r="F1835" i="1"/>
  <c r="H1835" i="1"/>
  <c r="J1835" i="1"/>
  <c r="F1836" i="1"/>
  <c r="H1836" i="1"/>
  <c r="J1836" i="1"/>
  <c r="F1837" i="1"/>
  <c r="H1837" i="1"/>
  <c r="J1837" i="1"/>
  <c r="F1838" i="1"/>
  <c r="H1838" i="1"/>
  <c r="J1838" i="1"/>
  <c r="F1839" i="1"/>
  <c r="H1839" i="1"/>
  <c r="J1839" i="1"/>
  <c r="F1840" i="1"/>
  <c r="H1840" i="1"/>
  <c r="J1840" i="1"/>
  <c r="F1841" i="1"/>
  <c r="H1841" i="1"/>
  <c r="J1841" i="1"/>
  <c r="F1842" i="1"/>
  <c r="H1842" i="1"/>
  <c r="J1842" i="1"/>
  <c r="F1843" i="1"/>
  <c r="H1843" i="1"/>
  <c r="J1843" i="1"/>
  <c r="F1844" i="1"/>
  <c r="H1844" i="1"/>
  <c r="J1844" i="1"/>
  <c r="F1845" i="1"/>
  <c r="H1845" i="1"/>
  <c r="J1845" i="1"/>
  <c r="F1846" i="1"/>
  <c r="H1846" i="1"/>
  <c r="J1846" i="1"/>
  <c r="F1847" i="1"/>
  <c r="H1847" i="1"/>
  <c r="J1847" i="1"/>
  <c r="F1848" i="1"/>
  <c r="H1848" i="1"/>
  <c r="J1848" i="1"/>
  <c r="F1849" i="1"/>
  <c r="H1849" i="1"/>
  <c r="J1849" i="1"/>
  <c r="F1850" i="1"/>
  <c r="H1850" i="1"/>
  <c r="J1850" i="1"/>
  <c r="F1851" i="1"/>
  <c r="H1851" i="1"/>
  <c r="J1851" i="1"/>
  <c r="F1852" i="1"/>
  <c r="H1852" i="1"/>
  <c r="J1852" i="1"/>
  <c r="F1853" i="1"/>
  <c r="H1853" i="1"/>
  <c r="J1853" i="1"/>
  <c r="F1854" i="1"/>
  <c r="H1854" i="1"/>
  <c r="J1854" i="1"/>
  <c r="F1855" i="1"/>
  <c r="H1855" i="1"/>
  <c r="J1855" i="1"/>
  <c r="F1856" i="1"/>
  <c r="H1856" i="1"/>
  <c r="J1856" i="1"/>
  <c r="F1857" i="1"/>
  <c r="H1857" i="1"/>
  <c r="J1857" i="1"/>
  <c r="F1858" i="1"/>
  <c r="H1858" i="1"/>
  <c r="J1858" i="1"/>
  <c r="F1859" i="1"/>
  <c r="H1859" i="1"/>
  <c r="J1859" i="1"/>
  <c r="F1860" i="1"/>
  <c r="H1860" i="1"/>
  <c r="J1860" i="1"/>
  <c r="F1861" i="1"/>
  <c r="H1861" i="1"/>
  <c r="J1861" i="1"/>
  <c r="F1862" i="1"/>
  <c r="H1862" i="1"/>
  <c r="J1862" i="1"/>
  <c r="F1863" i="1"/>
  <c r="H1863" i="1"/>
  <c r="J1863" i="1"/>
  <c r="F1864" i="1"/>
  <c r="H1864" i="1"/>
  <c r="J1864" i="1"/>
  <c r="F1865" i="1"/>
  <c r="H1865" i="1"/>
  <c r="J1865" i="1"/>
  <c r="F1866" i="1"/>
  <c r="H1866" i="1"/>
  <c r="J1866" i="1"/>
  <c r="F1867" i="1"/>
  <c r="H1867" i="1"/>
  <c r="J1867" i="1"/>
  <c r="F1868" i="1"/>
  <c r="H1868" i="1"/>
  <c r="J1868" i="1"/>
  <c r="F1869" i="1"/>
  <c r="H1869" i="1"/>
  <c r="J1869" i="1"/>
  <c r="F1870" i="1"/>
  <c r="H1870" i="1"/>
  <c r="J1870" i="1"/>
  <c r="F1871" i="1"/>
  <c r="H1871" i="1"/>
  <c r="J1871" i="1"/>
  <c r="F1872" i="1"/>
  <c r="H1872" i="1"/>
  <c r="J1872" i="1"/>
  <c r="F1873" i="1"/>
  <c r="H1873" i="1"/>
  <c r="J1873" i="1"/>
  <c r="F1874" i="1"/>
  <c r="H1874" i="1"/>
  <c r="J1874" i="1"/>
  <c r="F1875" i="1"/>
  <c r="H1875" i="1"/>
  <c r="J1875" i="1"/>
  <c r="F1876" i="1"/>
  <c r="H1876" i="1"/>
  <c r="J1876" i="1"/>
  <c r="F1877" i="1"/>
  <c r="H1877" i="1"/>
  <c r="J1877" i="1"/>
  <c r="F1878" i="1"/>
  <c r="H1878" i="1"/>
  <c r="J1878" i="1"/>
  <c r="F1879" i="1"/>
  <c r="H1879" i="1"/>
  <c r="J1879" i="1"/>
  <c r="F1880" i="1"/>
  <c r="H1880" i="1"/>
  <c r="J1880" i="1"/>
  <c r="F1881" i="1"/>
  <c r="H1881" i="1"/>
  <c r="J1881" i="1"/>
  <c r="F1882" i="1"/>
  <c r="H1882" i="1"/>
  <c r="J1882" i="1"/>
  <c r="F1883" i="1"/>
  <c r="H1883" i="1"/>
  <c r="J1883" i="1"/>
  <c r="F1884" i="1"/>
  <c r="H1884" i="1"/>
  <c r="J1884" i="1"/>
  <c r="F1885" i="1"/>
  <c r="H1885" i="1"/>
  <c r="J1885" i="1"/>
  <c r="F1886" i="1"/>
  <c r="H1886" i="1"/>
  <c r="J1886" i="1"/>
  <c r="F1887" i="1"/>
  <c r="H1887" i="1"/>
  <c r="J1887" i="1"/>
  <c r="F1888" i="1"/>
  <c r="H1888" i="1"/>
  <c r="J1888" i="1"/>
  <c r="F1889" i="1"/>
  <c r="H1889" i="1"/>
  <c r="J1889" i="1"/>
  <c r="F1890" i="1"/>
  <c r="H1890" i="1"/>
  <c r="J1890" i="1"/>
  <c r="F1891" i="1"/>
  <c r="H1891" i="1"/>
  <c r="J1891" i="1"/>
  <c r="F1892" i="1"/>
  <c r="H1892" i="1"/>
  <c r="J1892" i="1"/>
  <c r="F1893" i="1"/>
  <c r="H1893" i="1"/>
  <c r="J1893" i="1"/>
  <c r="F1894" i="1"/>
  <c r="H1894" i="1"/>
  <c r="J1894" i="1"/>
  <c r="F1895" i="1"/>
  <c r="H1895" i="1"/>
  <c r="J1895" i="1"/>
  <c r="F1896" i="1"/>
  <c r="H1896" i="1"/>
  <c r="J1896" i="1"/>
  <c r="F1897" i="1"/>
  <c r="H1897" i="1"/>
  <c r="J1897" i="1"/>
  <c r="F1898" i="1"/>
  <c r="H1898" i="1"/>
  <c r="J1898" i="1"/>
  <c r="F1899" i="1"/>
  <c r="H1899" i="1"/>
  <c r="J1899" i="1"/>
  <c r="F1900" i="1"/>
  <c r="H1900" i="1"/>
  <c r="J1900" i="1"/>
  <c r="F1901" i="1"/>
  <c r="H1901" i="1"/>
  <c r="J1901" i="1"/>
  <c r="F1902" i="1"/>
  <c r="H1902" i="1"/>
  <c r="J1902" i="1"/>
  <c r="F1903" i="1"/>
  <c r="H1903" i="1"/>
  <c r="J1903" i="1"/>
  <c r="F1904" i="1"/>
  <c r="H1904" i="1"/>
  <c r="J1904" i="1"/>
  <c r="F1905" i="1"/>
  <c r="H1905" i="1"/>
  <c r="J1905" i="1"/>
  <c r="F1906" i="1"/>
  <c r="H1906" i="1"/>
  <c r="J1906" i="1"/>
  <c r="F1907" i="1"/>
  <c r="H1907" i="1"/>
  <c r="J1907" i="1"/>
  <c r="F1908" i="1"/>
  <c r="H1908" i="1"/>
  <c r="J1908" i="1"/>
  <c r="F1909" i="1"/>
  <c r="H1909" i="1"/>
  <c r="J1909" i="1"/>
  <c r="F1910" i="1"/>
  <c r="H1910" i="1"/>
  <c r="J1910" i="1"/>
  <c r="F1911" i="1"/>
  <c r="H1911" i="1"/>
  <c r="J1911" i="1"/>
  <c r="F1912" i="1"/>
  <c r="H1912" i="1"/>
  <c r="J1912" i="1"/>
  <c r="F1913" i="1"/>
  <c r="H1913" i="1"/>
  <c r="J1913" i="1"/>
  <c r="F1914" i="1"/>
  <c r="H1914" i="1"/>
  <c r="J1914" i="1"/>
</calcChain>
</file>

<file path=xl/sharedStrings.xml><?xml version="1.0" encoding="utf-8"?>
<sst xmlns="http://schemas.openxmlformats.org/spreadsheetml/2006/main" count="13411" uniqueCount="3995">
  <si>
    <t>SECURITY</t>
  </si>
  <si>
    <t>NAME</t>
  </si>
  <si>
    <t>TYPE</t>
  </si>
  <si>
    <t>INDUSTRY</t>
  </si>
  <si>
    <t>SECTOR</t>
  </si>
  <si>
    <t>SUBSECTOR</t>
  </si>
  <si>
    <t>DATE</t>
  </si>
  <si>
    <t>PRICE</t>
  </si>
  <si>
    <t>RATING DATE</t>
  </si>
  <si>
    <t>RATING</t>
  </si>
  <si>
    <t>PREV RATING DATE</t>
  </si>
  <si>
    <t>PREV RATING</t>
  </si>
  <si>
    <t>MOMENTUM</t>
  </si>
  <si>
    <t>#</t>
  </si>
  <si>
    <t>RATING PERF</t>
  </si>
  <si>
    <t>TREND PERF</t>
  </si>
  <si>
    <t>DAILY PERF</t>
  </si>
  <si>
    <t>WEEKLY PERF</t>
  </si>
  <si>
    <t>MONTHY PERF</t>
  </si>
  <si>
    <t>3 MONTHS PERF</t>
  </si>
  <si>
    <t>12 MONTHS PERF</t>
  </si>
  <si>
    <t>SGMS</t>
  </si>
  <si>
    <t>Scientific Games</t>
  </si>
  <si>
    <t>Consumer Services</t>
  </si>
  <si>
    <t>Travel &amp; Leisure</t>
  </si>
  <si>
    <t>Gambling</t>
  </si>
  <si>
    <t>A</t>
  </si>
  <si>
    <t>B</t>
  </si>
  <si>
    <t>ESXB</t>
  </si>
  <si>
    <t>Community Bankers Trust</t>
  </si>
  <si>
    <t>Financials</t>
  </si>
  <si>
    <t>Banks</t>
  </si>
  <si>
    <t>CARO</t>
  </si>
  <si>
    <t>Carolina Financial</t>
  </si>
  <si>
    <t>NA</t>
  </si>
  <si>
    <t>IMMU</t>
  </si>
  <si>
    <t>Immunomedics</t>
  </si>
  <si>
    <t>Health Care</t>
  </si>
  <si>
    <t>Pharmaceuticals &amp; Biotechnology</t>
  </si>
  <si>
    <t>Biotechnology</t>
  </si>
  <si>
    <t>C</t>
  </si>
  <si>
    <t>NSP</t>
  </si>
  <si>
    <t>Insperity</t>
  </si>
  <si>
    <t>Industrials</t>
  </si>
  <si>
    <t>Support Services</t>
  </si>
  <si>
    <t>Business Training &amp; Employment Agencies</t>
  </si>
  <si>
    <t>ENVA</t>
  </si>
  <si>
    <t>Enova International</t>
  </si>
  <si>
    <t>Financial Services</t>
  </si>
  <si>
    <t>Consumer Finance</t>
  </si>
  <si>
    <t>CHGG</t>
  </si>
  <si>
    <t>Chegg</t>
  </si>
  <si>
    <t>General Retailers</t>
  </si>
  <si>
    <t>Specialty Retailers</t>
  </si>
  <si>
    <t>CECO</t>
  </si>
  <si>
    <t>Career Education</t>
  </si>
  <si>
    <t>Specialized Consumer Services</t>
  </si>
  <si>
    <t>D</t>
  </si>
  <si>
    <t>SFST</t>
  </si>
  <si>
    <t>Southern First Bancshares</t>
  </si>
  <si>
    <t>LOXO</t>
  </si>
  <si>
    <t>Loxo Oncology</t>
  </si>
  <si>
    <t>QCRH</t>
  </si>
  <si>
    <t>Qcr</t>
  </si>
  <si>
    <t>AXGN</t>
  </si>
  <si>
    <t>Axogen</t>
  </si>
  <si>
    <t>Health Care Equipment &amp; Services</t>
  </si>
  <si>
    <t>Medical Supplies</t>
  </si>
  <si>
    <t>WTW</t>
  </si>
  <si>
    <t>Weight Watchers International</t>
  </si>
  <si>
    <t>INGN</t>
  </si>
  <si>
    <t>Inogen</t>
  </si>
  <si>
    <t>Medical Equipment</t>
  </si>
  <si>
    <t>PEBK</t>
  </si>
  <si>
    <t>Peoples Bancorp Of North Carolina</t>
  </si>
  <si>
    <t>RMR</t>
  </si>
  <si>
    <t>The Rmr</t>
  </si>
  <si>
    <t>Real Estate Investment &amp; Services</t>
  </si>
  <si>
    <t>Real Estate Services</t>
  </si>
  <si>
    <t>RGNX</t>
  </si>
  <si>
    <t>Regenxbio</t>
  </si>
  <si>
    <t>I</t>
  </si>
  <si>
    <t>Intelsat</t>
  </si>
  <si>
    <t>Telecommunications</t>
  </si>
  <si>
    <t>Mobile Telecommunications</t>
  </si>
  <si>
    <t>CRC</t>
  </si>
  <si>
    <t>California Resources</t>
  </si>
  <si>
    <t>Oil &amp; Gas</t>
  </si>
  <si>
    <t>Oil &amp; Gas Producers</t>
  </si>
  <si>
    <t>Exploration &amp; Production</t>
  </si>
  <si>
    <t>GRUB</t>
  </si>
  <si>
    <t>Grubhub</t>
  </si>
  <si>
    <t>RCM</t>
  </si>
  <si>
    <t>R1 Rcm</t>
  </si>
  <si>
    <t>Health Care Providers</t>
  </si>
  <si>
    <t>SUPN</t>
  </si>
  <si>
    <t>Supernus Pharmaceuticals</t>
  </si>
  <si>
    <t>Pharmaceuticals</t>
  </si>
  <si>
    <t>VRS</t>
  </si>
  <si>
    <t>Verso</t>
  </si>
  <si>
    <t>Basic Materials</t>
  </si>
  <si>
    <t>Forestry &amp; Paper</t>
  </si>
  <si>
    <t>Paper</t>
  </si>
  <si>
    <t>TDOC</t>
  </si>
  <si>
    <t>Teladoc</t>
  </si>
  <si>
    <t>STAA</t>
  </si>
  <si>
    <t>Staar Surgical</t>
  </si>
  <si>
    <t>VRNS</t>
  </si>
  <si>
    <t>Varonis Systems</t>
  </si>
  <si>
    <t>Technology</t>
  </si>
  <si>
    <t>Software &amp; Computer Services</t>
  </si>
  <si>
    <t>Software</t>
  </si>
  <si>
    <t>MED</t>
  </si>
  <si>
    <t>Medifast</t>
  </si>
  <si>
    <t>Consumer Goods</t>
  </si>
  <si>
    <t>Food Producers</t>
  </si>
  <si>
    <t>Food Products</t>
  </si>
  <si>
    <t>NOVT</t>
  </si>
  <si>
    <t>Novanta</t>
  </si>
  <si>
    <t>Electronic &amp; Electrical Equipment</t>
  </si>
  <si>
    <t>Electronic Equipment</t>
  </si>
  <si>
    <t>FMI</t>
  </si>
  <si>
    <t>Foundation Medicine</t>
  </si>
  <si>
    <t>ENTA</t>
  </si>
  <si>
    <t>Enanta Pharmaceuticals</t>
  </si>
  <si>
    <t>ZGNX</t>
  </si>
  <si>
    <t>Zogenix</t>
  </si>
  <si>
    <t>WTI</t>
  </si>
  <si>
    <t>W&amp;t Offshore</t>
  </si>
  <si>
    <t>APPF</t>
  </si>
  <si>
    <t>Appfolio</t>
  </si>
  <si>
    <t>TRHC</t>
  </si>
  <si>
    <t>Tabula Rasa Healthcare</t>
  </si>
  <si>
    <t>LPSN</t>
  </si>
  <si>
    <t>Liveperson</t>
  </si>
  <si>
    <t>DNR</t>
  </si>
  <si>
    <t>Denbury Resources</t>
  </si>
  <si>
    <t>OLLI</t>
  </si>
  <si>
    <t>Ollie's Bargain Outlet</t>
  </si>
  <si>
    <t>Broadline Retailers</t>
  </si>
  <si>
    <t>ETSY</t>
  </si>
  <si>
    <t>Etsy</t>
  </si>
  <si>
    <t>GTLS</t>
  </si>
  <si>
    <t>Chart Industries</t>
  </si>
  <si>
    <t>Oil Equipment, Services &amp; Distribution</t>
  </si>
  <si>
    <t>Oil Equipment &amp; Services</t>
  </si>
  <si>
    <t>MASI</t>
  </si>
  <si>
    <t>Masimo</t>
  </si>
  <si>
    <t>SPXC</t>
  </si>
  <si>
    <t>Spx</t>
  </si>
  <si>
    <t>Industrial Engineering</t>
  </si>
  <si>
    <t>Industrial Machinery</t>
  </si>
  <si>
    <t>TWOU</t>
  </si>
  <si>
    <t>2u</t>
  </si>
  <si>
    <t>SYX</t>
  </si>
  <si>
    <t>Systemax</t>
  </si>
  <si>
    <t>Technology Hardware &amp; Equipment</t>
  </si>
  <si>
    <t>Computer Hardware</t>
  </si>
  <si>
    <t>PEN</t>
  </si>
  <si>
    <t>Penumbra</t>
  </si>
  <si>
    <t>TCMD</t>
  </si>
  <si>
    <t>Tactile Systems Technology</t>
  </si>
  <si>
    <t>RICK</t>
  </si>
  <si>
    <t>Rci Hospitality</t>
  </si>
  <si>
    <t>Recreational Services</t>
  </si>
  <si>
    <t>RNG</t>
  </si>
  <si>
    <t>Ringcentral</t>
  </si>
  <si>
    <t>SAIA</t>
  </si>
  <si>
    <t>Saia</t>
  </si>
  <si>
    <t>Industrial Transportation</t>
  </si>
  <si>
    <t>Trucking</t>
  </si>
  <si>
    <t>TTGT</t>
  </si>
  <si>
    <t>Techtarget</t>
  </si>
  <si>
    <t>Media</t>
  </si>
  <si>
    <t>Publishing</t>
  </si>
  <si>
    <t>AGM</t>
  </si>
  <si>
    <t>Federal Agricultural Mortgage</t>
  </si>
  <si>
    <t>Mortgage Finance</t>
  </si>
  <si>
    <t>ERI</t>
  </si>
  <si>
    <t>Eldorado Resorts</t>
  </si>
  <si>
    <t>REI</t>
  </si>
  <si>
    <t>Ring Energy</t>
  </si>
  <si>
    <t>NTNX</t>
  </si>
  <si>
    <t>Nutanix</t>
  </si>
  <si>
    <t>WRLD</t>
  </si>
  <si>
    <t>World Acceptance Corp (s.c.)</t>
  </si>
  <si>
    <t>ATRA</t>
  </si>
  <si>
    <t>Atara Biotherapeutics</t>
  </si>
  <si>
    <t>BOOT</t>
  </si>
  <si>
    <t>Boot Barn</t>
  </si>
  <si>
    <t>Apparel Retailers</t>
  </si>
  <si>
    <t>MTZ</t>
  </si>
  <si>
    <t>Mastec</t>
  </si>
  <si>
    <t>Construction &amp; Materials</t>
  </si>
  <si>
    <t>Heavy Construction</t>
  </si>
  <si>
    <t>TLRD</t>
  </si>
  <si>
    <t>Tailored Brands</t>
  </si>
  <si>
    <t>NGVT</t>
  </si>
  <si>
    <t>Ingevity</t>
  </si>
  <si>
    <t>Chemicals</t>
  </si>
  <si>
    <t>Specialty Chemicals</t>
  </si>
  <si>
    <t>KRA</t>
  </si>
  <si>
    <t>Kraton</t>
  </si>
  <si>
    <t>ITGR</t>
  </si>
  <si>
    <t>Integer</t>
  </si>
  <si>
    <t>Electrical Components &amp; Equipment</t>
  </si>
  <si>
    <t>FRPT</t>
  </si>
  <si>
    <t>Freshpet</t>
  </si>
  <si>
    <t>PES</t>
  </si>
  <si>
    <t>Pioneer Energy Services</t>
  </si>
  <si>
    <t>TTD</t>
  </si>
  <si>
    <t>The Trade Desk</t>
  </si>
  <si>
    <t>Media Agencies</t>
  </si>
  <si>
    <t>RP</t>
  </si>
  <si>
    <t>Realpage</t>
  </si>
  <si>
    <t>IPI</t>
  </si>
  <si>
    <t>Intrepid Potash</t>
  </si>
  <si>
    <t>Industrial Metals &amp; Mining</t>
  </si>
  <si>
    <t>Nonferrous Metals</t>
  </si>
  <si>
    <t>CDXS</t>
  </si>
  <si>
    <t>Codexis</t>
  </si>
  <si>
    <t>HOME</t>
  </si>
  <si>
    <t>At Home</t>
  </si>
  <si>
    <t>FOSL</t>
  </si>
  <si>
    <t>Fossil</t>
  </si>
  <si>
    <t>Personal Goods</t>
  </si>
  <si>
    <t>Clothing &amp; Accessories</t>
  </si>
  <si>
    <t>BOOM</t>
  </si>
  <si>
    <t>Dmc Global</t>
  </si>
  <si>
    <t>STMP</t>
  </si>
  <si>
    <t>Stamps.com</t>
  </si>
  <si>
    <t>GNBC</t>
  </si>
  <si>
    <t>Green Bancorp</t>
  </si>
  <si>
    <t>STML</t>
  </si>
  <si>
    <t>Stemline Therapeutics</t>
  </si>
  <si>
    <t>NEWR</t>
  </si>
  <si>
    <t>New Relic</t>
  </si>
  <si>
    <t>TREX</t>
  </si>
  <si>
    <t>Trex</t>
  </si>
  <si>
    <t>Building Materials &amp; Fixtures</t>
  </si>
  <si>
    <t>QDEL</t>
  </si>
  <si>
    <t>Quidel</t>
  </si>
  <si>
    <t>GDOT</t>
  </si>
  <si>
    <t>Green Dot</t>
  </si>
  <si>
    <t>CRAI</t>
  </si>
  <si>
    <t>Cra International</t>
  </si>
  <si>
    <t>Business Support Services</t>
  </si>
  <si>
    <t>PNK</t>
  </si>
  <si>
    <t>Pinnacle Entertainment</t>
  </si>
  <si>
    <t>QLYS</t>
  </si>
  <si>
    <t>Qualys</t>
  </si>
  <si>
    <t>Computer Services</t>
  </si>
  <si>
    <t>MBUU</t>
  </si>
  <si>
    <t>Malibu Boats</t>
  </si>
  <si>
    <t>Leisure Goods</t>
  </si>
  <si>
    <t>Recreational Products</t>
  </si>
  <si>
    <t>EFSC</t>
  </si>
  <si>
    <t>Enterprise Financial Services</t>
  </si>
  <si>
    <t>TSBK</t>
  </si>
  <si>
    <t>Timberland Bancorp</t>
  </si>
  <si>
    <t>XENT</t>
  </si>
  <si>
    <t>Intersect Ent</t>
  </si>
  <si>
    <t>SRPT</t>
  </si>
  <si>
    <t>Sarepta Therapeutics</t>
  </si>
  <si>
    <t>PODD</t>
  </si>
  <si>
    <t>Insulet</t>
  </si>
  <si>
    <t>TPB</t>
  </si>
  <si>
    <t>Turning Point Brands</t>
  </si>
  <si>
    <t>Tobacco</t>
  </si>
  <si>
    <t>LOPE</t>
  </si>
  <si>
    <t>Grand Canyon Education</t>
  </si>
  <si>
    <t>ARCB</t>
  </si>
  <si>
    <t>Arcbest</t>
  </si>
  <si>
    <t>TCBI</t>
  </si>
  <si>
    <t>Texas Capital Bancshares</t>
  </si>
  <si>
    <t>ENTG</t>
  </si>
  <si>
    <t>Entegris</t>
  </si>
  <si>
    <t>Semiconductors</t>
  </si>
  <si>
    <t>FMAO</t>
  </si>
  <si>
    <t>Farmers &amp; Merchants Bancorp Inc (ohio)</t>
  </si>
  <si>
    <t>KMG</t>
  </si>
  <si>
    <t>Kmg Chemicals</t>
  </si>
  <si>
    <t>CMTL</t>
  </si>
  <si>
    <t>Comtech Telecommunications</t>
  </si>
  <si>
    <t>Telecommunications Equipment</t>
  </si>
  <si>
    <t>TUSK</t>
  </si>
  <si>
    <t>Mammoth Energy Services</t>
  </si>
  <si>
    <t>HAE</t>
  </si>
  <si>
    <t>Haemonetics</t>
  </si>
  <si>
    <t>CERS</t>
  </si>
  <si>
    <t>Cerus</t>
  </si>
  <si>
    <t>ICUI</t>
  </si>
  <si>
    <t>Icu Medical</t>
  </si>
  <si>
    <t>EVBG</t>
  </si>
  <si>
    <t>Everbridge</t>
  </si>
  <si>
    <t>NR</t>
  </si>
  <si>
    <t>Newpark Resources</t>
  </si>
  <si>
    <t>CORR</t>
  </si>
  <si>
    <t>Corenergy Infrastructure Trust</t>
  </si>
  <si>
    <t>REITs</t>
  </si>
  <si>
    <t>Specialty REITs</t>
  </si>
  <si>
    <t>HIFS</t>
  </si>
  <si>
    <t>Hingham Institution For Savings</t>
  </si>
  <si>
    <t>INST</t>
  </si>
  <si>
    <t>Instructure</t>
  </si>
  <si>
    <t>ILG</t>
  </si>
  <si>
    <t>Ilg</t>
  </si>
  <si>
    <t>Travel &amp; Tourism</t>
  </si>
  <si>
    <t>KIN</t>
  </si>
  <si>
    <t>Kindred Biosciences</t>
  </si>
  <si>
    <t>AZPN</t>
  </si>
  <si>
    <t>Aspen Technology</t>
  </si>
  <si>
    <t>FOLD</t>
  </si>
  <si>
    <t>Amicus Therapeutics</t>
  </si>
  <si>
    <t>SMTC</t>
  </si>
  <si>
    <t>Semtech</t>
  </si>
  <si>
    <t>PLNT</t>
  </si>
  <si>
    <t>Planet Fitness</t>
  </si>
  <si>
    <t>TNET</t>
  </si>
  <si>
    <t>Trinet</t>
  </si>
  <si>
    <t>Financial Administration</t>
  </si>
  <si>
    <t>WWE</t>
  </si>
  <si>
    <t>World Wrestling Entertainment</t>
  </si>
  <si>
    <t>IRTC</t>
  </si>
  <si>
    <t>Irhythm Technologies</t>
  </si>
  <si>
    <t>GLUU</t>
  </si>
  <si>
    <t>Glu Mobile</t>
  </si>
  <si>
    <t>Toys</t>
  </si>
  <si>
    <t>SITE</t>
  </si>
  <si>
    <t>Siteone Landscape Supply</t>
  </si>
  <si>
    <t>NRC</t>
  </si>
  <si>
    <t>National Research</t>
  </si>
  <si>
    <t>PEGA</t>
  </si>
  <si>
    <t>Pegasystems</t>
  </si>
  <si>
    <t>KFY</t>
  </si>
  <si>
    <t>Korn/ferry International</t>
  </si>
  <si>
    <t>ATGE</t>
  </si>
  <si>
    <t>Adtalem Global Education</t>
  </si>
  <si>
    <t>RTEC</t>
  </si>
  <si>
    <t>Rudolph Technologies</t>
  </si>
  <si>
    <t>VG</t>
  </si>
  <si>
    <t>Vonage</t>
  </si>
  <si>
    <t>Fixed Line Telecommunications</t>
  </si>
  <si>
    <t>PENN</t>
  </si>
  <si>
    <t>Penn National Gaming</t>
  </si>
  <si>
    <t>KNSL</t>
  </si>
  <si>
    <t>Kinsale Capital</t>
  </si>
  <si>
    <t>Nonlife Insurance</t>
  </si>
  <si>
    <t>Full Line Insurance</t>
  </si>
  <si>
    <t>GEN</t>
  </si>
  <si>
    <t>Genesis Healthcare</t>
  </si>
  <si>
    <t>HUBS</t>
  </si>
  <si>
    <t>Hubspot</t>
  </si>
  <si>
    <t>CROX</t>
  </si>
  <si>
    <t>Crocs</t>
  </si>
  <si>
    <t>Footwear</t>
  </si>
  <si>
    <t>BRS</t>
  </si>
  <si>
    <t>Bristow</t>
  </si>
  <si>
    <t>MPWR</t>
  </si>
  <si>
    <t>Monolithic Power Systems</t>
  </si>
  <si>
    <t>ANF</t>
  </si>
  <si>
    <t>Abercrombie &amp; Fitch</t>
  </si>
  <si>
    <t>MCFT</t>
  </si>
  <si>
    <t>Mcbc</t>
  </si>
  <si>
    <t>APTI</t>
  </si>
  <si>
    <t>Apptio</t>
  </si>
  <si>
    <t>UNTY</t>
  </si>
  <si>
    <t>Unity Bancorp</t>
  </si>
  <si>
    <t>CCMP</t>
  </si>
  <si>
    <t>Cabot Microelectronics</t>
  </si>
  <si>
    <t>GAIA</t>
  </si>
  <si>
    <t>Gaia</t>
  </si>
  <si>
    <t>AAXN</t>
  </si>
  <si>
    <t>Axon Enterprise</t>
  </si>
  <si>
    <t>Aerospace &amp; Defense</t>
  </si>
  <si>
    <t>Defense</t>
  </si>
  <si>
    <t>KLXI</t>
  </si>
  <si>
    <t>Klx</t>
  </si>
  <si>
    <t>Aerospace</t>
  </si>
  <si>
    <t>BLD</t>
  </si>
  <si>
    <t>Topbuild</t>
  </si>
  <si>
    <t>SLP</t>
  </si>
  <si>
    <t>Simulations Plus</t>
  </si>
  <si>
    <t>BOX</t>
  </si>
  <si>
    <t>Box</t>
  </si>
  <si>
    <t>PJT</t>
  </si>
  <si>
    <t>Pjt Partners</t>
  </si>
  <si>
    <t>Asset Managers</t>
  </si>
  <si>
    <t>PRLB</t>
  </si>
  <si>
    <t>Proto Labs</t>
  </si>
  <si>
    <t>BOFI</t>
  </si>
  <si>
    <t>Bofi</t>
  </si>
  <si>
    <t>DS</t>
  </si>
  <si>
    <t>Drive Shack</t>
  </si>
  <si>
    <t>BOLD</t>
  </si>
  <si>
    <t>Audentes Therapeutics</t>
  </si>
  <si>
    <t>EVR</t>
  </si>
  <si>
    <t>Evercore</t>
  </si>
  <si>
    <t>ZEN</t>
  </si>
  <si>
    <t>Zendesk</t>
  </si>
  <si>
    <t>THC</t>
  </si>
  <si>
    <t>Tenet Healthcare</t>
  </si>
  <si>
    <t>GES</t>
  </si>
  <si>
    <t>Guess?</t>
  </si>
  <si>
    <t>QADA</t>
  </si>
  <si>
    <t>Qad</t>
  </si>
  <si>
    <t>PLOW</t>
  </si>
  <si>
    <t>Douglas Dynamics</t>
  </si>
  <si>
    <t>Commercial Vehicles &amp; Trucks</t>
  </si>
  <si>
    <t>CHEF</t>
  </si>
  <si>
    <t>The Chefs' Warehouse</t>
  </si>
  <si>
    <t>Food &amp; Drug Retailers</t>
  </si>
  <si>
    <t>Food Retailers &amp; Wholesalers</t>
  </si>
  <si>
    <t>HIBB</t>
  </si>
  <si>
    <t>Hibbett Sports</t>
  </si>
  <si>
    <t>AMOT</t>
  </si>
  <si>
    <t>Allied Motion Technologies</t>
  </si>
  <si>
    <t>PFPT</t>
  </si>
  <si>
    <t>Proofpoint</t>
  </si>
  <si>
    <t>CVI</t>
  </si>
  <si>
    <t>Cvr Energy</t>
  </si>
  <si>
    <t>QTWO</t>
  </si>
  <si>
    <t>Q2</t>
  </si>
  <si>
    <t>SLAB</t>
  </si>
  <si>
    <t>Silicon Laboratories</t>
  </si>
  <si>
    <t>HLNE</t>
  </si>
  <si>
    <t>Hamilton Lane</t>
  </si>
  <si>
    <t>VRTU</t>
  </si>
  <si>
    <t>Virtusa</t>
  </si>
  <si>
    <t>CHE</t>
  </si>
  <si>
    <t>Chemed</t>
  </si>
  <si>
    <t>OFLX</t>
  </si>
  <si>
    <t>Omega Flex</t>
  </si>
  <si>
    <t>FIVN</t>
  </si>
  <si>
    <t>Five9</t>
  </si>
  <si>
    <t>WRD</t>
  </si>
  <si>
    <t>Wildhorse Resource Development</t>
  </si>
  <si>
    <t>GMED</t>
  </si>
  <si>
    <t>Globus Medical</t>
  </si>
  <si>
    <t>CHDN</t>
  </si>
  <si>
    <t>Churchill Downs</t>
  </si>
  <si>
    <t>XCRA</t>
  </si>
  <si>
    <t>Xcerra</t>
  </si>
  <si>
    <t>WTFC</t>
  </si>
  <si>
    <t>Wintrust Financial</t>
  </si>
  <si>
    <t>RPD</t>
  </si>
  <si>
    <t>Rapid7</t>
  </si>
  <si>
    <t>MGPI</t>
  </si>
  <si>
    <t>Mgp Ingredients</t>
  </si>
  <si>
    <t>PSTG</t>
  </si>
  <si>
    <t>Pure Storage</t>
  </si>
  <si>
    <t>UBFO</t>
  </si>
  <si>
    <t>United Security Bancshares</t>
  </si>
  <si>
    <t>FBNC</t>
  </si>
  <si>
    <t>First Bancorp</t>
  </si>
  <si>
    <t>MTDR</t>
  </si>
  <si>
    <t>Matador Resources</t>
  </si>
  <si>
    <t>ASGN</t>
  </si>
  <si>
    <t>Asgn</t>
  </si>
  <si>
    <t>EPAY</t>
  </si>
  <si>
    <t>Bottomline Technologies</t>
  </si>
  <si>
    <t>TTI</t>
  </si>
  <si>
    <t>Tetra Technologies</t>
  </si>
  <si>
    <t>CRZO</t>
  </si>
  <si>
    <t>Carrizo Oil &amp; Gas</t>
  </si>
  <si>
    <t>MODN</t>
  </si>
  <si>
    <t>Model N</t>
  </si>
  <si>
    <t>IPAR</t>
  </si>
  <si>
    <t>Inter Parfums</t>
  </si>
  <si>
    <t>Personal Products</t>
  </si>
  <si>
    <t>TBBK</t>
  </si>
  <si>
    <t>Bancorp</t>
  </si>
  <si>
    <t>LOB</t>
  </si>
  <si>
    <t>Live Oak Bancshares</t>
  </si>
  <si>
    <t>PUB</t>
  </si>
  <si>
    <t>People's Utah Bancorp</t>
  </si>
  <si>
    <t>MSA</t>
  </si>
  <si>
    <t>Msa Safety</t>
  </si>
  <si>
    <t>OLBK</t>
  </si>
  <si>
    <t>Old Line Bancshares</t>
  </si>
  <si>
    <t>PRI</t>
  </si>
  <si>
    <t>Primerica</t>
  </si>
  <si>
    <t>Life Insurance</t>
  </si>
  <si>
    <t>MC</t>
  </si>
  <si>
    <t>Moelis</t>
  </si>
  <si>
    <t>Investment Services</t>
  </si>
  <si>
    <t>SGRY</t>
  </si>
  <si>
    <t>Surgery Partners</t>
  </si>
  <si>
    <t>GTS</t>
  </si>
  <si>
    <t>Triple-s Management</t>
  </si>
  <si>
    <t>CLSD</t>
  </si>
  <si>
    <t>Clearside Biomedical</t>
  </si>
  <si>
    <t>NDLS</t>
  </si>
  <si>
    <t>Noodles</t>
  </si>
  <si>
    <t>Restaurants &amp; Bars</t>
  </si>
  <si>
    <t>SFLY</t>
  </si>
  <si>
    <t>Shutterfly</t>
  </si>
  <si>
    <t>HLI</t>
  </si>
  <si>
    <t>Houlihan Lokey</t>
  </si>
  <si>
    <t>VPG</t>
  </si>
  <si>
    <t>Vishay Precision</t>
  </si>
  <si>
    <t>TWLO</t>
  </si>
  <si>
    <t>Twilio</t>
  </si>
  <si>
    <t>CNNE</t>
  </si>
  <si>
    <t>Cannae</t>
  </si>
  <si>
    <t>Specialty Finance</t>
  </si>
  <si>
    <t>OSBC</t>
  </si>
  <si>
    <t>Old Second Bancorp</t>
  </si>
  <si>
    <t>VICR</t>
  </si>
  <si>
    <t>Vicor</t>
  </si>
  <si>
    <t>AVAV</t>
  </si>
  <si>
    <t>Aerovironment</t>
  </si>
  <si>
    <t>STRA</t>
  </si>
  <si>
    <t>Strayer Education</t>
  </si>
  <si>
    <t>MTRX</t>
  </si>
  <si>
    <t>Matrix Service</t>
  </si>
  <si>
    <t>RUN</t>
  </si>
  <si>
    <t>Sunrun</t>
  </si>
  <si>
    <t>Utilities</t>
  </si>
  <si>
    <t>Electricity</t>
  </si>
  <si>
    <t>Alternative Electricity</t>
  </si>
  <si>
    <t>IPCC</t>
  </si>
  <si>
    <t>Infinity Property &amp; Casualty</t>
  </si>
  <si>
    <t>Property &amp; Casualty Insurance</t>
  </si>
  <si>
    <t>RILY</t>
  </si>
  <si>
    <t>B. Riley Financial</t>
  </si>
  <si>
    <t>OKTA</t>
  </si>
  <si>
    <t>Okta</t>
  </si>
  <si>
    <t>TSC</t>
  </si>
  <si>
    <t>Tristate Capital</t>
  </si>
  <si>
    <t>WMIH</t>
  </si>
  <si>
    <t>Wmih</t>
  </si>
  <si>
    <t>Reinsurance</t>
  </si>
  <si>
    <t>LHCG</t>
  </si>
  <si>
    <t>Lhc</t>
  </si>
  <si>
    <t>WK</t>
  </si>
  <si>
    <t>Workiva</t>
  </si>
  <si>
    <t>PPBI</t>
  </si>
  <si>
    <t>Pacific Premier Bancorp</t>
  </si>
  <si>
    <t>AIR</t>
  </si>
  <si>
    <t>Aar</t>
  </si>
  <si>
    <t>IMMR</t>
  </si>
  <si>
    <t>Immersion</t>
  </si>
  <si>
    <t>IHC</t>
  </si>
  <si>
    <t>Independence</t>
  </si>
  <si>
    <t>HEES</t>
  </si>
  <si>
    <t>H &amp; E Equipment Services</t>
  </si>
  <si>
    <t>AIN</t>
  </si>
  <si>
    <t>Albany International</t>
  </si>
  <si>
    <t>ROLL</t>
  </si>
  <si>
    <t>Rbc Bearings</t>
  </si>
  <si>
    <t>FICO</t>
  </si>
  <si>
    <t>Fair Isaac</t>
  </si>
  <si>
    <t>BCC</t>
  </si>
  <si>
    <t>Boise Cascade</t>
  </si>
  <si>
    <t>BANF</t>
  </si>
  <si>
    <t>Bancfirst</t>
  </si>
  <si>
    <t>UNB</t>
  </si>
  <si>
    <t>Union Bankshares Inc (vt)</t>
  </si>
  <si>
    <t>LFUS</t>
  </si>
  <si>
    <t>Littelfuse</t>
  </si>
  <si>
    <t>CACI</t>
  </si>
  <si>
    <t>Caci International</t>
  </si>
  <si>
    <t>VBTX</t>
  </si>
  <si>
    <t>Veritex</t>
  </si>
  <si>
    <t>NGVC</t>
  </si>
  <si>
    <t>Natural Grocers By Vitamin Cottage</t>
  </si>
  <si>
    <t>FBK</t>
  </si>
  <si>
    <t>Fb Financial</t>
  </si>
  <si>
    <t>FCFS</t>
  </si>
  <si>
    <t>Firstcash</t>
  </si>
  <si>
    <t>PCYO</t>
  </si>
  <si>
    <t>Pure Cycle</t>
  </si>
  <si>
    <t>Gas, Water &amp; Multi-utilities</t>
  </si>
  <si>
    <t>Water</t>
  </si>
  <si>
    <t>LAYN</t>
  </si>
  <si>
    <t>Layne Christensen</t>
  </si>
  <si>
    <t>CKH</t>
  </si>
  <si>
    <t>Seacor</t>
  </si>
  <si>
    <t>COUP</t>
  </si>
  <si>
    <t>Coupa Software</t>
  </si>
  <si>
    <t>CHFC</t>
  </si>
  <si>
    <t>Chemical Financial</t>
  </si>
  <si>
    <t>FFWM</t>
  </si>
  <si>
    <t>First Foundation</t>
  </si>
  <si>
    <t>BYD</t>
  </si>
  <si>
    <t>Boyd Gaming</t>
  </si>
  <si>
    <t>KPTI</t>
  </si>
  <si>
    <t>Karyopharm Therapeutics</t>
  </si>
  <si>
    <t>ZUMZ</t>
  </si>
  <si>
    <t>Zumiez</t>
  </si>
  <si>
    <t>AEO</t>
  </si>
  <si>
    <t>American Eagle Outfitters</t>
  </si>
  <si>
    <t>FBMS</t>
  </si>
  <si>
    <t>First Bancshares</t>
  </si>
  <si>
    <t>KMPR</t>
  </si>
  <si>
    <t>Kemper</t>
  </si>
  <si>
    <t>TTEK</t>
  </si>
  <si>
    <t>Tetra Tech</t>
  </si>
  <si>
    <t>Waste &amp; Disposal Services</t>
  </si>
  <si>
    <t>USNA</t>
  </si>
  <si>
    <t>Usana Health Sciences</t>
  </si>
  <si>
    <t>NSM</t>
  </si>
  <si>
    <t>Nationstar Mortgage</t>
  </si>
  <si>
    <t>MOV</t>
  </si>
  <si>
    <t>Movado</t>
  </si>
  <si>
    <t>TCS</t>
  </si>
  <si>
    <t>The Container Store</t>
  </si>
  <si>
    <t>SRDX</t>
  </si>
  <si>
    <t>Surmodics</t>
  </si>
  <si>
    <t>HBCP</t>
  </si>
  <si>
    <t>Home Bancorp</t>
  </si>
  <si>
    <t>PGTI</t>
  </si>
  <si>
    <t>Pgt Innovations</t>
  </si>
  <si>
    <t>HRTX</t>
  </si>
  <si>
    <t>Heron Therapeutics</t>
  </si>
  <si>
    <t>GCO</t>
  </si>
  <si>
    <t>Genesco</t>
  </si>
  <si>
    <t>FCB</t>
  </si>
  <si>
    <t>Fcb Financial</t>
  </si>
  <si>
    <t>CBZ</t>
  </si>
  <si>
    <t>Cbiz</t>
  </si>
  <si>
    <t>UCFC</t>
  </si>
  <si>
    <t>United Community Financial</t>
  </si>
  <si>
    <t>EBS</t>
  </si>
  <si>
    <t>Emergent Biosolutions</t>
  </si>
  <si>
    <t>LQ</t>
  </si>
  <si>
    <t>La Quinta</t>
  </si>
  <si>
    <t>Hotels</t>
  </si>
  <si>
    <t>SRCE</t>
  </si>
  <si>
    <t>1st Source</t>
  </si>
  <si>
    <t>NEOG</t>
  </si>
  <si>
    <t>Neogen</t>
  </si>
  <si>
    <t>UCBI</t>
  </si>
  <si>
    <t>United Community Banks</t>
  </si>
  <si>
    <t>FNHC</t>
  </si>
  <si>
    <t>Federated National</t>
  </si>
  <si>
    <t>GBNK</t>
  </si>
  <si>
    <t>Guaranty Bancorp</t>
  </si>
  <si>
    <t>ECHO</t>
  </si>
  <si>
    <t>Echo Global Logistics</t>
  </si>
  <si>
    <t>Transportation Services</t>
  </si>
  <si>
    <t>EPAM</t>
  </si>
  <si>
    <t>Epam Systems</t>
  </si>
  <si>
    <t>SRI</t>
  </si>
  <si>
    <t>Stoneridge</t>
  </si>
  <si>
    <t>Automobiles &amp; Parts</t>
  </si>
  <si>
    <t>Auto Parts</t>
  </si>
  <si>
    <t>WING</t>
  </si>
  <si>
    <t>Wingstop</t>
  </si>
  <si>
    <t>SRCI</t>
  </si>
  <si>
    <t>Src Energy</t>
  </si>
  <si>
    <t>NCOM</t>
  </si>
  <si>
    <t>National Commerce</t>
  </si>
  <si>
    <t>TISI</t>
  </si>
  <si>
    <t>Team</t>
  </si>
  <si>
    <t>EHC</t>
  </si>
  <si>
    <t>Encompass Health</t>
  </si>
  <si>
    <t>FMNB</t>
  </si>
  <si>
    <t>Farmers National Banc</t>
  </si>
  <si>
    <t>GIII</t>
  </si>
  <si>
    <t>G-iii Apparel</t>
  </si>
  <si>
    <t>TPIC</t>
  </si>
  <si>
    <t>Tpi Composites</t>
  </si>
  <si>
    <t>Alternative Energy</t>
  </si>
  <si>
    <t>Renewable Energy Equipment</t>
  </si>
  <si>
    <t>LBAI</t>
  </si>
  <si>
    <t>Lakeland Bancorp</t>
  </si>
  <si>
    <t>QTNT</t>
  </si>
  <si>
    <t>Quotient</t>
  </si>
  <si>
    <t>RGEN</t>
  </si>
  <si>
    <t>Repligen</t>
  </si>
  <si>
    <t>PLXS</t>
  </si>
  <si>
    <t>Plexus</t>
  </si>
  <si>
    <t>NTB</t>
  </si>
  <si>
    <t>Bank Of N T Butterfield &amp; Son</t>
  </si>
  <si>
    <t>ULH</t>
  </si>
  <si>
    <t>Universal Logistics</t>
  </si>
  <si>
    <t>PTCT</t>
  </si>
  <si>
    <t>Ptc Therapeutics</t>
  </si>
  <si>
    <t>PRSC</t>
  </si>
  <si>
    <t>Providence Service</t>
  </si>
  <si>
    <t>DECK</t>
  </si>
  <si>
    <t>Deckers Outdoor</t>
  </si>
  <si>
    <t>GHL</t>
  </si>
  <si>
    <t>Greenhill</t>
  </si>
  <si>
    <t>HSII</t>
  </si>
  <si>
    <t>Heidrick &amp; Struggles International</t>
  </si>
  <si>
    <t>TBK</t>
  </si>
  <si>
    <t>Triumph Bancorp</t>
  </si>
  <si>
    <t>CVTI</t>
  </si>
  <si>
    <t>Covenant Transportation</t>
  </si>
  <si>
    <t>IRDM</t>
  </si>
  <si>
    <t>Iridium Communications</t>
  </si>
  <si>
    <t>HIL</t>
  </si>
  <si>
    <t>Hill International</t>
  </si>
  <si>
    <t>AXAS</t>
  </si>
  <si>
    <t>Abraxas Petroleum</t>
  </si>
  <si>
    <t>ECOL</t>
  </si>
  <si>
    <t>Us Ecology</t>
  </si>
  <si>
    <t>COBZ</t>
  </si>
  <si>
    <t>Cobiz Financial</t>
  </si>
  <si>
    <t>CREE</t>
  </si>
  <si>
    <t>Cree</t>
  </si>
  <si>
    <t>WWW</t>
  </si>
  <si>
    <t>Wolverine World Wide</t>
  </si>
  <si>
    <t>NYT</t>
  </si>
  <si>
    <t>New York Times</t>
  </si>
  <si>
    <t>RM</t>
  </si>
  <si>
    <t>Regional Management</t>
  </si>
  <si>
    <t>AMAG</t>
  </si>
  <si>
    <t>Amag Pharmaceuticals</t>
  </si>
  <si>
    <t>STBA</t>
  </si>
  <si>
    <t>S &amp; T Bancorp</t>
  </si>
  <si>
    <t>HBNC</t>
  </si>
  <si>
    <t>Horizon Bancorp</t>
  </si>
  <si>
    <t>HFWA</t>
  </si>
  <si>
    <t>Heritage Financial</t>
  </si>
  <si>
    <t>EQBK</t>
  </si>
  <si>
    <t>Equity Bancshares</t>
  </si>
  <si>
    <t>ABCB</t>
  </si>
  <si>
    <t>Ameris Bancorp</t>
  </si>
  <si>
    <t>BMTC</t>
  </si>
  <si>
    <t>Bryn Mawr Bank</t>
  </si>
  <si>
    <t>FIVE</t>
  </si>
  <si>
    <t>Five Below</t>
  </si>
  <si>
    <t>DO</t>
  </si>
  <si>
    <t>Diamond Offshore Drilling</t>
  </si>
  <si>
    <t>PVAC</t>
  </si>
  <si>
    <t>Penn Virginia</t>
  </si>
  <si>
    <t>BCOR</t>
  </si>
  <si>
    <t>Blucora</t>
  </si>
  <si>
    <t>Internet</t>
  </si>
  <si>
    <t>BGC</t>
  </si>
  <si>
    <t>General Cable</t>
  </si>
  <si>
    <t>EML</t>
  </si>
  <si>
    <t>The Eastern</t>
  </si>
  <si>
    <t>SYNT</t>
  </si>
  <si>
    <t>Syntel</t>
  </si>
  <si>
    <t>VRTS</t>
  </si>
  <si>
    <t>Virtus Investment Partners</t>
  </si>
  <si>
    <t>FELE</t>
  </si>
  <si>
    <t>Franklin Electric</t>
  </si>
  <si>
    <t>FCN</t>
  </si>
  <si>
    <t>Fti Consulting</t>
  </si>
  <si>
    <t>SKYW</t>
  </si>
  <si>
    <t>Skywest</t>
  </si>
  <si>
    <t>Airlines</t>
  </si>
  <si>
    <t>SHAK</t>
  </si>
  <si>
    <t>Shake Shack</t>
  </si>
  <si>
    <t>SIGI</t>
  </si>
  <si>
    <t>Selective Insurance</t>
  </si>
  <si>
    <t>INTL</t>
  </si>
  <si>
    <t>Intl Fcstone</t>
  </si>
  <si>
    <t>RUTH</t>
  </si>
  <si>
    <t>Ruth's Hospitality</t>
  </si>
  <si>
    <t>BL</t>
  </si>
  <si>
    <t>Blackline</t>
  </si>
  <si>
    <t>CCOI</t>
  </si>
  <si>
    <t>Cogent Communications</t>
  </si>
  <si>
    <t>ATI</t>
  </si>
  <si>
    <t>Allegheny Technologies</t>
  </si>
  <si>
    <t>Iron &amp; Steel</t>
  </si>
  <si>
    <t>WWD</t>
  </si>
  <si>
    <t>Woodward</t>
  </si>
  <si>
    <t>CTWS</t>
  </si>
  <si>
    <t>Connecticut Water Service</t>
  </si>
  <si>
    <t>SIEN</t>
  </si>
  <si>
    <t>Sientra</t>
  </si>
  <si>
    <t>CTRN</t>
  </si>
  <si>
    <t>Citi Trends</t>
  </si>
  <si>
    <t>NE</t>
  </si>
  <si>
    <t>Noble</t>
  </si>
  <si>
    <t>MGRC</t>
  </si>
  <si>
    <t>Mc Grath Rent</t>
  </si>
  <si>
    <t>LIVN</t>
  </si>
  <si>
    <t>Livanova</t>
  </si>
  <si>
    <t>ENSG</t>
  </si>
  <si>
    <t>Ensign</t>
  </si>
  <si>
    <t>BOCH</t>
  </si>
  <si>
    <t>Bank Of Commerce</t>
  </si>
  <si>
    <t>CVGW</t>
  </si>
  <si>
    <t>Calavo Growers</t>
  </si>
  <si>
    <t>ABAX</t>
  </si>
  <si>
    <t>Abaxis</t>
  </si>
  <si>
    <t>KFRC</t>
  </si>
  <si>
    <t>Kforce</t>
  </si>
  <si>
    <t>MEDP</t>
  </si>
  <si>
    <t>Medpace</t>
  </si>
  <si>
    <t>OPY</t>
  </si>
  <si>
    <t>Oppenheimer</t>
  </si>
  <si>
    <t>HURC</t>
  </si>
  <si>
    <t>Hurco Cos</t>
  </si>
  <si>
    <t>ATHX</t>
  </si>
  <si>
    <t>Athersys</t>
  </si>
  <si>
    <t>BKE</t>
  </si>
  <si>
    <t>Buckle</t>
  </si>
  <si>
    <t>BJRI</t>
  </si>
  <si>
    <t>Bj's Restaurants</t>
  </si>
  <si>
    <t>CARB</t>
  </si>
  <si>
    <t>Carbonite</t>
  </si>
  <si>
    <t>SAM</t>
  </si>
  <si>
    <t>Boston Beer</t>
  </si>
  <si>
    <t>Beverages</t>
  </si>
  <si>
    <t>Brewers</t>
  </si>
  <si>
    <t>RGS</t>
  </si>
  <si>
    <t>Regis Corp (minn)</t>
  </si>
  <si>
    <t>CVCO</t>
  </si>
  <si>
    <t>Cavco Industries</t>
  </si>
  <si>
    <t>Household Goods &amp; Home Construction</t>
  </si>
  <si>
    <t>Home Construction</t>
  </si>
  <si>
    <t>CLAR</t>
  </si>
  <si>
    <t>Clarus</t>
  </si>
  <si>
    <t>ISTR</t>
  </si>
  <si>
    <t>Investar</t>
  </si>
  <si>
    <t>CHUBK</t>
  </si>
  <si>
    <t>Commercehub</t>
  </si>
  <si>
    <t>XOXO</t>
  </si>
  <si>
    <t>Xo</t>
  </si>
  <si>
    <t>HIIQ</t>
  </si>
  <si>
    <t>Health Insurance Innovations</t>
  </si>
  <si>
    <t>KRO</t>
  </si>
  <si>
    <t>Kronos Worldwide</t>
  </si>
  <si>
    <t>NAV</t>
  </si>
  <si>
    <t>Navistar International</t>
  </si>
  <si>
    <t>SAGE</t>
  </si>
  <si>
    <t>Sage Therapeutics</t>
  </si>
  <si>
    <t>MDGL</t>
  </si>
  <si>
    <t>Madrigal Pharmaceuticals</t>
  </si>
  <si>
    <t>VHI</t>
  </si>
  <si>
    <t>Valhi</t>
  </si>
  <si>
    <t>IMGN</t>
  </si>
  <si>
    <t>Immunogen</t>
  </si>
  <si>
    <t>NKTR</t>
  </si>
  <si>
    <t>Nektar Therapeutics</t>
  </si>
  <si>
    <t>CPRX</t>
  </si>
  <si>
    <t>Catalyst Pharmaceuticals</t>
  </si>
  <si>
    <t>CENX</t>
  </si>
  <si>
    <t>Century Aluminum</t>
  </si>
  <si>
    <t>Aluminum</t>
  </si>
  <si>
    <t>KEM</t>
  </si>
  <si>
    <t>Kemet</t>
  </si>
  <si>
    <t>SGMO</t>
  </si>
  <si>
    <t>Sangamo Therapeutics</t>
  </si>
  <si>
    <t>ANAB</t>
  </si>
  <si>
    <t>Anaptysbio</t>
  </si>
  <si>
    <t>LMAT</t>
  </si>
  <si>
    <t>Lemaitre Vascular</t>
  </si>
  <si>
    <t>CORT</t>
  </si>
  <si>
    <t>Corcept Therapeutics</t>
  </si>
  <si>
    <t>LGIH</t>
  </si>
  <si>
    <t>Lgi Homes</t>
  </si>
  <si>
    <t>LITE</t>
  </si>
  <si>
    <t>Lumentum</t>
  </si>
  <si>
    <t>CDZI</t>
  </si>
  <si>
    <t>Cadiz</t>
  </si>
  <si>
    <t>EXTR</t>
  </si>
  <si>
    <t>Extreme Networks</t>
  </si>
  <si>
    <t>MB</t>
  </si>
  <si>
    <t>Mindbody</t>
  </si>
  <si>
    <t>LLNW</t>
  </si>
  <si>
    <t>Limelight Networks</t>
  </si>
  <si>
    <t>QNST</t>
  </si>
  <si>
    <t>Quinstreet</t>
  </si>
  <si>
    <t>CUTR</t>
  </si>
  <si>
    <t>Cutera</t>
  </si>
  <si>
    <t>TVTY</t>
  </si>
  <si>
    <t>Tivity Health</t>
  </si>
  <si>
    <t>NMIH</t>
  </si>
  <si>
    <t>Nmi</t>
  </si>
  <si>
    <t>ESIO</t>
  </si>
  <si>
    <t>Electro Scientific Industries</t>
  </si>
  <si>
    <t>MYOK</t>
  </si>
  <si>
    <t>Myokardia</t>
  </si>
  <si>
    <t>ALRM</t>
  </si>
  <si>
    <t>Alarm.com</t>
  </si>
  <si>
    <t>IOVA</t>
  </si>
  <si>
    <t>Iovance Biotherapeutics</t>
  </si>
  <si>
    <t>OSUR</t>
  </si>
  <si>
    <t>Orasure Technologies</t>
  </si>
  <si>
    <t>GTT</t>
  </si>
  <si>
    <t>Gtt Communications</t>
  </si>
  <si>
    <t>TREE</t>
  </si>
  <si>
    <t>Lendingtree</t>
  </si>
  <si>
    <t>FGEN</t>
  </si>
  <si>
    <t>Fibrogen</t>
  </si>
  <si>
    <t>BRKS</t>
  </si>
  <si>
    <t>Brooks Automation</t>
  </si>
  <si>
    <t>MKSI</t>
  </si>
  <si>
    <t>Mks Instruments</t>
  </si>
  <si>
    <t>SBBP</t>
  </si>
  <si>
    <t>Strongbridge Biopharma</t>
  </si>
  <si>
    <t>AXTI</t>
  </si>
  <si>
    <t>Axt</t>
  </si>
  <si>
    <t>COLL</t>
  </si>
  <si>
    <t>Collegium Pharmaceutical</t>
  </si>
  <si>
    <t>TGTX</t>
  </si>
  <si>
    <t>Tg Therapeutics</t>
  </si>
  <si>
    <t>GBT</t>
  </si>
  <si>
    <t>Global Blood Therapeutics</t>
  </si>
  <si>
    <t>PAYC</t>
  </si>
  <si>
    <t>Paycom Software</t>
  </si>
  <si>
    <t>GLOG</t>
  </si>
  <si>
    <t>Gaslog</t>
  </si>
  <si>
    <t>Marine Transportation</t>
  </si>
  <si>
    <t>BLKB</t>
  </si>
  <si>
    <t>Blackbaud</t>
  </si>
  <si>
    <t>KINS</t>
  </si>
  <si>
    <t>Kingstone Companies</t>
  </si>
  <si>
    <t>AIMT</t>
  </si>
  <si>
    <t>Aimmune Therapeutics</t>
  </si>
  <si>
    <t>RUSHA</t>
  </si>
  <si>
    <t>Rush Enterprises</t>
  </si>
  <si>
    <t>CVNA</t>
  </si>
  <si>
    <t>Carvana</t>
  </si>
  <si>
    <t>AMRC</t>
  </si>
  <si>
    <t>Ameresco</t>
  </si>
  <si>
    <t>KAI</t>
  </si>
  <si>
    <t>Kadant</t>
  </si>
  <si>
    <t>IIVI</t>
  </si>
  <si>
    <t>Ii Vi</t>
  </si>
  <si>
    <t>RUSHB</t>
  </si>
  <si>
    <t>ROG</t>
  </si>
  <si>
    <t>Rogers</t>
  </si>
  <si>
    <t>ASIX</t>
  </si>
  <si>
    <t>Advansix</t>
  </si>
  <si>
    <t>WVE</t>
  </si>
  <si>
    <t>Wave Life Sciences</t>
  </si>
  <si>
    <t>BCO</t>
  </si>
  <si>
    <t>The Brink's</t>
  </si>
  <si>
    <t>CNCE</t>
  </si>
  <si>
    <t>Concert Pharmaceuticals</t>
  </si>
  <si>
    <t>CTMX</t>
  </si>
  <si>
    <t>Cytomx Therapeutics</t>
  </si>
  <si>
    <t>MRCY</t>
  </si>
  <si>
    <t>Mercury Systems</t>
  </si>
  <si>
    <t>ECPG</t>
  </si>
  <si>
    <t>Encore Capital</t>
  </si>
  <si>
    <t>FOXF</t>
  </si>
  <si>
    <t>Fox Factory</t>
  </si>
  <si>
    <t>FSTR</t>
  </si>
  <si>
    <t>L B Foster</t>
  </si>
  <si>
    <t>FARO</t>
  </si>
  <si>
    <t>Faro Technologies</t>
  </si>
  <si>
    <t>ICHR</t>
  </si>
  <si>
    <t>Ichor</t>
  </si>
  <si>
    <t>RVNC</t>
  </si>
  <si>
    <t>Revance Therapeutics</t>
  </si>
  <si>
    <t>DAN</t>
  </si>
  <si>
    <t>Dana</t>
  </si>
  <si>
    <t>ITCI</t>
  </si>
  <si>
    <t>Intra-cellular Therapies</t>
  </si>
  <si>
    <t>RDNT</t>
  </si>
  <si>
    <t>Radnet</t>
  </si>
  <si>
    <t>BLBD</t>
  </si>
  <si>
    <t>Blue Bird</t>
  </si>
  <si>
    <t>MTW</t>
  </si>
  <si>
    <t>Manitowoc</t>
  </si>
  <si>
    <t>CCXI</t>
  </si>
  <si>
    <t>Chemocentryx</t>
  </si>
  <si>
    <t>BPMC</t>
  </si>
  <si>
    <t>Blueprint Medicines</t>
  </si>
  <si>
    <t>MYGN</t>
  </si>
  <si>
    <t>Myriad Genetics</t>
  </si>
  <si>
    <t>CCS</t>
  </si>
  <si>
    <t>Century Communities</t>
  </si>
  <si>
    <t>VSH</t>
  </si>
  <si>
    <t>Vishay Intertechnology</t>
  </si>
  <si>
    <t>INSM</t>
  </si>
  <si>
    <t>Insmed</t>
  </si>
  <si>
    <t>MRTN</t>
  </si>
  <si>
    <t>Marten Transport</t>
  </si>
  <si>
    <t>MOD</t>
  </si>
  <si>
    <t>Modine Manufacturing</t>
  </si>
  <si>
    <t>NVAX</t>
  </si>
  <si>
    <t>Novavax</t>
  </si>
  <si>
    <t>VYGR</t>
  </si>
  <si>
    <t>Voyager Therapeutics</t>
  </si>
  <si>
    <t>SF</t>
  </si>
  <si>
    <t>Stifel Financial</t>
  </si>
  <si>
    <t>PJC</t>
  </si>
  <si>
    <t>Piper Jaffray Cos</t>
  </si>
  <si>
    <t>MNOV</t>
  </si>
  <si>
    <t>Medicinova</t>
  </si>
  <si>
    <t>AYX</t>
  </si>
  <si>
    <t>Alteryx</t>
  </si>
  <si>
    <t>ARRY</t>
  </si>
  <si>
    <t>Array Biopharma</t>
  </si>
  <si>
    <t>EDIT</t>
  </si>
  <si>
    <t>Editas Medicine</t>
  </si>
  <si>
    <t>CWST</t>
  </si>
  <si>
    <t>Casella Waste Systems</t>
  </si>
  <si>
    <t>AEL</t>
  </si>
  <si>
    <t>American Equity Investment Life</t>
  </si>
  <si>
    <t>NTLA</t>
  </si>
  <si>
    <t>Intellia Therapeutics</t>
  </si>
  <si>
    <t>DRRX</t>
  </si>
  <si>
    <t>Durect</t>
  </si>
  <si>
    <t>FLDM</t>
  </si>
  <si>
    <t>Fluidigm</t>
  </si>
  <si>
    <t>APEI</t>
  </si>
  <si>
    <t>American Public Education</t>
  </si>
  <si>
    <t>RVSB</t>
  </si>
  <si>
    <t>Riverview Bancorp</t>
  </si>
  <si>
    <t>OSG</t>
  </si>
  <si>
    <t>Overseas Shipholding</t>
  </si>
  <si>
    <t>AVHI</t>
  </si>
  <si>
    <t>A V Homes</t>
  </si>
  <si>
    <t>Real Estate Holding &amp; Development</t>
  </si>
  <si>
    <t>ABCD</t>
  </si>
  <si>
    <t>Cambium Learning</t>
  </si>
  <si>
    <t>GERN</t>
  </si>
  <si>
    <t>Geron</t>
  </si>
  <si>
    <t>CWT</t>
  </si>
  <si>
    <t>California Water Service</t>
  </si>
  <si>
    <t>CAR</t>
  </si>
  <si>
    <t>Avis Budget</t>
  </si>
  <si>
    <t>AIMC</t>
  </si>
  <si>
    <t>Altra Industrial Motion</t>
  </si>
  <si>
    <t>ITRI</t>
  </si>
  <si>
    <t>Itron</t>
  </si>
  <si>
    <t>MTG</t>
  </si>
  <si>
    <t>Mgic Investment</t>
  </si>
  <si>
    <t>DPLO</t>
  </si>
  <si>
    <t>Diplomat Pharmacy</t>
  </si>
  <si>
    <t>Drug Retailers</t>
  </si>
  <si>
    <t>SMBC</t>
  </si>
  <si>
    <t>Southern Missouri Bancorp</t>
  </si>
  <si>
    <t>VIRT</t>
  </si>
  <si>
    <t>Virtu Financial</t>
  </si>
  <si>
    <t>PFSI</t>
  </si>
  <si>
    <t>Pennymac Financial Services</t>
  </si>
  <si>
    <t>METC</t>
  </si>
  <si>
    <t>Ramaco Resources</t>
  </si>
  <si>
    <t>Mining</t>
  </si>
  <si>
    <t>Coal</t>
  </si>
  <si>
    <t>TPH</t>
  </si>
  <si>
    <t>Tri Pointe</t>
  </si>
  <si>
    <t>Barnes</t>
  </si>
  <si>
    <t>Industrial Suppliers</t>
  </si>
  <si>
    <t>IVC</t>
  </si>
  <si>
    <t>Invacare</t>
  </si>
  <si>
    <t>EPE</t>
  </si>
  <si>
    <t>Ep Energy</t>
  </si>
  <si>
    <t>EGC</t>
  </si>
  <si>
    <t>Energy Xxi Gulf Coast</t>
  </si>
  <si>
    <t>ESND</t>
  </si>
  <si>
    <t>Essendant</t>
  </si>
  <si>
    <t>TELL</t>
  </si>
  <si>
    <t>Tellurian</t>
  </si>
  <si>
    <t>ONVO</t>
  </si>
  <si>
    <t>Organovo</t>
  </si>
  <si>
    <t>KODK</t>
  </si>
  <si>
    <t>Eastman Kodak</t>
  </si>
  <si>
    <t>RRR</t>
  </si>
  <si>
    <t>Red Rock Resorts</t>
  </si>
  <si>
    <t>EVH</t>
  </si>
  <si>
    <t>Evolent Health</t>
  </si>
  <si>
    <t>ELY</t>
  </si>
  <si>
    <t>Callaway Golf</t>
  </si>
  <si>
    <t>CHUBA</t>
  </si>
  <si>
    <t>RDC</t>
  </si>
  <si>
    <t>Rowan Companies</t>
  </si>
  <si>
    <t>CRM</t>
  </si>
  <si>
    <t>Salesforce.com</t>
  </si>
  <si>
    <t>OCUL</t>
  </si>
  <si>
    <t>Ocular Therapeutix</t>
  </si>
  <si>
    <t>LGND</t>
  </si>
  <si>
    <t>Ligand Pharmaceuticals</t>
  </si>
  <si>
    <t>LTS</t>
  </si>
  <si>
    <t>Ladenburg Thalmann Financial Services</t>
  </si>
  <si>
    <t>MBWM</t>
  </si>
  <si>
    <t>Mercantile Bank</t>
  </si>
  <si>
    <t>BTU</t>
  </si>
  <si>
    <t>Peabody Energy</t>
  </si>
  <si>
    <t>HQY</t>
  </si>
  <si>
    <t>Healthequity</t>
  </si>
  <si>
    <t>BBSI</t>
  </si>
  <si>
    <t>Barrett Business Services</t>
  </si>
  <si>
    <t>CHRS</t>
  </si>
  <si>
    <t>Coherus Biosciences</t>
  </si>
  <si>
    <t>RST</t>
  </si>
  <si>
    <t>Rosetta Stone</t>
  </si>
  <si>
    <t>FRPH</t>
  </si>
  <si>
    <t>Frp</t>
  </si>
  <si>
    <t>TRNO</t>
  </si>
  <si>
    <t>Terreno Realty</t>
  </si>
  <si>
    <t>Industrial &amp; Office REITs</t>
  </si>
  <si>
    <t>VDSI</t>
  </si>
  <si>
    <t>Vasco Data Security International</t>
  </si>
  <si>
    <t>NVCR</t>
  </si>
  <si>
    <t>Novocure</t>
  </si>
  <si>
    <t>SHOO</t>
  </si>
  <si>
    <t>Steven Madden</t>
  </si>
  <si>
    <t>OFG</t>
  </si>
  <si>
    <t>Ofg Bancorp</t>
  </si>
  <si>
    <t>CAC</t>
  </si>
  <si>
    <t>Camden National</t>
  </si>
  <si>
    <t>OIS</t>
  </si>
  <si>
    <t>Oil States International</t>
  </si>
  <si>
    <t>MFSF</t>
  </si>
  <si>
    <t>Mutualfirst Financial</t>
  </si>
  <si>
    <t>NWFL</t>
  </si>
  <si>
    <t>Norwood Financial</t>
  </si>
  <si>
    <t>CHMG</t>
  </si>
  <si>
    <t>Chemung Financial</t>
  </si>
  <si>
    <t>MTRN</t>
  </si>
  <si>
    <t>Materion</t>
  </si>
  <si>
    <t>HDNG</t>
  </si>
  <si>
    <t>Hardinge</t>
  </si>
  <si>
    <t>STBZ</t>
  </si>
  <si>
    <t>State Bank Financial</t>
  </si>
  <si>
    <t>CCNE</t>
  </si>
  <si>
    <t>Cnb Financial Corp (pa)</t>
  </si>
  <si>
    <t>REGI</t>
  </si>
  <si>
    <t>Renewable Energy</t>
  </si>
  <si>
    <t>Alternative Fuels</t>
  </si>
  <si>
    <t>EGP</t>
  </si>
  <si>
    <t>Eastgroup Properties</t>
  </si>
  <si>
    <t>GLNG</t>
  </si>
  <si>
    <t>Golar Lng</t>
  </si>
  <si>
    <t>GNK</t>
  </si>
  <si>
    <t>Genco Shipping &amp; Trading</t>
  </si>
  <si>
    <t>CRMT</t>
  </si>
  <si>
    <t>America's Car-mart</t>
  </si>
  <si>
    <t>CATM</t>
  </si>
  <si>
    <t>Cardtronics</t>
  </si>
  <si>
    <t>PDCE</t>
  </si>
  <si>
    <t>Pdc Energy</t>
  </si>
  <si>
    <t>SHLM</t>
  </si>
  <si>
    <t>A.schulman</t>
  </si>
  <si>
    <t>Commodity Chemicals</t>
  </si>
  <si>
    <t>WAIR</t>
  </si>
  <si>
    <t>Wesco Aircraft</t>
  </si>
  <si>
    <t>UTMD</t>
  </si>
  <si>
    <t>Utah Medical Products</t>
  </si>
  <si>
    <t>UVE</t>
  </si>
  <si>
    <t>Universal Insurance</t>
  </si>
  <si>
    <t>WERN</t>
  </si>
  <si>
    <t>Werner Enterprises</t>
  </si>
  <si>
    <t>MOH</t>
  </si>
  <si>
    <t>Molina Healthcare</t>
  </si>
  <si>
    <t>BRKL</t>
  </si>
  <si>
    <t>Brookline Bancorp</t>
  </si>
  <si>
    <t>PCTY</t>
  </si>
  <si>
    <t>Paylocity</t>
  </si>
  <si>
    <t>CMD</t>
  </si>
  <si>
    <t>Cantel Medical</t>
  </si>
  <si>
    <t>INDB</t>
  </si>
  <si>
    <t>Independent Bank</t>
  </si>
  <si>
    <t>PLT</t>
  </si>
  <si>
    <t>Plantronics</t>
  </si>
  <si>
    <t>GBCI</t>
  </si>
  <si>
    <t>Glacier Bancorp</t>
  </si>
  <si>
    <t>REPH</t>
  </si>
  <si>
    <t>Recro Pharma</t>
  </si>
  <si>
    <t>OCN</t>
  </si>
  <si>
    <t>Ocwen Financial</t>
  </si>
  <si>
    <t>NWPX</t>
  </si>
  <si>
    <t>Northwest Pipe</t>
  </si>
  <si>
    <t>FIX</t>
  </si>
  <si>
    <t>Comfort Systems Usa</t>
  </si>
  <si>
    <t>FBP</t>
  </si>
  <si>
    <t>GRBK</t>
  </si>
  <si>
    <t>Green Brick Partners</t>
  </si>
  <si>
    <t>EBTC</t>
  </si>
  <si>
    <t>Enterprise Bancorp</t>
  </si>
  <si>
    <t>WASH</t>
  </si>
  <si>
    <t>Washington Trust Bancorp</t>
  </si>
  <si>
    <t>QCP</t>
  </si>
  <si>
    <t>Quality Care Properties</t>
  </si>
  <si>
    <t>SEM</t>
  </si>
  <si>
    <t>Select Medical</t>
  </si>
  <si>
    <t>SCVL</t>
  </si>
  <si>
    <t>Shoe Carnival</t>
  </si>
  <si>
    <t>RLH</t>
  </si>
  <si>
    <t>Red Lion Hotels</t>
  </si>
  <si>
    <t>MLVF</t>
  </si>
  <si>
    <t>Malvern Bancorp</t>
  </si>
  <si>
    <t>EVTC</t>
  </si>
  <si>
    <t>Evertec</t>
  </si>
  <si>
    <t>EGHT</t>
  </si>
  <si>
    <t>8x8</t>
  </si>
  <si>
    <t>ECOM</t>
  </si>
  <si>
    <t>Channeladvisor</t>
  </si>
  <si>
    <t>MNTA</t>
  </si>
  <si>
    <t>Momenta Pharmaceuticals</t>
  </si>
  <si>
    <t>DXPE</t>
  </si>
  <si>
    <t>Dxp Enterprises</t>
  </si>
  <si>
    <t>MYRG</t>
  </si>
  <si>
    <t>Myr</t>
  </si>
  <si>
    <t>FNGN</t>
  </si>
  <si>
    <t>Financial Engines</t>
  </si>
  <si>
    <t>ADUS</t>
  </si>
  <si>
    <t>Addus Homecare</t>
  </si>
  <si>
    <t>NANO</t>
  </si>
  <si>
    <t>Nanometrics</t>
  </si>
  <si>
    <t>HLX</t>
  </si>
  <si>
    <t>Helix Energy Solutions</t>
  </si>
  <si>
    <t>CUB</t>
  </si>
  <si>
    <t>Cubic</t>
  </si>
  <si>
    <t>XNCR</t>
  </si>
  <si>
    <t>Xencor</t>
  </si>
  <si>
    <t>AMNB</t>
  </si>
  <si>
    <t>American Nat Bnk Rg</t>
  </si>
  <si>
    <t>KEYW</t>
  </si>
  <si>
    <t>Keyw</t>
  </si>
  <si>
    <t>HI</t>
  </si>
  <si>
    <t>Hillenbrand</t>
  </si>
  <si>
    <t>KS</t>
  </si>
  <si>
    <t>Kapstone Paper And Packaging</t>
  </si>
  <si>
    <t>CRS</t>
  </si>
  <si>
    <t>Carpenter Technology</t>
  </si>
  <si>
    <t>EVI</t>
  </si>
  <si>
    <t>Envirostar</t>
  </si>
  <si>
    <t>PERY</t>
  </si>
  <si>
    <t>Perry Ellis International</t>
  </si>
  <si>
    <t>OAS</t>
  </si>
  <si>
    <t>Oasis Petroleum</t>
  </si>
  <si>
    <t>ESV</t>
  </si>
  <si>
    <t>Ensco</t>
  </si>
  <si>
    <t>FWRD</t>
  </si>
  <si>
    <t>Forward Air</t>
  </si>
  <si>
    <t>Delivery Services</t>
  </si>
  <si>
    <t>NCI</t>
  </si>
  <si>
    <t>Navigant Consulting</t>
  </si>
  <si>
    <t>CATO</t>
  </si>
  <si>
    <t>Cato</t>
  </si>
  <si>
    <t>BMRC</t>
  </si>
  <si>
    <t>Bank Of Marin Bancorp</t>
  </si>
  <si>
    <t>NGHC</t>
  </si>
  <si>
    <t>National General</t>
  </si>
  <si>
    <t>ICFI</t>
  </si>
  <si>
    <t>Icf International</t>
  </si>
  <si>
    <t>UIS</t>
  </si>
  <si>
    <t>Unisys</t>
  </si>
  <si>
    <t>ENFC</t>
  </si>
  <si>
    <t>Entegra Financial</t>
  </si>
  <si>
    <t>EXPO</t>
  </si>
  <si>
    <t>Exponent</t>
  </si>
  <si>
    <t>MINI</t>
  </si>
  <si>
    <t>Mobile Mini</t>
  </si>
  <si>
    <t>FINL</t>
  </si>
  <si>
    <t>Finish Line</t>
  </si>
  <si>
    <t>TRST</t>
  </si>
  <si>
    <t>Trustco Bank Corp N Y</t>
  </si>
  <si>
    <t>DNOW</t>
  </si>
  <si>
    <t>Now</t>
  </si>
  <si>
    <t>XHR</t>
  </si>
  <si>
    <t>Xenia Hotels &amp; Resorts</t>
  </si>
  <si>
    <t>Hotel &amp; Lodging REITs</t>
  </si>
  <si>
    <t>DSW</t>
  </si>
  <si>
    <t>Dsw</t>
  </si>
  <si>
    <t>PMBC</t>
  </si>
  <si>
    <t>Pacific Mercantile Bancorp</t>
  </si>
  <si>
    <t>LPX</t>
  </si>
  <si>
    <t>Louisiana-pacific</t>
  </si>
  <si>
    <t>SHBI</t>
  </si>
  <si>
    <t>Shore Bancshares</t>
  </si>
  <si>
    <t>OOMA</t>
  </si>
  <si>
    <t>Ooma</t>
  </si>
  <si>
    <t>IDTI</t>
  </si>
  <si>
    <t>Integrated Device Technology</t>
  </si>
  <si>
    <t>USPH</t>
  </si>
  <si>
    <t>Us Physical Therapy</t>
  </si>
  <si>
    <t>BEAT</t>
  </si>
  <si>
    <t>Biotelemetry</t>
  </si>
  <si>
    <t>PRO</t>
  </si>
  <si>
    <t>Pros</t>
  </si>
  <si>
    <t>STL</t>
  </si>
  <si>
    <t>Sterling Bancorp</t>
  </si>
  <si>
    <t>SEAS</t>
  </si>
  <si>
    <t>Seaworld Entertainment</t>
  </si>
  <si>
    <t>BCBP</t>
  </si>
  <si>
    <t>Bcb Bancorp</t>
  </si>
  <si>
    <t>CW</t>
  </si>
  <si>
    <t>Curtiss-wright</t>
  </si>
  <si>
    <t>PFGC</t>
  </si>
  <si>
    <t>Performance Food</t>
  </si>
  <si>
    <t>GORO</t>
  </si>
  <si>
    <t>Gold Resource</t>
  </si>
  <si>
    <t>Gold Mining</t>
  </si>
  <si>
    <t>UPLD</t>
  </si>
  <si>
    <t>Upland Software</t>
  </si>
  <si>
    <t>UBNT</t>
  </si>
  <si>
    <t>Ubiquiti Networks</t>
  </si>
  <si>
    <t>ATRC</t>
  </si>
  <si>
    <t>Atricure</t>
  </si>
  <si>
    <t>NNI</t>
  </si>
  <si>
    <t>Nelnet</t>
  </si>
  <si>
    <t>BREW</t>
  </si>
  <si>
    <t>Craft Brew Alliance</t>
  </si>
  <si>
    <t>ENV</t>
  </si>
  <si>
    <t>Envestnet</t>
  </si>
  <si>
    <t>CRY</t>
  </si>
  <si>
    <t>Cryolife</t>
  </si>
  <si>
    <t>CHUY</t>
  </si>
  <si>
    <t>Chuy's</t>
  </si>
  <si>
    <t>DDS</t>
  </si>
  <si>
    <t>Dillards</t>
  </si>
  <si>
    <t>CAL</t>
  </si>
  <si>
    <t>Caleres</t>
  </si>
  <si>
    <t>SSD</t>
  </si>
  <si>
    <t>Simpson Manufacturing</t>
  </si>
  <si>
    <t>SPSC</t>
  </si>
  <si>
    <t>Sps Commerce</t>
  </si>
  <si>
    <t>IART</t>
  </si>
  <si>
    <t>Integra Lifesciences</t>
  </si>
  <si>
    <t>CHFN</t>
  </si>
  <si>
    <t>Charter Financial</t>
  </si>
  <si>
    <t>ORRF</t>
  </si>
  <si>
    <t>Orrstown Financial Services</t>
  </si>
  <si>
    <t>DDD</t>
  </si>
  <si>
    <t>3d Systems</t>
  </si>
  <si>
    <t>NEO</t>
  </si>
  <si>
    <t>Neogenomics</t>
  </si>
  <si>
    <t>OPB</t>
  </si>
  <si>
    <t>Opus Bank</t>
  </si>
  <si>
    <t>MMI</t>
  </si>
  <si>
    <t>Marcus &amp; Millichap</t>
  </si>
  <si>
    <t>ASNA</t>
  </si>
  <si>
    <t>Ascena Retail</t>
  </si>
  <si>
    <t>AFSI</t>
  </si>
  <si>
    <t>Amtrust Financial Services</t>
  </si>
  <si>
    <t>KEG</t>
  </si>
  <si>
    <t>Key Energy Services</t>
  </si>
  <si>
    <t>KAMN</t>
  </si>
  <si>
    <t>Kaman</t>
  </si>
  <si>
    <t>LTRPA</t>
  </si>
  <si>
    <t>Liberty Tripadvisor</t>
  </si>
  <si>
    <t>BNFT</t>
  </si>
  <si>
    <t>Benefitfocus</t>
  </si>
  <si>
    <t>NERV</t>
  </si>
  <si>
    <t>Minerva Neurosciences</t>
  </si>
  <si>
    <t>FRGI</t>
  </si>
  <si>
    <t>Fiesta Restaurant</t>
  </si>
  <si>
    <t>COLM</t>
  </si>
  <si>
    <t>Columbia Sportswear</t>
  </si>
  <si>
    <t>AAC</t>
  </si>
  <si>
    <t>Aac</t>
  </si>
  <si>
    <t>HSC</t>
  </si>
  <si>
    <t>Harsco</t>
  </si>
  <si>
    <t>General Industrials</t>
  </si>
  <si>
    <t>Diversified Industrials</t>
  </si>
  <si>
    <t>WMK</t>
  </si>
  <si>
    <t>Weis Markets</t>
  </si>
  <si>
    <t>ZOES</t>
  </si>
  <si>
    <t>Zoe's Kitchen</t>
  </si>
  <si>
    <t>KND</t>
  </si>
  <si>
    <t>Kindred Healthcare</t>
  </si>
  <si>
    <t>PRFT</t>
  </si>
  <si>
    <t>Perficient</t>
  </si>
  <si>
    <t>BHBK</t>
  </si>
  <si>
    <t>Blue Hills Bancorp</t>
  </si>
  <si>
    <t>MATX</t>
  </si>
  <si>
    <t>Matson</t>
  </si>
  <si>
    <t>TREC</t>
  </si>
  <si>
    <t>Trecora Resources</t>
  </si>
  <si>
    <t>TVPT</t>
  </si>
  <si>
    <t>Travelport Worldwide</t>
  </si>
  <si>
    <t>THR</t>
  </si>
  <si>
    <t>Thermon</t>
  </si>
  <si>
    <t>AMSWA</t>
  </si>
  <si>
    <t>American Software</t>
  </si>
  <si>
    <t>PAY</t>
  </si>
  <si>
    <t>Verifone Systems</t>
  </si>
  <si>
    <t>CTS</t>
  </si>
  <si>
    <t>Cts</t>
  </si>
  <si>
    <t>OXM</t>
  </si>
  <si>
    <t>Oxford Industries</t>
  </si>
  <si>
    <t>EPM</t>
  </si>
  <si>
    <t>Evolution Petroleum</t>
  </si>
  <si>
    <t>BFIN</t>
  </si>
  <si>
    <t>Bankfinancial</t>
  </si>
  <si>
    <t>CTBI</t>
  </si>
  <si>
    <t>Community Trust Bancorp</t>
  </si>
  <si>
    <t>POL</t>
  </si>
  <si>
    <t>Polyone</t>
  </si>
  <si>
    <t>HYH</t>
  </si>
  <si>
    <t>Halyard Health</t>
  </si>
  <si>
    <t>FMSA</t>
  </si>
  <si>
    <t>Fairmount Santrol</t>
  </si>
  <si>
    <t>General Mining</t>
  </si>
  <si>
    <t>WGL</t>
  </si>
  <si>
    <t>Wgl</t>
  </si>
  <si>
    <t>Gas Distribution</t>
  </si>
  <si>
    <t>ARNA</t>
  </si>
  <si>
    <t>Arena Pharmaceuticals</t>
  </si>
  <si>
    <t>ITIC</t>
  </si>
  <si>
    <t>Investors Title</t>
  </si>
  <si>
    <t>ADES</t>
  </si>
  <si>
    <t>Advanced Emissions Solutions</t>
  </si>
  <si>
    <t>RXN</t>
  </si>
  <si>
    <t>Rexnord</t>
  </si>
  <si>
    <t>SBCF</t>
  </si>
  <si>
    <t>Seacoast Banking Corp Of Florida</t>
  </si>
  <si>
    <t>ASPS</t>
  </si>
  <si>
    <t>Altisource Portfolio Solutions</t>
  </si>
  <si>
    <t>NVEE</t>
  </si>
  <si>
    <t>Nv5 Global</t>
  </si>
  <si>
    <t>PRTY</t>
  </si>
  <si>
    <t>Party City Holdco</t>
  </si>
  <si>
    <t>RAVN</t>
  </si>
  <si>
    <t>Raven Industries</t>
  </si>
  <si>
    <t>IBTX</t>
  </si>
  <si>
    <t>PRAA</t>
  </si>
  <si>
    <t>Pra</t>
  </si>
  <si>
    <t>NRIM</t>
  </si>
  <si>
    <t>Northrim Bancorp</t>
  </si>
  <si>
    <t>GHM</t>
  </si>
  <si>
    <t>Graham</t>
  </si>
  <si>
    <t>LFGR</t>
  </si>
  <si>
    <t>Leaf</t>
  </si>
  <si>
    <t>EAT</t>
  </si>
  <si>
    <t>Brinker International</t>
  </si>
  <si>
    <t>HCI</t>
  </si>
  <si>
    <t>Hci</t>
  </si>
  <si>
    <t>WTBA</t>
  </si>
  <si>
    <t>West Bancorp</t>
  </si>
  <si>
    <t>PEB</t>
  </si>
  <si>
    <t>Pebblebrook Hotel Trust</t>
  </si>
  <si>
    <t>SAMG</t>
  </si>
  <si>
    <t>Silvercrest Asset Management</t>
  </si>
  <si>
    <t>FFKT</t>
  </si>
  <si>
    <t>Farmers Capital Bank</t>
  </si>
  <si>
    <t>MMSI</t>
  </si>
  <si>
    <t>Merit Medical Systems</t>
  </si>
  <si>
    <t>EROS</t>
  </si>
  <si>
    <t>Eros International</t>
  </si>
  <si>
    <t>Broadcasting &amp; Entertainment</t>
  </si>
  <si>
    <t>LMNX</t>
  </si>
  <si>
    <t>Luminex</t>
  </si>
  <si>
    <t>AWR</t>
  </si>
  <si>
    <t>American States Water</t>
  </si>
  <si>
    <t>DSPG</t>
  </si>
  <si>
    <t>Dsp</t>
  </si>
  <si>
    <t>KALU</t>
  </si>
  <si>
    <t>Kaiser Aluminum</t>
  </si>
  <si>
    <t>GNRC</t>
  </si>
  <si>
    <t>Generac</t>
  </si>
  <si>
    <t>AMC</t>
  </si>
  <si>
    <t>Amc Entertainment</t>
  </si>
  <si>
    <t>AMBR</t>
  </si>
  <si>
    <t>Amber Road</t>
  </si>
  <si>
    <t>ONDK</t>
  </si>
  <si>
    <t>On Deck Capital</t>
  </si>
  <si>
    <t>BGSF</t>
  </si>
  <si>
    <t>Bg Staffing</t>
  </si>
  <si>
    <t>WMS</t>
  </si>
  <si>
    <t>Advanced Drainage Systems</t>
  </si>
  <si>
    <t>HUBG</t>
  </si>
  <si>
    <t>Hub</t>
  </si>
  <si>
    <t>ABG</t>
  </si>
  <si>
    <t>Asbury Automotive</t>
  </si>
  <si>
    <t>BCOV</t>
  </si>
  <si>
    <t>Brightcove</t>
  </si>
  <si>
    <t>NEWM</t>
  </si>
  <si>
    <t>New Media Investment</t>
  </si>
  <si>
    <t>FFIN</t>
  </si>
  <si>
    <t>First Financial Bankshares</t>
  </si>
  <si>
    <t>AGYS</t>
  </si>
  <si>
    <t>Agilysys</t>
  </si>
  <si>
    <t>FI</t>
  </si>
  <si>
    <t>Frank's International</t>
  </si>
  <si>
    <t>WNEB</t>
  </si>
  <si>
    <t>Western New England Bancorp</t>
  </si>
  <si>
    <t>SXI</t>
  </si>
  <si>
    <t>Standex International</t>
  </si>
  <si>
    <t>WINA</t>
  </si>
  <si>
    <t>Winmark</t>
  </si>
  <si>
    <t>FCBC</t>
  </si>
  <si>
    <t>First Community Bancshares</t>
  </si>
  <si>
    <t>HNRG</t>
  </si>
  <si>
    <t>Hallador Energy</t>
  </si>
  <si>
    <t>ROCK</t>
  </si>
  <si>
    <t>Gibraltar Industries</t>
  </si>
  <si>
    <t>CHS</t>
  </si>
  <si>
    <t>Chico's Fas</t>
  </si>
  <si>
    <t>LIND</t>
  </si>
  <si>
    <t>Lindblad Expeditions</t>
  </si>
  <si>
    <t>CASH</t>
  </si>
  <si>
    <t>Meta Financial</t>
  </si>
  <si>
    <t>AMBC</t>
  </si>
  <si>
    <t>Ambac Financial</t>
  </si>
  <si>
    <t>NXEO</t>
  </si>
  <si>
    <t>Nexeo Solutions</t>
  </si>
  <si>
    <t>CALX</t>
  </si>
  <si>
    <t>Calix</t>
  </si>
  <si>
    <t>REXR</t>
  </si>
  <si>
    <t>Rexford Industrial Realty</t>
  </si>
  <si>
    <t>CADE</t>
  </si>
  <si>
    <t>Cadence Bancorporation</t>
  </si>
  <si>
    <t>RHP</t>
  </si>
  <si>
    <t>Ryman Hospitality Properties</t>
  </si>
  <si>
    <t>TMST</t>
  </si>
  <si>
    <t>Timkensteel</t>
  </si>
  <si>
    <t>III</t>
  </si>
  <si>
    <t>Information Services</t>
  </si>
  <si>
    <t>ISCA</t>
  </si>
  <si>
    <t>International Speedway</t>
  </si>
  <si>
    <t>UMPQ</t>
  </si>
  <si>
    <t>Umpqua</t>
  </si>
  <si>
    <t>PAHC</t>
  </si>
  <si>
    <t>Phibro Animal Health</t>
  </si>
  <si>
    <t>ELVT</t>
  </si>
  <si>
    <t>Elevate Credit</t>
  </si>
  <si>
    <t>CBPX</t>
  </si>
  <si>
    <t>Continental Building Products</t>
  </si>
  <si>
    <t>FLWS</t>
  </si>
  <si>
    <t>1-800-flowers.com</t>
  </si>
  <si>
    <t>GKOS</t>
  </si>
  <si>
    <t>Glaukos</t>
  </si>
  <si>
    <t>FNWB</t>
  </si>
  <si>
    <t>First Northwest Bancorp</t>
  </si>
  <si>
    <t>PRMW</t>
  </si>
  <si>
    <t>Primo Water</t>
  </si>
  <si>
    <t>Soft Drinks</t>
  </si>
  <si>
    <t>ZEUS</t>
  </si>
  <si>
    <t>Olympic Steel</t>
  </si>
  <si>
    <t>JJSF</t>
  </si>
  <si>
    <t>J&amp;j Snack Foods</t>
  </si>
  <si>
    <t>CNMD</t>
  </si>
  <si>
    <t>Conmed</t>
  </si>
  <si>
    <t>CVLT</t>
  </si>
  <si>
    <t>Commvault Systems</t>
  </si>
  <si>
    <t>CSOD</t>
  </si>
  <si>
    <t>Cornerstone Ondemand</t>
  </si>
  <si>
    <t>CENT</t>
  </si>
  <si>
    <t>Central Garden &amp; Pet</t>
  </si>
  <si>
    <t>Durable Household Products</t>
  </si>
  <si>
    <t>ZIXI</t>
  </si>
  <si>
    <t>Zix</t>
  </si>
  <si>
    <t>ERA</t>
  </si>
  <si>
    <t>Era</t>
  </si>
  <si>
    <t>UIHC</t>
  </si>
  <si>
    <t>United Insurance</t>
  </si>
  <si>
    <t>WLFC</t>
  </si>
  <si>
    <t>Willis Lease Finance</t>
  </si>
  <si>
    <t>AE</t>
  </si>
  <si>
    <t>Adams Resources &amp; Energy</t>
  </si>
  <si>
    <t>WDFC</t>
  </si>
  <si>
    <t>Wd-40</t>
  </si>
  <si>
    <t>Nondurable Household Products</t>
  </si>
  <si>
    <t>YEXT</t>
  </si>
  <si>
    <t>Yext</t>
  </si>
  <si>
    <t>EXAS</t>
  </si>
  <si>
    <t>Exact Sciences</t>
  </si>
  <si>
    <t>CPLA</t>
  </si>
  <si>
    <t>Capella Education</t>
  </si>
  <si>
    <t>USAT</t>
  </si>
  <si>
    <t>Usa Technologies</t>
  </si>
  <si>
    <t>CALM</t>
  </si>
  <si>
    <t>Cal-maine Foods</t>
  </si>
  <si>
    <t>CMRE</t>
  </si>
  <si>
    <t>Costamare</t>
  </si>
  <si>
    <t>TRC</t>
  </si>
  <si>
    <t>Tejon Ranch</t>
  </si>
  <si>
    <t>AVA</t>
  </si>
  <si>
    <t>Avista</t>
  </si>
  <si>
    <t>Multi-utilities</t>
  </si>
  <si>
    <t>GOLF</t>
  </si>
  <si>
    <t>Acushnet</t>
  </si>
  <si>
    <t>FCNCA</t>
  </si>
  <si>
    <t>First Citizens Bancshares</t>
  </si>
  <si>
    <t>GPRE</t>
  </si>
  <si>
    <t>Green Plains</t>
  </si>
  <si>
    <t>SREV</t>
  </si>
  <si>
    <t>Servicesource International</t>
  </si>
  <si>
    <t>GRC</t>
  </si>
  <si>
    <t>Gorman-rupp</t>
  </si>
  <si>
    <t>CPE</t>
  </si>
  <si>
    <t>Callon Petroleum</t>
  </si>
  <si>
    <t>AEGN</t>
  </si>
  <si>
    <t>Aegion</t>
  </si>
  <si>
    <t>MLAB</t>
  </si>
  <si>
    <t>Mesa Laboratories</t>
  </si>
  <si>
    <t>NRE</t>
  </si>
  <si>
    <t>Northstar Realty Europe</t>
  </si>
  <si>
    <t>HZO</t>
  </si>
  <si>
    <t>Marinemax</t>
  </si>
  <si>
    <t>DY</t>
  </si>
  <si>
    <t>Dycom Industries</t>
  </si>
  <si>
    <t>KVHI</t>
  </si>
  <si>
    <t>Kvh Industries</t>
  </si>
  <si>
    <t>HLIT</t>
  </si>
  <si>
    <t>Harmonic</t>
  </si>
  <si>
    <t>UFPI</t>
  </si>
  <si>
    <t>Universal Forest Products</t>
  </si>
  <si>
    <t>BOJA</t>
  </si>
  <si>
    <t>Bojangles</t>
  </si>
  <si>
    <t>TXRH</t>
  </si>
  <si>
    <t>Texas Roadhouse</t>
  </si>
  <si>
    <t>WEYS</t>
  </si>
  <si>
    <t>Weyco</t>
  </si>
  <si>
    <t>REN</t>
  </si>
  <si>
    <t>Resolute Energy</t>
  </si>
  <si>
    <t>UBSH</t>
  </si>
  <si>
    <t>Union Bankshares</t>
  </si>
  <si>
    <t>RTRX</t>
  </si>
  <si>
    <t>Retrophin</t>
  </si>
  <si>
    <t>IOSP</t>
  </si>
  <si>
    <t>Innospec</t>
  </si>
  <si>
    <t>ERII</t>
  </si>
  <si>
    <t>Energy Recovery</t>
  </si>
  <si>
    <t>AMED</t>
  </si>
  <si>
    <t>Amedisys</t>
  </si>
  <si>
    <t>HAWK</t>
  </si>
  <si>
    <t>Blackhawk Network</t>
  </si>
  <si>
    <t>GATX</t>
  </si>
  <si>
    <t>Gatx</t>
  </si>
  <si>
    <t>CENTA</t>
  </si>
  <si>
    <t>RARE</t>
  </si>
  <si>
    <t>Ultragenyx Pharmaceutical</t>
  </si>
  <si>
    <t>IRWD</t>
  </si>
  <si>
    <t>Ironwood Pharmaceuticals</t>
  </si>
  <si>
    <t>QUOT</t>
  </si>
  <si>
    <t>Quotient Technology</t>
  </si>
  <si>
    <t>RLI</t>
  </si>
  <si>
    <t>Rli</t>
  </si>
  <si>
    <t>AIT</t>
  </si>
  <si>
    <t>Applied Industrial Technologies</t>
  </si>
  <si>
    <t>ABTX</t>
  </si>
  <si>
    <t>Allegiance Bancshares</t>
  </si>
  <si>
    <t>UFCS</t>
  </si>
  <si>
    <t>United Fire</t>
  </si>
  <si>
    <t>JAX</t>
  </si>
  <si>
    <t>J. Alexander's</t>
  </si>
  <si>
    <t>RECN</t>
  </si>
  <si>
    <t>Resources Connection</t>
  </si>
  <si>
    <t>WTS</t>
  </si>
  <si>
    <t>Watts Water Technologies</t>
  </si>
  <si>
    <t>NVEC</t>
  </si>
  <si>
    <t>Nve</t>
  </si>
  <si>
    <t>NSSC</t>
  </si>
  <si>
    <t>Napco Security Technologies</t>
  </si>
  <si>
    <t>HTBK</t>
  </si>
  <si>
    <t>Heritage Commerce</t>
  </si>
  <si>
    <t>ALE</t>
  </si>
  <si>
    <t>Allete</t>
  </si>
  <si>
    <t>Conventional Electricity</t>
  </si>
  <si>
    <t>HTLF</t>
  </si>
  <si>
    <t>Heartland Financial Usa</t>
  </si>
  <si>
    <t>IBOC</t>
  </si>
  <si>
    <t>International Bancshares</t>
  </si>
  <si>
    <t>NATH</t>
  </si>
  <si>
    <t>Nathan's Famous</t>
  </si>
  <si>
    <t>CAKE</t>
  </si>
  <si>
    <t>Cheesecake Factory</t>
  </si>
  <si>
    <t>HAYN</t>
  </si>
  <si>
    <t>Haynes International</t>
  </si>
  <si>
    <t>GRIF</t>
  </si>
  <si>
    <t>Griffin Industrial Realty</t>
  </si>
  <si>
    <t>GWB</t>
  </si>
  <si>
    <t>Great Western Bancorp</t>
  </si>
  <si>
    <t>WSBC</t>
  </si>
  <si>
    <t>Wesbanco</t>
  </si>
  <si>
    <t>ATRS</t>
  </si>
  <si>
    <t>Antares Pharma</t>
  </si>
  <si>
    <t>PHIIK</t>
  </si>
  <si>
    <t>Phi</t>
  </si>
  <si>
    <t>MSL</t>
  </si>
  <si>
    <t>Midsouth Bancorp</t>
  </si>
  <si>
    <t>CRAY</t>
  </si>
  <si>
    <t>Cray</t>
  </si>
  <si>
    <t>PLUS</t>
  </si>
  <si>
    <t>Eplus</t>
  </si>
  <si>
    <t>BCPC</t>
  </si>
  <si>
    <t>Balchem</t>
  </si>
  <si>
    <t>MRLN</t>
  </si>
  <si>
    <t>Marlin Business Services</t>
  </si>
  <si>
    <t>HCHC</t>
  </si>
  <si>
    <t>Hc2</t>
  </si>
  <si>
    <t>FSS</t>
  </si>
  <si>
    <t>Federal Signal</t>
  </si>
  <si>
    <t>FIBK</t>
  </si>
  <si>
    <t>First Interstate Bancsystem</t>
  </si>
  <si>
    <t>UEC</t>
  </si>
  <si>
    <t>Uranium Energy</t>
  </si>
  <si>
    <t>FCF</t>
  </si>
  <si>
    <t>First Commonwealth Financial Corp (pa)</t>
  </si>
  <si>
    <t>IBCP</t>
  </si>
  <si>
    <t>Independent Bank Corp Michigan</t>
  </si>
  <si>
    <t>DCO</t>
  </si>
  <si>
    <t>Ducommun</t>
  </si>
  <si>
    <t>FBM</t>
  </si>
  <si>
    <t>Foundation Building Materials</t>
  </si>
  <si>
    <t>MCS</t>
  </si>
  <si>
    <t>Marcus</t>
  </si>
  <si>
    <t>HMSY</t>
  </si>
  <si>
    <t>Hms</t>
  </si>
  <si>
    <t>ASTE</t>
  </si>
  <si>
    <t>Astec Industries</t>
  </si>
  <si>
    <t>BID</t>
  </si>
  <si>
    <t>Sotheby's</t>
  </si>
  <si>
    <t>STFC</t>
  </si>
  <si>
    <t>State Auto Financial</t>
  </si>
  <si>
    <t>LE</t>
  </si>
  <si>
    <t>Lands' End</t>
  </si>
  <si>
    <t>TGH</t>
  </si>
  <si>
    <t>Textainer</t>
  </si>
  <si>
    <t>DIN</t>
  </si>
  <si>
    <t>Dine Brands Global</t>
  </si>
  <si>
    <t>AJRD</t>
  </si>
  <si>
    <t>Aerojet Rocketdyne</t>
  </si>
  <si>
    <t>MGLN</t>
  </si>
  <si>
    <t>Magellan Health</t>
  </si>
  <si>
    <t>CNOB</t>
  </si>
  <si>
    <t>Connectone Bancorp</t>
  </si>
  <si>
    <t>FBIO</t>
  </si>
  <si>
    <t>Fortress Biotech</t>
  </si>
  <si>
    <t>FRTA</t>
  </si>
  <si>
    <t>Forterra</t>
  </si>
  <si>
    <t>HCC</t>
  </si>
  <si>
    <t>Warrior Met Coal</t>
  </si>
  <si>
    <t>TITN</t>
  </si>
  <si>
    <t>Titan Machinery</t>
  </si>
  <si>
    <t>RTIX</t>
  </si>
  <si>
    <t>Rti Surgical</t>
  </si>
  <si>
    <t>VSEC</t>
  </si>
  <si>
    <t>Vse</t>
  </si>
  <si>
    <t>SCHN</t>
  </si>
  <si>
    <t>Schnitzer Steel Industries</t>
  </si>
  <si>
    <t>EZPW</t>
  </si>
  <si>
    <t>Ezcorp</t>
  </si>
  <si>
    <t>CCBG</t>
  </si>
  <si>
    <t>Capital City Bank</t>
  </si>
  <si>
    <t>VHC</t>
  </si>
  <si>
    <t>Virnetx</t>
  </si>
  <si>
    <t>ALDR</t>
  </si>
  <si>
    <t>Alder Biopharmaceuticals</t>
  </si>
  <si>
    <t>HRI</t>
  </si>
  <si>
    <t>Herc</t>
  </si>
  <si>
    <t>EXPR</t>
  </si>
  <si>
    <t>Express</t>
  </si>
  <si>
    <t>MNR</t>
  </si>
  <si>
    <t>Monmouth Real Estate Investment</t>
  </si>
  <si>
    <t>CMPR</t>
  </si>
  <si>
    <t>Cimpress</t>
  </si>
  <si>
    <t>ACOR</t>
  </si>
  <si>
    <t>Acorda Therapeutics</t>
  </si>
  <si>
    <t>FONR</t>
  </si>
  <si>
    <t>Fonar</t>
  </si>
  <si>
    <t>SP</t>
  </si>
  <si>
    <t>Sp Plus</t>
  </si>
  <si>
    <t>MYE</t>
  </si>
  <si>
    <t>Myers Industries</t>
  </si>
  <si>
    <t>Containers &amp; Packaging</t>
  </si>
  <si>
    <t>CTLT</t>
  </si>
  <si>
    <t>Catalent</t>
  </si>
  <si>
    <t>GLDD</t>
  </si>
  <si>
    <t>Great Lakes Dredge &amp; Dock</t>
  </si>
  <si>
    <t>SUM</t>
  </si>
  <si>
    <t>Summit Materials</t>
  </si>
  <si>
    <t>INFN</t>
  </si>
  <si>
    <t>Infinera</t>
  </si>
  <si>
    <t>AMN</t>
  </si>
  <si>
    <t>Amn Healthcare Services</t>
  </si>
  <si>
    <t>OCLR</t>
  </si>
  <si>
    <t>Oclaro</t>
  </si>
  <si>
    <t>VRA</t>
  </si>
  <si>
    <t>Vera Bradley</t>
  </si>
  <si>
    <t>OFIX</t>
  </si>
  <si>
    <t>Orthofix International</t>
  </si>
  <si>
    <t>MANT</t>
  </si>
  <si>
    <t>Mantech International</t>
  </si>
  <si>
    <t>WGO</t>
  </si>
  <si>
    <t>Winnebago Industries</t>
  </si>
  <si>
    <t>NTRA</t>
  </si>
  <si>
    <t>Natera</t>
  </si>
  <si>
    <t>SPWR</t>
  </si>
  <si>
    <t>Sunpower</t>
  </si>
  <si>
    <t>OVID</t>
  </si>
  <si>
    <t>Ovid Therapeutics</t>
  </si>
  <si>
    <t>FORR</t>
  </si>
  <si>
    <t>Forrester Research</t>
  </si>
  <si>
    <t>CAMP</t>
  </si>
  <si>
    <t>Calamp</t>
  </si>
  <si>
    <t>HALO</t>
  </si>
  <si>
    <t>Halozyme Therapeutics</t>
  </si>
  <si>
    <t>ARA</t>
  </si>
  <si>
    <t>American Renal Associates</t>
  </si>
  <si>
    <t>SNBR</t>
  </si>
  <si>
    <t>Sleep Number</t>
  </si>
  <si>
    <t>Furnishings</t>
  </si>
  <si>
    <t>HTZ</t>
  </si>
  <si>
    <t>Hertz Global</t>
  </si>
  <si>
    <t>EPZM</t>
  </si>
  <si>
    <t>Epizyme</t>
  </si>
  <si>
    <t>FC</t>
  </si>
  <si>
    <t>Franklin Covey</t>
  </si>
  <si>
    <t>UNT</t>
  </si>
  <si>
    <t>Unit</t>
  </si>
  <si>
    <t>VREX</t>
  </si>
  <si>
    <t>Varex Imaging</t>
  </si>
  <si>
    <t>VRTV</t>
  </si>
  <si>
    <t>Veritiv</t>
  </si>
  <si>
    <t>SSTK</t>
  </si>
  <si>
    <t>Shutterstock</t>
  </si>
  <si>
    <t>ANIP</t>
  </si>
  <si>
    <t>Ani Pharmaceuticals</t>
  </si>
  <si>
    <t>PGNX</t>
  </si>
  <si>
    <t>Progenics Pharmaceuticals</t>
  </si>
  <si>
    <t>FLOW</t>
  </si>
  <si>
    <t>Spx Flow</t>
  </si>
  <si>
    <t>GNRT</t>
  </si>
  <si>
    <t>Gener8 Maritime</t>
  </si>
  <si>
    <t>ONCE</t>
  </si>
  <si>
    <t>Spark Therapeutics</t>
  </si>
  <si>
    <t>MLHR</t>
  </si>
  <si>
    <t>Herman Miller</t>
  </si>
  <si>
    <t>IMKTA</t>
  </si>
  <si>
    <t>Ingles Markets</t>
  </si>
  <si>
    <t>RYAM</t>
  </si>
  <si>
    <t>Rayonier Advanced Materials</t>
  </si>
  <si>
    <t>MTOR</t>
  </si>
  <si>
    <t>Meritor</t>
  </si>
  <si>
    <t>NTGR</t>
  </si>
  <si>
    <t>Netgear</t>
  </si>
  <si>
    <t>SBOW</t>
  </si>
  <si>
    <t>Silverbow Resources</t>
  </si>
  <si>
    <t>ATRO</t>
  </si>
  <si>
    <t>Astronics</t>
  </si>
  <si>
    <t>UNFI</t>
  </si>
  <si>
    <t>United Natural Foods</t>
  </si>
  <si>
    <t>MNRO</t>
  </si>
  <si>
    <t>Monro</t>
  </si>
  <si>
    <t>NPTN</t>
  </si>
  <si>
    <t>Neophotonics</t>
  </si>
  <si>
    <t>BMI</t>
  </si>
  <si>
    <t>Badger Meter</t>
  </si>
  <si>
    <t>MGNX</t>
  </si>
  <si>
    <t>Macrogenics</t>
  </si>
  <si>
    <t>LAD</t>
  </si>
  <si>
    <t>Lithia Motors</t>
  </si>
  <si>
    <t>WETF</t>
  </si>
  <si>
    <t>Wisdomtree Investments</t>
  </si>
  <si>
    <t>NC</t>
  </si>
  <si>
    <t>Nacco Industries</t>
  </si>
  <si>
    <t>CYBE</t>
  </si>
  <si>
    <t>Cyberoptics</t>
  </si>
  <si>
    <t>ABEO</t>
  </si>
  <si>
    <t>Abeona Therapeutics</t>
  </si>
  <si>
    <t>PDLI</t>
  </si>
  <si>
    <t>Pdl Biopharma</t>
  </si>
  <si>
    <t>INVA</t>
  </si>
  <si>
    <t>Innoviva</t>
  </si>
  <si>
    <t>PRIM</t>
  </si>
  <si>
    <t>Primoris Services</t>
  </si>
  <si>
    <t>SAH</t>
  </si>
  <si>
    <t>Sonic Automotive</t>
  </si>
  <si>
    <t>ALGT</t>
  </si>
  <si>
    <t>Allegiant Travel</t>
  </si>
  <si>
    <t>AGFS</t>
  </si>
  <si>
    <t>Agrofresh Solutions</t>
  </si>
  <si>
    <t>VSLR</t>
  </si>
  <si>
    <t>Vivint Solar</t>
  </si>
  <si>
    <t>EGLE</t>
  </si>
  <si>
    <t>Eagle Bulk Shipping</t>
  </si>
  <si>
    <t>TROX</t>
  </si>
  <si>
    <t>Tronox</t>
  </si>
  <si>
    <t>LJPC</t>
  </si>
  <si>
    <t>La Jolla Pharmaceutical</t>
  </si>
  <si>
    <t>CNO</t>
  </si>
  <si>
    <t>Cno Financial</t>
  </si>
  <si>
    <t>SGC</t>
  </si>
  <si>
    <t>Superior Group Of Companies</t>
  </si>
  <si>
    <t>MBI</t>
  </si>
  <si>
    <t>Mbia</t>
  </si>
  <si>
    <t>DENN</t>
  </si>
  <si>
    <t>Denny's</t>
  </si>
  <si>
    <t>XBIT</t>
  </si>
  <si>
    <t>Xbiotech</t>
  </si>
  <si>
    <t>DRQ</t>
  </si>
  <si>
    <t>Dril-quip</t>
  </si>
  <si>
    <t>GCAP</t>
  </si>
  <si>
    <t>Gain Capital</t>
  </si>
  <si>
    <t>SHEN</t>
  </si>
  <si>
    <t>Shenandoah Telecommunications</t>
  </si>
  <si>
    <t>SALT</t>
  </si>
  <si>
    <t>Scorpio Bulkers</t>
  </si>
  <si>
    <t>BNCL</t>
  </si>
  <si>
    <t>Beneficial Bancorp</t>
  </si>
  <si>
    <t>TBI</t>
  </si>
  <si>
    <t>Trueblue</t>
  </si>
  <si>
    <t>ARCH</t>
  </si>
  <si>
    <t>Arch Coal</t>
  </si>
  <si>
    <t>AREX</t>
  </si>
  <si>
    <t>Approach Resources</t>
  </si>
  <si>
    <t>EBIX</t>
  </si>
  <si>
    <t>Ebix</t>
  </si>
  <si>
    <t>WIRE</t>
  </si>
  <si>
    <t>Encore Wire</t>
  </si>
  <si>
    <t>BLMN</t>
  </si>
  <si>
    <t>Bloomin' Brands</t>
  </si>
  <si>
    <t>LQDT</t>
  </si>
  <si>
    <t>Liquidity Services</t>
  </si>
  <si>
    <t>PDVW</t>
  </si>
  <si>
    <t>Pdvwireless</t>
  </si>
  <si>
    <t>TPRE</t>
  </si>
  <si>
    <t>Third Point Reinsurance</t>
  </si>
  <si>
    <t>GNMK</t>
  </si>
  <si>
    <t>Genmark Diagnostics</t>
  </si>
  <si>
    <t>NSTG</t>
  </si>
  <si>
    <t>Nanostring Technologies</t>
  </si>
  <si>
    <t>CLNE</t>
  </si>
  <si>
    <t>Clean Energy Fuels</t>
  </si>
  <si>
    <t>PCMI</t>
  </si>
  <si>
    <t>Pcm</t>
  </si>
  <si>
    <t>HSKA</t>
  </si>
  <si>
    <t>Heska</t>
  </si>
  <si>
    <t>MVIS</t>
  </si>
  <si>
    <t>Microvision</t>
  </si>
  <si>
    <t>RUBI</t>
  </si>
  <si>
    <t>The Rubicon Project</t>
  </si>
  <si>
    <t>CRR</t>
  </si>
  <si>
    <t>Carbo Ceramics</t>
  </si>
  <si>
    <t>FN</t>
  </si>
  <si>
    <t>Fabrinet</t>
  </si>
  <si>
    <t>MCF</t>
  </si>
  <si>
    <t>Contango Oil &amp; Gas</t>
  </si>
  <si>
    <t>AROC</t>
  </si>
  <si>
    <t>Archrock</t>
  </si>
  <si>
    <t>RETA</t>
  </si>
  <si>
    <t>Reata Pharmaceuticals</t>
  </si>
  <si>
    <t>IMDZ</t>
  </si>
  <si>
    <t>Immune Design</t>
  </si>
  <si>
    <t>PETX</t>
  </si>
  <si>
    <t>Aratana Therapeutics</t>
  </si>
  <si>
    <t>FET</t>
  </si>
  <si>
    <t>Forum Energy Technologies</t>
  </si>
  <si>
    <t>NHTC</t>
  </si>
  <si>
    <t>Natural Health Trends</t>
  </si>
  <si>
    <t>SLCA</t>
  </si>
  <si>
    <t>Us Silica</t>
  </si>
  <si>
    <t>SMCI</t>
  </si>
  <si>
    <t>Super Micro Computer</t>
  </si>
  <si>
    <t>RYI</t>
  </si>
  <si>
    <t>Ryerson</t>
  </si>
  <si>
    <t>ELGX</t>
  </si>
  <si>
    <t>Endologix</t>
  </si>
  <si>
    <t>IPHI</t>
  </si>
  <si>
    <t>Inphi</t>
  </si>
  <si>
    <t>SCWX</t>
  </si>
  <si>
    <t>Secureworks</t>
  </si>
  <si>
    <t>EGL</t>
  </si>
  <si>
    <t>Engility</t>
  </si>
  <si>
    <t>GNE</t>
  </si>
  <si>
    <t>Genie Energy</t>
  </si>
  <si>
    <t>RNWK</t>
  </si>
  <si>
    <t>Realnetworks</t>
  </si>
  <si>
    <t>QTNA</t>
  </si>
  <si>
    <t>Quantenna Communications</t>
  </si>
  <si>
    <t>GMRE</t>
  </si>
  <si>
    <t>Global Medical Reit</t>
  </si>
  <si>
    <t>GFF</t>
  </si>
  <si>
    <t>Griffon</t>
  </si>
  <si>
    <t>NLS</t>
  </si>
  <si>
    <t>Nautilus</t>
  </si>
  <si>
    <t>ACIA</t>
  </si>
  <si>
    <t>Acacia Communications</t>
  </si>
  <si>
    <t>WMGI</t>
  </si>
  <si>
    <t>Wright Medical</t>
  </si>
  <si>
    <t>COWN</t>
  </si>
  <si>
    <t>Cowen</t>
  </si>
  <si>
    <t>FTR</t>
  </si>
  <si>
    <t>Frontier Communications</t>
  </si>
  <si>
    <t>VECO</t>
  </si>
  <si>
    <t>Veeco Instruments</t>
  </si>
  <si>
    <t>ACHN</t>
  </si>
  <si>
    <t>Achillion Pharmaceuticals</t>
  </si>
  <si>
    <t>WLDN</t>
  </si>
  <si>
    <t>Willdan</t>
  </si>
  <si>
    <t>SELB</t>
  </si>
  <si>
    <t>Selecta Biosciences</t>
  </si>
  <si>
    <t>SQBG</t>
  </si>
  <si>
    <t>Sequential Brands</t>
  </si>
  <si>
    <t>ADRO</t>
  </si>
  <si>
    <t>Aduro Biotech</t>
  </si>
  <si>
    <t>IMAX</t>
  </si>
  <si>
    <t>Imax</t>
  </si>
  <si>
    <t>POWL</t>
  </si>
  <si>
    <t>Powell Industries</t>
  </si>
  <si>
    <t>UFPT</t>
  </si>
  <si>
    <t>Ufp Technologies</t>
  </si>
  <si>
    <t>CMC</t>
  </si>
  <si>
    <t>Commercial Metals</t>
  </si>
  <si>
    <t>MPX</t>
  </si>
  <si>
    <t>Marine Products</t>
  </si>
  <si>
    <t>IMPV</t>
  </si>
  <si>
    <t>Imperva</t>
  </si>
  <si>
    <t>SAFT</t>
  </si>
  <si>
    <t>Safety Insurance</t>
  </si>
  <si>
    <t>VLGEA</t>
  </si>
  <si>
    <t>Village Super Market</t>
  </si>
  <si>
    <t>AVD</t>
  </si>
  <si>
    <t>American Vanguard</t>
  </si>
  <si>
    <t>HBHC</t>
  </si>
  <si>
    <t>Hancock</t>
  </si>
  <si>
    <t>FLXN</t>
  </si>
  <si>
    <t>Flexion Therapeutics</t>
  </si>
  <si>
    <t>STRS</t>
  </si>
  <si>
    <t>Stratus Properties</t>
  </si>
  <si>
    <t>FFBC</t>
  </si>
  <si>
    <t>First Financial Bancorp</t>
  </si>
  <si>
    <t>PKBK</t>
  </si>
  <si>
    <t>Parke Bancorp</t>
  </si>
  <si>
    <t>MSEX</t>
  </si>
  <si>
    <t>Middlesex Water</t>
  </si>
  <si>
    <t>DIOD</t>
  </si>
  <si>
    <t>Diodes</t>
  </si>
  <si>
    <t>FMBI</t>
  </si>
  <si>
    <t>First Midwest Bancorp</t>
  </si>
  <si>
    <t>TRS</t>
  </si>
  <si>
    <t>Trimas</t>
  </si>
  <si>
    <t>AAWW</t>
  </si>
  <si>
    <t>Atlas Air Worldwide</t>
  </si>
  <si>
    <t>CLF</t>
  </si>
  <si>
    <t>Cleveland-cliffs</t>
  </si>
  <si>
    <t>NAVG</t>
  </si>
  <si>
    <t>Navigators</t>
  </si>
  <si>
    <t>HSTM</t>
  </si>
  <si>
    <t>Healthstream</t>
  </si>
  <si>
    <t>GHDX</t>
  </si>
  <si>
    <t>Genomic Health</t>
  </si>
  <si>
    <t>SAIC</t>
  </si>
  <si>
    <t>Science Applications International</t>
  </si>
  <si>
    <t>BCRX</t>
  </si>
  <si>
    <t>Biocryst Pharmaceuticals</t>
  </si>
  <si>
    <t>CIVB</t>
  </si>
  <si>
    <t>Civista Bancshares</t>
  </si>
  <si>
    <t>CSFL</t>
  </si>
  <si>
    <t>Centerstate Bank</t>
  </si>
  <si>
    <t>MCRN</t>
  </si>
  <si>
    <t>Milacron</t>
  </si>
  <si>
    <t>LTXB</t>
  </si>
  <si>
    <t>Legacytexas Financial</t>
  </si>
  <si>
    <t>PCSB</t>
  </si>
  <si>
    <t>Pcsb Financial</t>
  </si>
  <si>
    <t>PFBI</t>
  </si>
  <si>
    <t>Premier Financial Bancorp</t>
  </si>
  <si>
    <t>SFNC</t>
  </si>
  <si>
    <t>Simmons First National</t>
  </si>
  <si>
    <t>MCBC</t>
  </si>
  <si>
    <t>Macatawa Bank</t>
  </si>
  <si>
    <t>NKSH</t>
  </si>
  <si>
    <t>National Bankshares</t>
  </si>
  <si>
    <t>ENS</t>
  </si>
  <si>
    <t>Enersys</t>
  </si>
  <si>
    <t>CFFI</t>
  </si>
  <si>
    <t>C &amp; F Financial</t>
  </si>
  <si>
    <t>CHCO</t>
  </si>
  <si>
    <t>City</t>
  </si>
  <si>
    <t>VALU</t>
  </si>
  <si>
    <t>Value Line</t>
  </si>
  <si>
    <t>ELLI</t>
  </si>
  <si>
    <t>Ellie Mae</t>
  </si>
  <si>
    <t>NSA</t>
  </si>
  <si>
    <t>National Storage Affiliates Trust</t>
  </si>
  <si>
    <t>FBIZ</t>
  </si>
  <si>
    <t>First Business Financial Services</t>
  </si>
  <si>
    <t>SXC</t>
  </si>
  <si>
    <t>Suncoke Energy</t>
  </si>
  <si>
    <t>SPAR</t>
  </si>
  <si>
    <t>Spartan Motors</t>
  </si>
  <si>
    <t>CATY</t>
  </si>
  <si>
    <t>Cathay General Bancorp</t>
  </si>
  <si>
    <t>MRC</t>
  </si>
  <si>
    <t>Mrc Global</t>
  </si>
  <si>
    <t>EME</t>
  </si>
  <si>
    <t>Emcor</t>
  </si>
  <si>
    <t>SCHL</t>
  </si>
  <si>
    <t>Scholastic</t>
  </si>
  <si>
    <t>WSFS</t>
  </si>
  <si>
    <t>Wsfs Financial</t>
  </si>
  <si>
    <t>ACBI</t>
  </si>
  <si>
    <t>Atlantic Capital Bancshares</t>
  </si>
  <si>
    <t>WD</t>
  </si>
  <si>
    <t>Walker &amp; Dunlop</t>
  </si>
  <si>
    <t>PEBO</t>
  </si>
  <si>
    <t>Peoples Bancorp</t>
  </si>
  <si>
    <t>SFBS</t>
  </si>
  <si>
    <t>Servisfirst Bancshares</t>
  </si>
  <si>
    <t>STC</t>
  </si>
  <si>
    <t>Stewart Information Services</t>
  </si>
  <si>
    <t>BLMT</t>
  </si>
  <si>
    <t>Bsb Bancorp</t>
  </si>
  <si>
    <t>ANGO</t>
  </si>
  <si>
    <t>Angiodynamics</t>
  </si>
  <si>
    <t>FFG</t>
  </si>
  <si>
    <t>Fbl Financial</t>
  </si>
  <si>
    <t>NCS</t>
  </si>
  <si>
    <t>Nci Building Systems</t>
  </si>
  <si>
    <t>SFE</t>
  </si>
  <si>
    <t>Safeguard Scientifics</t>
  </si>
  <si>
    <t>CNXN</t>
  </si>
  <si>
    <t>Pc Connection</t>
  </si>
  <si>
    <t>HMN</t>
  </si>
  <si>
    <t>Horace Mann Educators</t>
  </si>
  <si>
    <t>DRH</t>
  </si>
  <si>
    <t>Diamondrock Hospitality</t>
  </si>
  <si>
    <t>FDEF</t>
  </si>
  <si>
    <t>First Defiance Financial</t>
  </si>
  <si>
    <t>DGII</t>
  </si>
  <si>
    <t>Digi International</t>
  </si>
  <si>
    <t>RNST</t>
  </si>
  <si>
    <t>Renasant</t>
  </si>
  <si>
    <t>EGRX</t>
  </si>
  <si>
    <t>Eagle Pharmaceuticals</t>
  </si>
  <si>
    <t>NBHC</t>
  </si>
  <si>
    <t>National Bank</t>
  </si>
  <si>
    <t>BRC</t>
  </si>
  <si>
    <t>Brady</t>
  </si>
  <si>
    <t>GEF</t>
  </si>
  <si>
    <t>Greif</t>
  </si>
  <si>
    <t>HTBI</t>
  </si>
  <si>
    <t>Hometrust Bancshares</t>
  </si>
  <si>
    <t>RGR</t>
  </si>
  <si>
    <t>Sturm Ruger</t>
  </si>
  <si>
    <t>PMT</t>
  </si>
  <si>
    <t>Pennymac Mortgage Investment Trust</t>
  </si>
  <si>
    <t>Mortgage REITs</t>
  </si>
  <si>
    <t>JCOM</t>
  </si>
  <si>
    <t>J2 Global</t>
  </si>
  <si>
    <t>COLB</t>
  </si>
  <si>
    <t>Columbia Banking System</t>
  </si>
  <si>
    <t>HT</t>
  </si>
  <si>
    <t>Hersha Hospitality Trust</t>
  </si>
  <si>
    <t>JOUT</t>
  </si>
  <si>
    <t>Johnson Outdoors</t>
  </si>
  <si>
    <t>LHO</t>
  </si>
  <si>
    <t>Lasalle Hotel Properties</t>
  </si>
  <si>
    <t>CHSP</t>
  </si>
  <si>
    <t>Chesapeake Lodging Trust</t>
  </si>
  <si>
    <t>SWM</t>
  </si>
  <si>
    <t>Schweitzer-mauduit International</t>
  </si>
  <si>
    <t>LMNR</t>
  </si>
  <si>
    <t>Limoneira</t>
  </si>
  <si>
    <t>Farming, Fishing &amp; Plantations</t>
  </si>
  <si>
    <t>CTT</t>
  </si>
  <si>
    <t>Catchmark Timber Trust</t>
  </si>
  <si>
    <t>LADR</t>
  </si>
  <si>
    <t>Ladder Capital</t>
  </si>
  <si>
    <t>LKFN</t>
  </si>
  <si>
    <t>Lakeland Financial</t>
  </si>
  <si>
    <t>TG</t>
  </si>
  <si>
    <t>Tredegar</t>
  </si>
  <si>
    <t>ARGO</t>
  </si>
  <si>
    <t>Argo Group International</t>
  </si>
  <si>
    <t>VIAV</t>
  </si>
  <si>
    <t>Viavi Solutions</t>
  </si>
  <si>
    <t>REIS</t>
  </si>
  <si>
    <t>Reis</t>
  </si>
  <si>
    <t>BHLB</t>
  </si>
  <si>
    <t>Berkshire Hills Bancorp</t>
  </si>
  <si>
    <t>PBPB</t>
  </si>
  <si>
    <t>Potbelly</t>
  </si>
  <si>
    <t>CVLY</t>
  </si>
  <si>
    <t>Codorus Valley Bancorp</t>
  </si>
  <si>
    <t>ESCA</t>
  </si>
  <si>
    <t>Escalade</t>
  </si>
  <si>
    <t>TIER</t>
  </si>
  <si>
    <t>Tier Reit</t>
  </si>
  <si>
    <t>LNDC</t>
  </si>
  <si>
    <t>Landec</t>
  </si>
  <si>
    <t>SJW</t>
  </si>
  <si>
    <t>Sjw</t>
  </si>
  <si>
    <t>BHB</t>
  </si>
  <si>
    <t>Bar Harbor Bankshares</t>
  </si>
  <si>
    <t>CPS</t>
  </si>
  <si>
    <t>Cooper-standard</t>
  </si>
  <si>
    <t>NXRT</t>
  </si>
  <si>
    <t>Nexpoint Residential Trust</t>
  </si>
  <si>
    <t>Residential REITs</t>
  </si>
  <si>
    <t>AHT</t>
  </si>
  <si>
    <t>Ashford Hospitality Trust</t>
  </si>
  <si>
    <t>FFNW</t>
  </si>
  <si>
    <t>First Financial Northwest</t>
  </si>
  <si>
    <t>AROW</t>
  </si>
  <si>
    <t>Arrow Financial</t>
  </si>
  <si>
    <t>NCMI</t>
  </si>
  <si>
    <t>National Cinemedia</t>
  </si>
  <si>
    <t>LNN</t>
  </si>
  <si>
    <t>Lindsay</t>
  </si>
  <si>
    <t>ACNB</t>
  </si>
  <si>
    <t>Acnb</t>
  </si>
  <si>
    <t>KTWO</t>
  </si>
  <si>
    <t>K2m</t>
  </si>
  <si>
    <t>BUSE</t>
  </si>
  <si>
    <t>First Busey</t>
  </si>
  <si>
    <t>CCF</t>
  </si>
  <si>
    <t>Chase</t>
  </si>
  <si>
    <t>CDE</t>
  </si>
  <si>
    <t>Coeur Mining</t>
  </si>
  <si>
    <t>CVA</t>
  </si>
  <si>
    <t>Covanta</t>
  </si>
  <si>
    <t>PWOD</t>
  </si>
  <si>
    <t>Penns Woods Bancorp</t>
  </si>
  <si>
    <t>RRGB</t>
  </si>
  <si>
    <t>Red Robin Gourmet Burgers</t>
  </si>
  <si>
    <t>ARII</t>
  </si>
  <si>
    <t>American Railcar Industries</t>
  </si>
  <si>
    <t>BPFH</t>
  </si>
  <si>
    <t>Boston Private Financial</t>
  </si>
  <si>
    <t>ACIW</t>
  </si>
  <si>
    <t>Aci Worldwide</t>
  </si>
  <si>
    <t>VLY</t>
  </si>
  <si>
    <t>Valley National Bancorp</t>
  </si>
  <si>
    <t>RBCAA</t>
  </si>
  <si>
    <t>Republic Bancorp</t>
  </si>
  <si>
    <t>ONB</t>
  </si>
  <si>
    <t>Old National Bancorp</t>
  </si>
  <si>
    <t>CVBF</t>
  </si>
  <si>
    <t>Cvb Financial</t>
  </si>
  <si>
    <t>NXTM</t>
  </si>
  <si>
    <t>Nxstage Medical</t>
  </si>
  <si>
    <t>HOPE</t>
  </si>
  <si>
    <t>Hope Bancorp</t>
  </si>
  <si>
    <t>BSRR</t>
  </si>
  <si>
    <t>Sierra Bancorp</t>
  </si>
  <si>
    <t>BHR</t>
  </si>
  <si>
    <t>Braemar Hotels &amp; Resorts</t>
  </si>
  <si>
    <t>RBNC</t>
  </si>
  <si>
    <t>Reliant Bancorp</t>
  </si>
  <si>
    <t>SSB</t>
  </si>
  <si>
    <t>South State</t>
  </si>
  <si>
    <t>MCRI</t>
  </si>
  <si>
    <t>Monarch Casino &amp; Resort</t>
  </si>
  <si>
    <t>FISI</t>
  </si>
  <si>
    <t>Financial Institutions</t>
  </si>
  <si>
    <t>ANCX</t>
  </si>
  <si>
    <t>Access National</t>
  </si>
  <si>
    <t>CBU</t>
  </si>
  <si>
    <t>Community Bank System</t>
  </si>
  <si>
    <t>TNC</t>
  </si>
  <si>
    <t>Tennant</t>
  </si>
  <si>
    <t>AC</t>
  </si>
  <si>
    <t>Associated Capital</t>
  </si>
  <si>
    <t>BDGE</t>
  </si>
  <si>
    <t>Bridge Bancorp</t>
  </si>
  <si>
    <t>YELP</t>
  </si>
  <si>
    <t>Yelp</t>
  </si>
  <si>
    <t>ATRI</t>
  </si>
  <si>
    <t>Atrion</t>
  </si>
  <si>
    <t>FR</t>
  </si>
  <si>
    <t>First Industrial Realty Trust</t>
  </si>
  <si>
    <t>HAFC</t>
  </si>
  <si>
    <t>Hanmi Financial</t>
  </si>
  <si>
    <t>PRK</t>
  </si>
  <si>
    <t>Park National</t>
  </si>
  <si>
    <t>NWBI</t>
  </si>
  <si>
    <t>Northwest Bancshares</t>
  </si>
  <si>
    <t>GSBC</t>
  </si>
  <si>
    <t>Great Southern Bancorp</t>
  </si>
  <si>
    <t>TCX</t>
  </si>
  <si>
    <t>Tucows</t>
  </si>
  <si>
    <t>BLUE</t>
  </si>
  <si>
    <t>Bluebird Bio</t>
  </si>
  <si>
    <t>OTTR</t>
  </si>
  <si>
    <t>Otter Tail</t>
  </si>
  <si>
    <t>BANR</t>
  </si>
  <si>
    <t>Banner</t>
  </si>
  <si>
    <t>LION</t>
  </si>
  <si>
    <t>Fidelity Southern</t>
  </si>
  <si>
    <t>INSW</t>
  </si>
  <si>
    <t>International Seaways</t>
  </si>
  <si>
    <t>HA</t>
  </si>
  <si>
    <t>Hawaiian</t>
  </si>
  <si>
    <t>UNF</t>
  </si>
  <si>
    <t>Unifirst</t>
  </si>
  <si>
    <t>LZB</t>
  </si>
  <si>
    <t>La-z-boy</t>
  </si>
  <si>
    <t>ASC</t>
  </si>
  <si>
    <t>Ardmore Shipping</t>
  </si>
  <si>
    <t>ESGR</t>
  </si>
  <si>
    <t>Enstar</t>
  </si>
  <si>
    <t>SPPI</t>
  </si>
  <si>
    <t>Spectrum Pharmaceuticals</t>
  </si>
  <si>
    <t>SBSI</t>
  </si>
  <si>
    <t>Southside Bancshares</t>
  </si>
  <si>
    <t>UMBF</t>
  </si>
  <si>
    <t>Umb Financial</t>
  </si>
  <si>
    <t>CUBI</t>
  </si>
  <si>
    <t>Customers Bancorp</t>
  </si>
  <si>
    <t>FRME</t>
  </si>
  <si>
    <t>First Merchants</t>
  </si>
  <si>
    <t>BRSS</t>
  </si>
  <si>
    <t>Global Brass And Copper</t>
  </si>
  <si>
    <t>ADC</t>
  </si>
  <si>
    <t>Agree Realty</t>
  </si>
  <si>
    <t>Retail REITs</t>
  </si>
  <si>
    <t>CASS</t>
  </si>
  <si>
    <t>Cass Information Systems</t>
  </si>
  <si>
    <t>COTV</t>
  </si>
  <si>
    <t>Cotiviti</t>
  </si>
  <si>
    <t>PFIS</t>
  </si>
  <si>
    <t>Peoples Financial Services</t>
  </si>
  <si>
    <t>CPSI</t>
  </si>
  <si>
    <t>Computer Programs &amp; Systems</t>
  </si>
  <si>
    <t>NCBS</t>
  </si>
  <si>
    <t>Nicolet Bankshares</t>
  </si>
  <si>
    <t>TCBK</t>
  </si>
  <si>
    <t>Trico Bancshares</t>
  </si>
  <si>
    <t>PSMT</t>
  </si>
  <si>
    <t>Pricesmart</t>
  </si>
  <si>
    <t>HNI</t>
  </si>
  <si>
    <t>Hni</t>
  </si>
  <si>
    <t>ISBC</t>
  </si>
  <si>
    <t>Investors Bancorp</t>
  </si>
  <si>
    <t>BWINB</t>
  </si>
  <si>
    <t>Baldwin &amp; Lyons</t>
  </si>
  <si>
    <t>IDA</t>
  </si>
  <si>
    <t>Idacorp</t>
  </si>
  <si>
    <t>FBNK</t>
  </si>
  <si>
    <t>First Connecticut Bancorp</t>
  </si>
  <si>
    <t>CMCO</t>
  </si>
  <si>
    <t>Columbus Mckinnon Corp New York</t>
  </si>
  <si>
    <t>JOE</t>
  </si>
  <si>
    <t>The St. Joe</t>
  </si>
  <si>
    <t>KURA</t>
  </si>
  <si>
    <t>Kura Oncology</t>
  </si>
  <si>
    <t>RDI</t>
  </si>
  <si>
    <t>Reading International</t>
  </si>
  <si>
    <t>PBIP</t>
  </si>
  <si>
    <t>Prudential Bancorp</t>
  </si>
  <si>
    <t>HURN</t>
  </si>
  <si>
    <t>Huron Consulting</t>
  </si>
  <si>
    <t>HIFR</t>
  </si>
  <si>
    <t>Infrareit</t>
  </si>
  <si>
    <t>KBR</t>
  </si>
  <si>
    <t>Kbr</t>
  </si>
  <si>
    <t>ACXM</t>
  </si>
  <si>
    <t>Acxiom</t>
  </si>
  <si>
    <t>VNDA</t>
  </si>
  <si>
    <t>Vanda Pharmaceuticals</t>
  </si>
  <si>
    <t>ARAY</t>
  </si>
  <si>
    <t>Accuray</t>
  </si>
  <si>
    <t>AMWD</t>
  </si>
  <si>
    <t>American Woodmark</t>
  </si>
  <si>
    <t>CIEN</t>
  </si>
  <si>
    <t>Ciena</t>
  </si>
  <si>
    <t>CWCO</t>
  </si>
  <si>
    <t>Consolidated Water</t>
  </si>
  <si>
    <t>GVA</t>
  </si>
  <si>
    <t>Granite Construction</t>
  </si>
  <si>
    <t>ALOG</t>
  </si>
  <si>
    <t>Analogic</t>
  </si>
  <si>
    <t>APAM</t>
  </si>
  <si>
    <t>Artisan Partners Asset Management</t>
  </si>
  <si>
    <t>CCO</t>
  </si>
  <si>
    <t>Clear Channel Outdoor</t>
  </si>
  <si>
    <t>WABC</t>
  </si>
  <si>
    <t>Westamerica Bancorporation</t>
  </si>
  <si>
    <t>EBF</t>
  </si>
  <si>
    <t>Ennis</t>
  </si>
  <si>
    <t>AXDX</t>
  </si>
  <si>
    <t>Accelerate Diagnostics</t>
  </si>
  <si>
    <t>EBSB</t>
  </si>
  <si>
    <t>Meridian Bancorp</t>
  </si>
  <si>
    <t>KMT</t>
  </si>
  <si>
    <t>Kennametal</t>
  </si>
  <si>
    <t>MSGN</t>
  </si>
  <si>
    <t>Msg Networks</t>
  </si>
  <si>
    <t>HCKT</t>
  </si>
  <si>
    <t>Hackett</t>
  </si>
  <si>
    <t>GSIT</t>
  </si>
  <si>
    <t>Gsi Technology</t>
  </si>
  <si>
    <t>KOP</t>
  </si>
  <si>
    <t>Koppers</t>
  </si>
  <si>
    <t>MOBL</t>
  </si>
  <si>
    <t>Mobileiron</t>
  </si>
  <si>
    <t>UFI</t>
  </si>
  <si>
    <t>Unifi</t>
  </si>
  <si>
    <t>BGFV</t>
  </si>
  <si>
    <t>Big 5 Sporting Goods</t>
  </si>
  <si>
    <t>AAN</t>
  </si>
  <si>
    <t>Aaron's</t>
  </si>
  <si>
    <t>RMBS</t>
  </si>
  <si>
    <t>Rambus</t>
  </si>
  <si>
    <t>Monotype Imaging</t>
  </si>
  <si>
    <t>PVBC</t>
  </si>
  <si>
    <t>Provident Bancorp</t>
  </si>
  <si>
    <t>MHO</t>
  </si>
  <si>
    <t>M/i Homes</t>
  </si>
  <si>
    <t>BSIG</t>
  </si>
  <si>
    <t>Brightsphere Investment</t>
  </si>
  <si>
    <t>VEC</t>
  </si>
  <si>
    <t>Vectrus</t>
  </si>
  <si>
    <t>NYMX</t>
  </si>
  <si>
    <t>Nymox Pharmaceutical</t>
  </si>
  <si>
    <t>KELYA</t>
  </si>
  <si>
    <t>Kelly Services</t>
  </si>
  <si>
    <t>DVAX</t>
  </si>
  <si>
    <t>Dynavax Technologies</t>
  </si>
  <si>
    <t>DFRG</t>
  </si>
  <si>
    <t>Del Frisco's Restaurant</t>
  </si>
  <si>
    <t>AMPH</t>
  </si>
  <si>
    <t>Amphastar Pharmaceuticals</t>
  </si>
  <si>
    <t>KTOS</t>
  </si>
  <si>
    <t>Kratos Defense &amp; Security Solutions</t>
  </si>
  <si>
    <t>REV</t>
  </si>
  <si>
    <t>Revlon</t>
  </si>
  <si>
    <t>CBRL</t>
  </si>
  <si>
    <t>Cracker Barrel Old Country Store</t>
  </si>
  <si>
    <t>NP</t>
  </si>
  <si>
    <t>Neenah</t>
  </si>
  <si>
    <t>CSV</t>
  </si>
  <si>
    <t>Carriage Services</t>
  </si>
  <si>
    <t>WLH</t>
  </si>
  <si>
    <t>William Lyon Homes</t>
  </si>
  <si>
    <t>FDP</t>
  </si>
  <si>
    <t>Fresh Del Monte Produce</t>
  </si>
  <si>
    <t>CBM</t>
  </si>
  <si>
    <t>Cambrex</t>
  </si>
  <si>
    <t>LAWS</t>
  </si>
  <si>
    <t>Lawson Products</t>
  </si>
  <si>
    <t>ANDE</t>
  </si>
  <si>
    <t>Andersons</t>
  </si>
  <si>
    <t>ATNI</t>
  </si>
  <si>
    <t>Atn International</t>
  </si>
  <si>
    <t>AGEN</t>
  </si>
  <si>
    <t>Agenus</t>
  </si>
  <si>
    <t>OMN</t>
  </si>
  <si>
    <t>Omnova Solutions</t>
  </si>
  <si>
    <t>CMRX</t>
  </si>
  <si>
    <t>Chimerix</t>
  </si>
  <si>
    <t>LKSD</t>
  </si>
  <si>
    <t>Lsc Communications</t>
  </si>
  <si>
    <t>SNDX</t>
  </si>
  <si>
    <t>Syndax Pharmaceuticals</t>
  </si>
  <si>
    <t>AMKR</t>
  </si>
  <si>
    <t>Amkor Technology</t>
  </si>
  <si>
    <t>AAON</t>
  </si>
  <si>
    <t>Aaon</t>
  </si>
  <si>
    <t>NVRO</t>
  </si>
  <si>
    <t>Nevro</t>
  </si>
  <si>
    <t>SCL</t>
  </si>
  <si>
    <t>Stepan</t>
  </si>
  <si>
    <t>TK</t>
  </si>
  <si>
    <t>Teekay</t>
  </si>
  <si>
    <t>RDN</t>
  </si>
  <si>
    <t>Radian</t>
  </si>
  <si>
    <t>CRBP</t>
  </si>
  <si>
    <t>Corbus Pharmaceuticals</t>
  </si>
  <si>
    <t>JNCE</t>
  </si>
  <si>
    <t>Jounce Therapeutics</t>
  </si>
  <si>
    <t>ASMB</t>
  </si>
  <si>
    <t>Assembly Biosciences</t>
  </si>
  <si>
    <t>GPT</t>
  </si>
  <si>
    <t>Gramercy Property Trust</t>
  </si>
  <si>
    <t>SEMG</t>
  </si>
  <si>
    <t>Semgroup</t>
  </si>
  <si>
    <t>Pipelines</t>
  </si>
  <si>
    <t>RAIL</t>
  </si>
  <si>
    <t>Freightcar America</t>
  </si>
  <si>
    <t>WPG</t>
  </si>
  <si>
    <t>Washington Prime</t>
  </si>
  <si>
    <t>VSI</t>
  </si>
  <si>
    <t>Vitamin Shoppe</t>
  </si>
  <si>
    <t>MHLD</t>
  </si>
  <si>
    <t>Maiden</t>
  </si>
  <si>
    <t>SJI</t>
  </si>
  <si>
    <t>South Jersey Industries</t>
  </si>
  <si>
    <t>GEO</t>
  </si>
  <si>
    <t>The Geo</t>
  </si>
  <si>
    <t>EIGI</t>
  </si>
  <si>
    <t>Endurance International</t>
  </si>
  <si>
    <t>ORN</t>
  </si>
  <si>
    <t>Orion</t>
  </si>
  <si>
    <t>SBRA</t>
  </si>
  <si>
    <t>Sabra Health Care Reit</t>
  </si>
  <si>
    <t>KW</t>
  </si>
  <si>
    <t>Kennedy-wilson</t>
  </si>
  <si>
    <t>MITK</t>
  </si>
  <si>
    <t>Mitek Systems</t>
  </si>
  <si>
    <t>IESC</t>
  </si>
  <si>
    <t>Ies</t>
  </si>
  <si>
    <t>IDRA</t>
  </si>
  <si>
    <t>Idera Pharmaceuticals</t>
  </si>
  <si>
    <t>GNL</t>
  </si>
  <si>
    <t>Global Net Lease</t>
  </si>
  <si>
    <t>JBSS</t>
  </si>
  <si>
    <t>John B Sanfilippo &amp; Son</t>
  </si>
  <si>
    <t>ACTG</t>
  </si>
  <si>
    <t>Acacia Research</t>
  </si>
  <si>
    <t>UBA</t>
  </si>
  <si>
    <t>Urstadt Biddle Properties</t>
  </si>
  <si>
    <t>TRTN</t>
  </si>
  <si>
    <t>Triton International</t>
  </si>
  <si>
    <t>QSII</t>
  </si>
  <si>
    <t>Quality Systems</t>
  </si>
  <si>
    <t>WMC</t>
  </si>
  <si>
    <t>Western Asset Mortgage Capital</t>
  </si>
  <si>
    <t>NPK</t>
  </si>
  <si>
    <t>National Presto Industries</t>
  </si>
  <si>
    <t>SHO</t>
  </si>
  <si>
    <t>Sunstone Hotel Investors</t>
  </si>
  <si>
    <t>JCAP</t>
  </si>
  <si>
    <t>Jernigan Capital</t>
  </si>
  <si>
    <t>CHMI</t>
  </si>
  <si>
    <t>Cherry Hill Mortgage Investment</t>
  </si>
  <si>
    <t>MBFI</t>
  </si>
  <si>
    <t>Mb Financial</t>
  </si>
  <si>
    <t>WAAS</t>
  </si>
  <si>
    <t>Aquaventure</t>
  </si>
  <si>
    <t>BATRK</t>
  </si>
  <si>
    <t>Liberty Media</t>
  </si>
  <si>
    <t>BATRA</t>
  </si>
  <si>
    <t>ORM</t>
  </si>
  <si>
    <t>Owens Realty Mortgage</t>
  </si>
  <si>
    <t>CMP</t>
  </si>
  <si>
    <t>Compass Minerals International</t>
  </si>
  <si>
    <t>ACRE</t>
  </si>
  <si>
    <t>Ares Commercial Real Estate</t>
  </si>
  <si>
    <t>MDSO</t>
  </si>
  <si>
    <t>Medidata Solutions</t>
  </si>
  <si>
    <t>UBNK</t>
  </si>
  <si>
    <t>United Financial Bancorp</t>
  </si>
  <si>
    <t>THRM</t>
  </si>
  <si>
    <t>Gentherm</t>
  </si>
  <si>
    <t>DCOM</t>
  </si>
  <si>
    <t>Dime Community Bancshares</t>
  </si>
  <si>
    <t>DAKT</t>
  </si>
  <si>
    <t>Daktronics</t>
  </si>
  <si>
    <t>RWT</t>
  </si>
  <si>
    <t>Redwood Trust</t>
  </si>
  <si>
    <t>MTGE</t>
  </si>
  <si>
    <t>Mtge Investment</t>
  </si>
  <si>
    <t>MEI</t>
  </si>
  <si>
    <t>Methode Electronics</t>
  </si>
  <si>
    <t>NJR</t>
  </si>
  <si>
    <t>New Jersey Resources</t>
  </si>
  <si>
    <t>CIA</t>
  </si>
  <si>
    <t>Citizens</t>
  </si>
  <si>
    <t>VRNT</t>
  </si>
  <si>
    <t>Verint Systems</t>
  </si>
  <si>
    <t>TOWN</t>
  </si>
  <si>
    <t>Towne Bank</t>
  </si>
  <si>
    <t>DHT</t>
  </si>
  <si>
    <t>Dht</t>
  </si>
  <si>
    <t>EXTN</t>
  </si>
  <si>
    <t>Exterran</t>
  </si>
  <si>
    <t>SYBT</t>
  </si>
  <si>
    <t>Stock Yards Bancorp</t>
  </si>
  <si>
    <t>NH</t>
  </si>
  <si>
    <t>Nanthealth</t>
  </si>
  <si>
    <t>STAG</t>
  </si>
  <si>
    <t>Stag Industrial</t>
  </si>
  <si>
    <t>ALCO</t>
  </si>
  <si>
    <t>Alico</t>
  </si>
  <si>
    <t>OGS</t>
  </si>
  <si>
    <t>One Gas</t>
  </si>
  <si>
    <t>HMTV</t>
  </si>
  <si>
    <t>Hemisphere Media</t>
  </si>
  <si>
    <t>HELE</t>
  </si>
  <si>
    <t>Helen Of Troy</t>
  </si>
  <si>
    <t>KRNY</t>
  </si>
  <si>
    <t>Kearny Financial</t>
  </si>
  <si>
    <t>ATU</t>
  </si>
  <si>
    <t>Actuant</t>
  </si>
  <si>
    <t>NWN</t>
  </si>
  <si>
    <t>Northwest Natural Gas</t>
  </si>
  <si>
    <t>CMO</t>
  </si>
  <si>
    <t>Capstead Mortgage</t>
  </si>
  <si>
    <t>AYR</t>
  </si>
  <si>
    <t>Aircastle</t>
  </si>
  <si>
    <t>BKH</t>
  </si>
  <si>
    <t>Black Hills</t>
  </si>
  <si>
    <t>EDR</t>
  </si>
  <si>
    <t>Education Realty Trust</t>
  </si>
  <si>
    <t>WOR</t>
  </si>
  <si>
    <t>Worthington Industries</t>
  </si>
  <si>
    <t>FRBK</t>
  </si>
  <si>
    <t>Republic First Bancorp</t>
  </si>
  <si>
    <t>PLAB</t>
  </si>
  <si>
    <t>Photronics</t>
  </si>
  <si>
    <t>MITT</t>
  </si>
  <si>
    <t>Ag Mortgage Investment Trust</t>
  </si>
  <si>
    <t>ATLO</t>
  </si>
  <si>
    <t>Ames National</t>
  </si>
  <si>
    <t>KIRK</t>
  </si>
  <si>
    <t>Kirkland's</t>
  </si>
  <si>
    <t>FUL</t>
  </si>
  <si>
    <t>H B Fuller</t>
  </si>
  <si>
    <t>INO</t>
  </si>
  <si>
    <t>Inovio Pharmaceuticals</t>
  </si>
  <si>
    <t>SONA</t>
  </si>
  <si>
    <t>Southern National Bancorp Of Virginia</t>
  </si>
  <si>
    <t>MTX</t>
  </si>
  <si>
    <t>Minerals Technologies</t>
  </si>
  <si>
    <t>UBSI</t>
  </si>
  <si>
    <t>United Bankshares Inc (w Va)</t>
  </si>
  <si>
    <t>CVCY</t>
  </si>
  <si>
    <t>Central Valley Community Bancorp</t>
  </si>
  <si>
    <t>UVSP</t>
  </si>
  <si>
    <t>Univest Corp Of Pennsylvania</t>
  </si>
  <si>
    <t>SLD</t>
  </si>
  <si>
    <t>Sutherland Asset Management</t>
  </si>
  <si>
    <t>NHC</t>
  </si>
  <si>
    <t>National Healthcare</t>
  </si>
  <si>
    <t>CZR</t>
  </si>
  <si>
    <t>Caesars Entertainment</t>
  </si>
  <si>
    <t>FSB</t>
  </si>
  <si>
    <t>Franklin Financial Network</t>
  </si>
  <si>
    <t>TRMK</t>
  </si>
  <si>
    <t>Trustmark</t>
  </si>
  <si>
    <t>ROX</t>
  </si>
  <si>
    <t>Castle Brands</t>
  </si>
  <si>
    <t>Distillers &amp; Vintners</t>
  </si>
  <si>
    <t>POWI</t>
  </si>
  <si>
    <t>Power Integrations</t>
  </si>
  <si>
    <t>NBTB</t>
  </si>
  <si>
    <t>Nbt Bancorp</t>
  </si>
  <si>
    <t>SIFI</t>
  </si>
  <si>
    <t>Si Financial</t>
  </si>
  <si>
    <t>CUZ</t>
  </si>
  <si>
    <t>Cousins Properties</t>
  </si>
  <si>
    <t>CVG</t>
  </si>
  <si>
    <t>Convergys</t>
  </si>
  <si>
    <t>ARI</t>
  </si>
  <si>
    <t>Apollo Commercial Real Estate Finance</t>
  </si>
  <si>
    <t>NYLD</t>
  </si>
  <si>
    <t>Nrg Yield</t>
  </si>
  <si>
    <t>SR</t>
  </si>
  <si>
    <t>Spire</t>
  </si>
  <si>
    <t>SIGM</t>
  </si>
  <si>
    <t>Sigma Designs</t>
  </si>
  <si>
    <t>DEA</t>
  </si>
  <si>
    <t>Easterly Government Properties</t>
  </si>
  <si>
    <t>MDCO</t>
  </si>
  <si>
    <t>Medicines</t>
  </si>
  <si>
    <t>KERX</t>
  </si>
  <si>
    <t>Keryx Biopharmaceuticals</t>
  </si>
  <si>
    <t>TRVN</t>
  </si>
  <si>
    <t>Trevena</t>
  </si>
  <si>
    <t>RMAX</t>
  </si>
  <si>
    <t>Re/max</t>
  </si>
  <si>
    <t>TNAV</t>
  </si>
  <si>
    <t>Telenav</t>
  </si>
  <si>
    <t>AKAO</t>
  </si>
  <si>
    <t>Achaogen</t>
  </si>
  <si>
    <t>KOPN</t>
  </si>
  <si>
    <t>Kopin</t>
  </si>
  <si>
    <t>SNR</t>
  </si>
  <si>
    <t>New Senior Investment</t>
  </si>
  <si>
    <t>HABT</t>
  </si>
  <si>
    <t>The Habit Restaurants</t>
  </si>
  <si>
    <t>TWNK</t>
  </si>
  <si>
    <t>Hostess Brands</t>
  </si>
  <si>
    <t>DLTH</t>
  </si>
  <si>
    <t>Duluth</t>
  </si>
  <si>
    <t>BHE</t>
  </si>
  <si>
    <t>Benchmark Electronics</t>
  </si>
  <si>
    <t>AQ</t>
  </si>
  <si>
    <t>Aquantia</t>
  </si>
  <si>
    <t>CBTX</t>
  </si>
  <si>
    <t>Cbtx</t>
  </si>
  <si>
    <t>WOW</t>
  </si>
  <si>
    <t>Wideopenwest</t>
  </si>
  <si>
    <t>QTRX</t>
  </si>
  <si>
    <t>Quanterix</t>
  </si>
  <si>
    <t>CUE</t>
  </si>
  <si>
    <t>Cue Biopharma</t>
  </si>
  <si>
    <t>ILPT</t>
  </si>
  <si>
    <t>Industrial Logistics Properties Trust</t>
  </si>
  <si>
    <t>ATNX</t>
  </si>
  <si>
    <t>Athenex</t>
  </si>
  <si>
    <t>EOLS</t>
  </si>
  <si>
    <t>Evolus</t>
  </si>
  <si>
    <t>CLDR</t>
  </si>
  <si>
    <t>Cloudera</t>
  </si>
  <si>
    <t>RBB</t>
  </si>
  <si>
    <t>Rbb Bancorp</t>
  </si>
  <si>
    <t>TORC</t>
  </si>
  <si>
    <t>Restorbio</t>
  </si>
  <si>
    <t>TPHS</t>
  </si>
  <si>
    <t>Trinity Place</t>
  </si>
  <si>
    <t>BH</t>
  </si>
  <si>
    <t>Biglari</t>
  </si>
  <si>
    <t>KALA</t>
  </si>
  <si>
    <t>Kala Pharmaceuticals</t>
  </si>
  <si>
    <t>TERP</t>
  </si>
  <si>
    <t>Terraform Power</t>
  </si>
  <si>
    <t>RBBN</t>
  </si>
  <si>
    <t>Ribbons Communications</t>
  </si>
  <si>
    <t>CURO</t>
  </si>
  <si>
    <t>Curo</t>
  </si>
  <si>
    <t>SLDB</t>
  </si>
  <si>
    <t>Solid Biosciences</t>
  </si>
  <si>
    <t>RYTM</t>
  </si>
  <si>
    <t>Rhythm Pharmaceuticals</t>
  </si>
  <si>
    <t>ALNA</t>
  </si>
  <si>
    <t>Allena Pharmaceuticals</t>
  </si>
  <si>
    <t>NCSM</t>
  </si>
  <si>
    <t>Ncs Multistage</t>
  </si>
  <si>
    <t>FOR</t>
  </si>
  <si>
    <t>Forestar</t>
  </si>
  <si>
    <t>BXG</t>
  </si>
  <si>
    <t>Bluegreen Vacations</t>
  </si>
  <si>
    <t>SGH</t>
  </si>
  <si>
    <t>Smart Global</t>
  </si>
  <si>
    <t>WTTR</t>
  </si>
  <si>
    <t>Select Energy Services</t>
  </si>
  <si>
    <t>MNLO</t>
  </si>
  <si>
    <t>Menlo Therapeutics</t>
  </si>
  <si>
    <t>GTHX</t>
  </si>
  <si>
    <t>G1 Therapeutics</t>
  </si>
  <si>
    <t>DNLI</t>
  </si>
  <si>
    <t>Denali Therapeutics</t>
  </si>
  <si>
    <t>ASNS</t>
  </si>
  <si>
    <t>Arsanis</t>
  </si>
  <si>
    <t>VERI</t>
  </si>
  <si>
    <t>Veritone</t>
  </si>
  <si>
    <t>FTSI</t>
  </si>
  <si>
    <t>Fts International</t>
  </si>
  <si>
    <t>SBT</t>
  </si>
  <si>
    <t>MBIN</t>
  </si>
  <si>
    <t>Merchants Bancorp Inc (in)</t>
  </si>
  <si>
    <t>BHVN</t>
  </si>
  <si>
    <t>Biohaven Pharmaceutical</t>
  </si>
  <si>
    <t>PUMP</t>
  </si>
  <si>
    <t>Propetro</t>
  </si>
  <si>
    <t>PETQ</t>
  </si>
  <si>
    <t>Petiq</t>
  </si>
  <si>
    <t>AKCA</t>
  </si>
  <si>
    <t>Akcea Therapeutics</t>
  </si>
  <si>
    <t>LBC</t>
  </si>
  <si>
    <t>Luther Burbank</t>
  </si>
  <si>
    <t>APLS</t>
  </si>
  <si>
    <t>Apellis Pharmaceuticals</t>
  </si>
  <si>
    <t>CDLX</t>
  </si>
  <si>
    <t>Cardlytics</t>
  </si>
  <si>
    <t>NMRK</t>
  </si>
  <si>
    <t>Newmark</t>
  </si>
  <si>
    <t>GPMT</t>
  </si>
  <si>
    <t>Granite Point Mortgage Trust</t>
  </si>
  <si>
    <t>CLXT</t>
  </si>
  <si>
    <t>Calyxt</t>
  </si>
  <si>
    <t>QES</t>
  </si>
  <si>
    <t>Quintana Energy Services</t>
  </si>
  <si>
    <t>COLD</t>
  </si>
  <si>
    <t>Americold Realty Trust</t>
  </si>
  <si>
    <t>DCPH</t>
  </si>
  <si>
    <t>Deciphera Pharmaceuticals</t>
  </si>
  <si>
    <t>HUD</t>
  </si>
  <si>
    <t>Hudson</t>
  </si>
  <si>
    <t>OPTN</t>
  </si>
  <si>
    <t>Optinose</t>
  </si>
  <si>
    <t>WHD</t>
  </si>
  <si>
    <t>Cactus</t>
  </si>
  <si>
    <t>HPR</t>
  </si>
  <si>
    <t>Highpoint Resources</t>
  </si>
  <si>
    <t>FSCT</t>
  </si>
  <si>
    <t>Forescout Technologies</t>
  </si>
  <si>
    <t>SEND</t>
  </si>
  <si>
    <t>Sendgrid</t>
  </si>
  <si>
    <t>TRTX</t>
  </si>
  <si>
    <t>Tpg Re Finance Trust</t>
  </si>
  <si>
    <t>BY</t>
  </si>
  <si>
    <t>Byline Bancorp</t>
  </si>
  <si>
    <t>KREF</t>
  </si>
  <si>
    <t>Kkr Real Estate Finance Trust</t>
  </si>
  <si>
    <t>EVBN</t>
  </si>
  <si>
    <t>Evans Bancorp</t>
  </si>
  <si>
    <t>CARS</t>
  </si>
  <si>
    <t>Cars.com</t>
  </si>
  <si>
    <t>SAIL</t>
  </si>
  <si>
    <t>Sailpoint Technologies</t>
  </si>
  <si>
    <t>DK</t>
  </si>
  <si>
    <t>Delek Us</t>
  </si>
  <si>
    <t>BCEI</t>
  </si>
  <si>
    <t>Bonanza Creek Energy</t>
  </si>
  <si>
    <t>SAFE</t>
  </si>
  <si>
    <t>Safety, Income &amp; Growth</t>
  </si>
  <si>
    <t>SNDR</t>
  </si>
  <si>
    <t>Schneider National</t>
  </si>
  <si>
    <t>NINE</t>
  </si>
  <si>
    <t>Nine Energy Service</t>
  </si>
  <si>
    <t>KIDS</t>
  </si>
  <si>
    <t>Orthopediatrics</t>
  </si>
  <si>
    <t>ODT</t>
  </si>
  <si>
    <t>Odonate Therapeutics</t>
  </si>
  <si>
    <t>SMHI</t>
  </si>
  <si>
    <t>Seacor Marine</t>
  </si>
  <si>
    <t>PQG</t>
  </si>
  <si>
    <t>Pq</t>
  </si>
  <si>
    <t>SNNA</t>
  </si>
  <si>
    <t>Sienna Biopharmaceuticals</t>
  </si>
  <si>
    <t>MRSN</t>
  </si>
  <si>
    <t>Mersana Therapeutics</t>
  </si>
  <si>
    <t>PSDO</t>
  </si>
  <si>
    <t>Presidio</t>
  </si>
  <si>
    <t>GNTY</t>
  </si>
  <si>
    <t>Guaranty Bancshares</t>
  </si>
  <si>
    <t>LAUR</t>
  </si>
  <si>
    <t>Laureate Education</t>
  </si>
  <si>
    <t>AGS</t>
  </si>
  <si>
    <t>Playags</t>
  </si>
  <si>
    <t>HBB</t>
  </si>
  <si>
    <t>Hamilton Beach Brands</t>
  </si>
  <si>
    <t>CELC</t>
  </si>
  <si>
    <t>Celcuity</t>
  </si>
  <si>
    <t>SOI</t>
  </si>
  <si>
    <t>Solaris Oilfield Infrastructure</t>
  </si>
  <si>
    <t>HAIR</t>
  </si>
  <si>
    <t>Restoration Robotics</t>
  </si>
  <si>
    <t>MCB</t>
  </si>
  <si>
    <t>Metropolitan Bank</t>
  </si>
  <si>
    <t>AQUA</t>
  </si>
  <si>
    <t>Evoqua Water Technologies</t>
  </si>
  <si>
    <t>LBRT</t>
  </si>
  <si>
    <t>Liberty Oilfield Services</t>
  </si>
  <si>
    <t>JAG</t>
  </si>
  <si>
    <t>Jagged Peak Energy</t>
  </si>
  <si>
    <t>EYE</t>
  </si>
  <si>
    <t>National Vision</t>
  </si>
  <si>
    <t>DOVA</t>
  </si>
  <si>
    <t>Dova Pharmaceuticals</t>
  </si>
  <si>
    <t>FNKO</t>
  </si>
  <si>
    <t>Funko</t>
  </si>
  <si>
    <t>ARMO</t>
  </si>
  <si>
    <t>Armo Biosciences</t>
  </si>
  <si>
    <t>SCPH</t>
  </si>
  <si>
    <t>Scpharmaceuticals</t>
  </si>
  <si>
    <t>SPRO</t>
  </si>
  <si>
    <t>Spero Therapeutics</t>
  </si>
  <si>
    <t>CASA</t>
  </si>
  <si>
    <t>Casa Systems</t>
  </si>
  <si>
    <t>BXS</t>
  </si>
  <si>
    <t>Bancorpsouth Bank</t>
  </si>
  <si>
    <t>RDFN</t>
  </si>
  <si>
    <t>Redfin</t>
  </si>
  <si>
    <t>PFBC</t>
  </si>
  <si>
    <t>Preferred Bank</t>
  </si>
  <si>
    <t>IBKC</t>
  </si>
  <si>
    <t>Iberiabank</t>
  </si>
  <si>
    <t>LANC</t>
  </si>
  <si>
    <t>Lancaster Colony</t>
  </si>
  <si>
    <t>DJCO</t>
  </si>
  <si>
    <t>Daily Journal</t>
  </si>
  <si>
    <t>BBW</t>
  </si>
  <si>
    <t>Build-a-bear Workshop</t>
  </si>
  <si>
    <t>DHIL</t>
  </si>
  <si>
    <t>Diamond Hill Investment</t>
  </si>
  <si>
    <t>GABC</t>
  </si>
  <si>
    <t>German American Bancorp</t>
  </si>
  <si>
    <t>CNBKA</t>
  </si>
  <si>
    <t>Century Bancorp</t>
  </si>
  <si>
    <t>FNLC</t>
  </si>
  <si>
    <t>First Bancorp Inc Maine</t>
  </si>
  <si>
    <t>TSE</t>
  </si>
  <si>
    <t>Trinseo</t>
  </si>
  <si>
    <t>SFL</t>
  </si>
  <si>
    <t>Ship Finance International</t>
  </si>
  <si>
    <t>CTO</t>
  </si>
  <si>
    <t>Consolidated Tomoka Land</t>
  </si>
  <si>
    <t>BLX</t>
  </si>
  <si>
    <t>Bco Latinoam -e</t>
  </si>
  <si>
    <t>DLX</t>
  </si>
  <si>
    <t>Deluxe</t>
  </si>
  <si>
    <t>FBC</t>
  </si>
  <si>
    <t>Flagstar Bancorp</t>
  </si>
  <si>
    <t>SMP</t>
  </si>
  <si>
    <t>Standard Motor Products</t>
  </si>
  <si>
    <t>PGC</t>
  </si>
  <si>
    <t>Peapack-gladstone Financial</t>
  </si>
  <si>
    <t>TILE</t>
  </si>
  <si>
    <t>Interface</t>
  </si>
  <si>
    <t>EXLS</t>
  </si>
  <si>
    <t>Exlservice</t>
  </si>
  <si>
    <t>PCH</t>
  </si>
  <si>
    <t>Potlatchdeltic</t>
  </si>
  <si>
    <t>WAFD</t>
  </si>
  <si>
    <t>Washington Federal</t>
  </si>
  <si>
    <t>TWIN</t>
  </si>
  <si>
    <t>Twin Disc</t>
  </si>
  <si>
    <t>IIIN</t>
  </si>
  <si>
    <t>Insteel Industries</t>
  </si>
  <si>
    <t>COHU</t>
  </si>
  <si>
    <t>Cohu</t>
  </si>
  <si>
    <t>IDCC</t>
  </si>
  <si>
    <t>Interdigital</t>
  </si>
  <si>
    <t>ICD</t>
  </si>
  <si>
    <t>Independence Contract Drilling</t>
  </si>
  <si>
    <t>RH</t>
  </si>
  <si>
    <t>Rh</t>
  </si>
  <si>
    <t>Home Improvement Retailers</t>
  </si>
  <si>
    <t>PFS</t>
  </si>
  <si>
    <t>Provident Financial Services</t>
  </si>
  <si>
    <t>GBX</t>
  </si>
  <si>
    <t>Greenbrier Companies</t>
  </si>
  <si>
    <t>FRAC</t>
  </si>
  <si>
    <t>Keane</t>
  </si>
  <si>
    <t>KWR</t>
  </si>
  <si>
    <t>Quaker Chemical</t>
  </si>
  <si>
    <t>DAR</t>
  </si>
  <si>
    <t>Darling Ingredients</t>
  </si>
  <si>
    <t>CZNC</t>
  </si>
  <si>
    <t>Citizens &amp; Northern</t>
  </si>
  <si>
    <t>HZNP</t>
  </si>
  <si>
    <t>Horizon Pharma</t>
  </si>
  <si>
    <t>HRTG</t>
  </si>
  <si>
    <t>Heritage Insurance</t>
  </si>
  <si>
    <t>GCI</t>
  </si>
  <si>
    <t>Gannett</t>
  </si>
  <si>
    <t>HCOM</t>
  </si>
  <si>
    <t>Hawaiian Telcom Holdco</t>
  </si>
  <si>
    <t>CSWI</t>
  </si>
  <si>
    <t>Csw Industrials</t>
  </si>
  <si>
    <t>SMMF</t>
  </si>
  <si>
    <t>Summit Financial</t>
  </si>
  <si>
    <t>MJCO</t>
  </si>
  <si>
    <t>Majesco</t>
  </si>
  <si>
    <t>PLPC</t>
  </si>
  <si>
    <t>Preformed Line Products</t>
  </si>
  <si>
    <t>CRCM</t>
  </si>
  <si>
    <t>Care.com</t>
  </si>
  <si>
    <t>CSTR</t>
  </si>
  <si>
    <t>Capstar Financial</t>
  </si>
  <si>
    <t>GDEN</t>
  </si>
  <si>
    <t>Golden Entertainment</t>
  </si>
  <si>
    <t>AMSF</t>
  </si>
  <si>
    <t>Amerisafe</t>
  </si>
  <si>
    <t>INBK</t>
  </si>
  <si>
    <t>First Internet Bancorp</t>
  </si>
  <si>
    <t>PATK</t>
  </si>
  <si>
    <t>Patrick Industries</t>
  </si>
  <si>
    <t>CRVL</t>
  </si>
  <si>
    <t>Corvel</t>
  </si>
  <si>
    <t>TOWR</t>
  </si>
  <si>
    <t>Tower International</t>
  </si>
  <si>
    <t>HMST</t>
  </si>
  <si>
    <t>Homestreet</t>
  </si>
  <si>
    <t>HOMB</t>
  </si>
  <si>
    <t>Home Bancshares</t>
  </si>
  <si>
    <t>MSBI</t>
  </si>
  <si>
    <t>Midland States Bancorp</t>
  </si>
  <si>
    <t>CPF</t>
  </si>
  <si>
    <t>Central Pacific Financial</t>
  </si>
  <si>
    <t>MDC</t>
  </si>
  <si>
    <t>Mdc</t>
  </si>
  <si>
    <t>MBTF</t>
  </si>
  <si>
    <t>Mbt Financial</t>
  </si>
  <si>
    <t>GBLI</t>
  </si>
  <si>
    <t>Global Indemnity</t>
  </si>
  <si>
    <t>TBNK</t>
  </si>
  <si>
    <t>Territorial Bancorp</t>
  </si>
  <si>
    <t>ADSW</t>
  </si>
  <si>
    <t>Advanced Disposal Services</t>
  </si>
  <si>
    <t>MLR</t>
  </si>
  <si>
    <t>Miller Industries</t>
  </si>
  <si>
    <t>GWRS</t>
  </si>
  <si>
    <t>Global Water Resources</t>
  </si>
  <si>
    <t>NFBK</t>
  </si>
  <si>
    <t>Northfield Bancorp</t>
  </si>
  <si>
    <t>HONE</t>
  </si>
  <si>
    <t>Harborone Bancorp</t>
  </si>
  <si>
    <t>VIVO</t>
  </si>
  <si>
    <t>Meridian Bioscience</t>
  </si>
  <si>
    <t>FULT</t>
  </si>
  <si>
    <t>Fulton Financial</t>
  </si>
  <si>
    <t>CSLT</t>
  </si>
  <si>
    <t>Castlight Health</t>
  </si>
  <si>
    <t>HTH</t>
  </si>
  <si>
    <t>Hilltop</t>
  </si>
  <si>
    <t>AJX</t>
  </si>
  <si>
    <t>Great Ajax</t>
  </si>
  <si>
    <t>SCS</t>
  </si>
  <si>
    <t>Steelcase</t>
  </si>
  <si>
    <t>NGS</t>
  </si>
  <si>
    <t>Natural Gas Services</t>
  </si>
  <si>
    <t>CYH</t>
  </si>
  <si>
    <t>Community Health Systems</t>
  </si>
  <si>
    <t>PROV</t>
  </si>
  <si>
    <t>Provident Financial</t>
  </si>
  <si>
    <t>DORM</t>
  </si>
  <si>
    <t>Dorman Products</t>
  </si>
  <si>
    <t>PLAY</t>
  </si>
  <si>
    <t>Dave &amp; Buster's Entertainment</t>
  </si>
  <si>
    <t>ESSA</t>
  </si>
  <si>
    <t>Essa Bancorp</t>
  </si>
  <si>
    <t>DX</t>
  </si>
  <si>
    <t>Dynex Capital</t>
  </si>
  <si>
    <t>AHH</t>
  </si>
  <si>
    <t>Armada Hoffler Properties</t>
  </si>
  <si>
    <t>Diversified REITs</t>
  </si>
  <si>
    <t>AAT</t>
  </si>
  <si>
    <t>American Assets Trust</t>
  </si>
  <si>
    <t>CFFN</t>
  </si>
  <si>
    <t>Capitol Federal Financial</t>
  </si>
  <si>
    <t>FFIC</t>
  </si>
  <si>
    <t>Flushing Financial</t>
  </si>
  <si>
    <t>XPER</t>
  </si>
  <si>
    <t>Xperi</t>
  </si>
  <si>
    <t>THFF</t>
  </si>
  <si>
    <t>First Financial Corp (indiana)</t>
  </si>
  <si>
    <t>MOFG</t>
  </si>
  <si>
    <t>Midwestone Financial</t>
  </si>
  <si>
    <t>ITG</t>
  </si>
  <si>
    <t>Investment Technology</t>
  </si>
  <si>
    <t>SUP</t>
  </si>
  <si>
    <t>Superior Industries International</t>
  </si>
  <si>
    <t>SASR</t>
  </si>
  <si>
    <t>Sandy Spring Bancorp</t>
  </si>
  <si>
    <t>LOCO</t>
  </si>
  <si>
    <t>El Pollo Loco</t>
  </si>
  <si>
    <t>NSIT</t>
  </si>
  <si>
    <t>Insight Enterprises</t>
  </si>
  <si>
    <t>CULP</t>
  </si>
  <si>
    <t>Culp</t>
  </si>
  <si>
    <t>MTSC</t>
  </si>
  <si>
    <t>Mts Systems</t>
  </si>
  <si>
    <t>BABY</t>
  </si>
  <si>
    <t>Natus Medical</t>
  </si>
  <si>
    <t>NYMT</t>
  </si>
  <si>
    <t>New York Mortgage Trust</t>
  </si>
  <si>
    <t>BEL</t>
  </si>
  <si>
    <t>Belmond</t>
  </si>
  <si>
    <t>TMP</t>
  </si>
  <si>
    <t>Tompkins Financial</t>
  </si>
  <si>
    <t>CCRN</t>
  </si>
  <si>
    <t>Cross Country Healthcare</t>
  </si>
  <si>
    <t>JRVR</t>
  </si>
  <si>
    <t>James River</t>
  </si>
  <si>
    <t>CJ</t>
  </si>
  <si>
    <t>C&amp;j Energy Services</t>
  </si>
  <si>
    <t>RLJ</t>
  </si>
  <si>
    <t>Rlj Lodging Trust</t>
  </si>
  <si>
    <t>OCFC</t>
  </si>
  <si>
    <t>Oceanfirst Financial</t>
  </si>
  <si>
    <t>MWA</t>
  </si>
  <si>
    <t>Mueller Water Products</t>
  </si>
  <si>
    <t>EVRI</t>
  </si>
  <si>
    <t>Everi</t>
  </si>
  <si>
    <t>GBL</t>
  </si>
  <si>
    <t>Gamco Investors</t>
  </si>
  <si>
    <t>LLEX</t>
  </si>
  <si>
    <t>Lilis Energy</t>
  </si>
  <si>
    <t>OLP</t>
  </si>
  <si>
    <t>One Liberty Properties</t>
  </si>
  <si>
    <t>APOG</t>
  </si>
  <si>
    <t>Apogee Enterprises</t>
  </si>
  <si>
    <t>CHCT</t>
  </si>
  <si>
    <t>Community Healthcare Trust</t>
  </si>
  <si>
    <t>EE</t>
  </si>
  <si>
    <t>El Paso Electric</t>
  </si>
  <si>
    <t>TXMD</t>
  </si>
  <si>
    <t>Therapeuticsmd</t>
  </si>
  <si>
    <t>GNW</t>
  </si>
  <si>
    <t>Genworth Financial</t>
  </si>
  <si>
    <t>GCP</t>
  </si>
  <si>
    <t>Gcp Applied Technologies</t>
  </si>
  <si>
    <t>EGBN</t>
  </si>
  <si>
    <t>Eagle Bancorp</t>
  </si>
  <si>
    <t>CPK</t>
  </si>
  <si>
    <t>Chesapeake Utilities</t>
  </si>
  <si>
    <t>ALX</t>
  </si>
  <si>
    <t>Alexander's</t>
  </si>
  <si>
    <t>EEX</t>
  </si>
  <si>
    <t>Emerald Expositions Events</t>
  </si>
  <si>
    <t>UTL</t>
  </si>
  <si>
    <t>Unitil</t>
  </si>
  <si>
    <t>CSII</t>
  </si>
  <si>
    <t>Cardiovascular Systems</t>
  </si>
  <si>
    <t>SSYS</t>
  </si>
  <si>
    <t>Stratasys</t>
  </si>
  <si>
    <t>RSO</t>
  </si>
  <si>
    <t>Resource Capital</t>
  </si>
  <si>
    <t>IRT</t>
  </si>
  <si>
    <t>Independence Realty Trust</t>
  </si>
  <si>
    <t>ATKR</t>
  </si>
  <si>
    <t>Atkore International</t>
  </si>
  <si>
    <t>AT</t>
  </si>
  <si>
    <t>Atlantic Power</t>
  </si>
  <si>
    <t>PKE</t>
  </si>
  <si>
    <t>Park Electrochemical</t>
  </si>
  <si>
    <t>TAST</t>
  </si>
  <si>
    <t>Carrols Restaurant</t>
  </si>
  <si>
    <t>FTK</t>
  </si>
  <si>
    <t>Flotek Industries</t>
  </si>
  <si>
    <t>PTGX</t>
  </si>
  <si>
    <t>Protagonist Therapeutics</t>
  </si>
  <si>
    <t>CVRS</t>
  </si>
  <si>
    <t>Corindus Vascular Robotics</t>
  </si>
  <si>
    <t>MMS</t>
  </si>
  <si>
    <t>Maximus</t>
  </si>
  <si>
    <t>LPG</t>
  </si>
  <si>
    <t>Dorian Lpg</t>
  </si>
  <si>
    <t>SONC</t>
  </si>
  <si>
    <t>Sonic</t>
  </si>
  <si>
    <t>FMBH</t>
  </si>
  <si>
    <t>First Mid-illinois Bancshares</t>
  </si>
  <si>
    <t>PRAH</t>
  </si>
  <si>
    <t>Pra Health Sciences</t>
  </si>
  <si>
    <t>SYNA</t>
  </si>
  <si>
    <t>Synaptics</t>
  </si>
  <si>
    <t>BLDR</t>
  </si>
  <si>
    <t>Builders Firstsource</t>
  </si>
  <si>
    <t>PARR</t>
  </si>
  <si>
    <t>Par Pacific</t>
  </si>
  <si>
    <t>Integrated Oil &amp; Gas</t>
  </si>
  <si>
    <t>HDP</t>
  </si>
  <si>
    <t>Hortonworks</t>
  </si>
  <si>
    <t>FOE</t>
  </si>
  <si>
    <t>Ferro</t>
  </si>
  <si>
    <t>VVI</t>
  </si>
  <si>
    <t>Viad</t>
  </si>
  <si>
    <t>HCCI</t>
  </si>
  <si>
    <t>Heritage-crystal Clean</t>
  </si>
  <si>
    <t>ALG</t>
  </si>
  <si>
    <t>Alamo</t>
  </si>
  <si>
    <t>CSGS</t>
  </si>
  <si>
    <t>Csg Systems International</t>
  </si>
  <si>
    <t>KNX</t>
  </si>
  <si>
    <t>Knight-swift Transportation</t>
  </si>
  <si>
    <t>WHG</t>
  </si>
  <si>
    <t>Westwood</t>
  </si>
  <si>
    <t>MTH</t>
  </si>
  <si>
    <t>Meritage Homes</t>
  </si>
  <si>
    <t>ICBK</t>
  </si>
  <si>
    <t>County Bancorp</t>
  </si>
  <si>
    <t>BNED</t>
  </si>
  <si>
    <t>Barnes &amp; Noble Education</t>
  </si>
  <si>
    <t>BZH</t>
  </si>
  <si>
    <t>Beazer Homes Usa</t>
  </si>
  <si>
    <t>SB</t>
  </si>
  <si>
    <t>Safe Bulkers</t>
  </si>
  <si>
    <t>PLCE</t>
  </si>
  <si>
    <t>Children's Place</t>
  </si>
  <si>
    <t>MDRX</t>
  </si>
  <si>
    <t>Allscripts Healthcare Solutions</t>
  </si>
  <si>
    <t>VSAT</t>
  </si>
  <si>
    <t>Viasat</t>
  </si>
  <si>
    <t>FLIC</t>
  </si>
  <si>
    <t>First Of Long Island</t>
  </si>
  <si>
    <t>VAC</t>
  </si>
  <si>
    <t>Marriott Vacations Worldwide</t>
  </si>
  <si>
    <t>XLRN</t>
  </si>
  <si>
    <t>Acceleron Pharma</t>
  </si>
  <si>
    <t>AERI</t>
  </si>
  <si>
    <t>Aerie Pharmaceuticals</t>
  </si>
  <si>
    <t>LORL</t>
  </si>
  <si>
    <t>Loral Space &amp; Communications</t>
  </si>
  <si>
    <t>WIFI</t>
  </si>
  <si>
    <t>Boingo Wireless</t>
  </si>
  <si>
    <t>GLT</t>
  </si>
  <si>
    <t>Glatfelter</t>
  </si>
  <si>
    <t>JBT</t>
  </si>
  <si>
    <t>John Bean Technologies</t>
  </si>
  <si>
    <t>CONN</t>
  </si>
  <si>
    <t>Conn's</t>
  </si>
  <si>
    <t>ESNT</t>
  </si>
  <si>
    <t>Essent</t>
  </si>
  <si>
    <t>PRGS</t>
  </si>
  <si>
    <t>Progress Software</t>
  </si>
  <si>
    <t>LCII</t>
  </si>
  <si>
    <t>Lci Industries</t>
  </si>
  <si>
    <t>TLYS</t>
  </si>
  <si>
    <t>Tilly's</t>
  </si>
  <si>
    <t>KBH</t>
  </si>
  <si>
    <t>Kb Home</t>
  </si>
  <si>
    <t>PETS</t>
  </si>
  <si>
    <t>Petmed Express</t>
  </si>
  <si>
    <t>HF</t>
  </si>
  <si>
    <t>Hff</t>
  </si>
  <si>
    <t>QUAD</t>
  </si>
  <si>
    <t>Quad/graphics</t>
  </si>
  <si>
    <t>PIRS</t>
  </si>
  <si>
    <t>Pieris Pharmaceuticals</t>
  </si>
  <si>
    <t>CORI</t>
  </si>
  <si>
    <t>Corium International</t>
  </si>
  <si>
    <t>BECN</t>
  </si>
  <si>
    <t>Beacon Roofing Supply</t>
  </si>
  <si>
    <t>ACLS</t>
  </si>
  <si>
    <t>Axcelis Technologies</t>
  </si>
  <si>
    <t>NEOS</t>
  </si>
  <si>
    <t>Neos Therapeutics</t>
  </si>
  <si>
    <t>ESPR</t>
  </si>
  <si>
    <t>Esperion Therapeutics</t>
  </si>
  <si>
    <t>CWH</t>
  </si>
  <si>
    <t>Camping World</t>
  </si>
  <si>
    <t>RIGL</t>
  </si>
  <si>
    <t>Rigel Pharmaceuticals</t>
  </si>
  <si>
    <t>PKOH</t>
  </si>
  <si>
    <t>Park-ohio</t>
  </si>
  <si>
    <t>ACCO</t>
  </si>
  <si>
    <t>Acco Brands</t>
  </si>
  <si>
    <t>TWI</t>
  </si>
  <si>
    <t>Titan International</t>
  </si>
  <si>
    <t>Tires</t>
  </si>
  <si>
    <t>CNTY</t>
  </si>
  <si>
    <t>Century Casinos</t>
  </si>
  <si>
    <t>GPI</t>
  </si>
  <si>
    <t>Group 1 Automotive</t>
  </si>
  <si>
    <t>NXST</t>
  </si>
  <si>
    <t>Nexstar Media</t>
  </si>
  <si>
    <t>OMCL</t>
  </si>
  <si>
    <t>Omnicell</t>
  </si>
  <si>
    <t>WDR</t>
  </si>
  <si>
    <t>Waddell &amp; Reed Financial</t>
  </si>
  <si>
    <t>TRUP</t>
  </si>
  <si>
    <t>Trupanion</t>
  </si>
  <si>
    <t>CAI</t>
  </si>
  <si>
    <t>Cai International</t>
  </si>
  <si>
    <t>MXWL</t>
  </si>
  <si>
    <t>Maxwell Technologies</t>
  </si>
  <si>
    <t>GRPN</t>
  </si>
  <si>
    <t>Groupon</t>
  </si>
  <si>
    <t>SPWH</t>
  </si>
  <si>
    <t>Sportsman's Warehouse</t>
  </si>
  <si>
    <t>WATT</t>
  </si>
  <si>
    <t>Energous</t>
  </si>
  <si>
    <t>IBP</t>
  </si>
  <si>
    <t>Installed Building Products</t>
  </si>
  <si>
    <t>NPO</t>
  </si>
  <si>
    <t>Enpro Industries</t>
  </si>
  <si>
    <t>FATE</t>
  </si>
  <si>
    <t>Fate Therapeutics</t>
  </si>
  <si>
    <t>TRNC</t>
  </si>
  <si>
    <t>Tronc</t>
  </si>
  <si>
    <t>NBN</t>
  </si>
  <si>
    <t>Northeast Bancorp</t>
  </si>
  <si>
    <t>BIOS</t>
  </si>
  <si>
    <t>Bioscrip</t>
  </si>
  <si>
    <t>PZN</t>
  </si>
  <si>
    <t>Pzena Investment Management</t>
  </si>
  <si>
    <t>ADMS</t>
  </si>
  <si>
    <t>Adamas Pharmaceuticals</t>
  </si>
  <si>
    <t>SNHY</t>
  </si>
  <si>
    <t>Sun Hydraulics</t>
  </si>
  <si>
    <t>FORM</t>
  </si>
  <si>
    <t>Formfactor</t>
  </si>
  <si>
    <t>STRL</t>
  </si>
  <si>
    <t>Sterling Construction</t>
  </si>
  <si>
    <t>AVID</t>
  </si>
  <si>
    <t>Avid Technology</t>
  </si>
  <si>
    <t>VRAY</t>
  </si>
  <si>
    <t>Viewray</t>
  </si>
  <si>
    <t>CTRL</t>
  </si>
  <si>
    <t>Control4</t>
  </si>
  <si>
    <t>ZAGG</t>
  </si>
  <si>
    <t>Zagg</t>
  </si>
  <si>
    <t>Consumer Electronics</t>
  </si>
  <si>
    <t>BBGI</t>
  </si>
  <si>
    <t>Beasley Broadcast</t>
  </si>
  <si>
    <t>NL</t>
  </si>
  <si>
    <t>Nl Industries</t>
  </si>
  <si>
    <t>OSTK</t>
  </si>
  <si>
    <t>Overstock.com</t>
  </si>
  <si>
    <t>KNL</t>
  </si>
  <si>
    <t>Knoll</t>
  </si>
  <si>
    <t>NODK</t>
  </si>
  <si>
    <t>Ni</t>
  </si>
  <si>
    <t>SYKE</t>
  </si>
  <si>
    <t>Sykes Enterprises</t>
  </si>
  <si>
    <t>WSBF</t>
  </si>
  <si>
    <t>Waterstone Financial</t>
  </si>
  <si>
    <t>IVR</t>
  </si>
  <si>
    <t>Invesco Mortgage Capital</t>
  </si>
  <si>
    <t>ESE</t>
  </si>
  <si>
    <t>Esco Technologies</t>
  </si>
  <si>
    <t>MGEE</t>
  </si>
  <si>
    <t>Mge Energy</t>
  </si>
  <si>
    <t>SND</t>
  </si>
  <si>
    <t>Smart Sand</t>
  </si>
  <si>
    <t>LSCC</t>
  </si>
  <si>
    <t>Lattice Semiconductor</t>
  </si>
  <si>
    <t>PSB</t>
  </si>
  <si>
    <t>Ps Business Parks</t>
  </si>
  <si>
    <t>ESTE</t>
  </si>
  <si>
    <t>Earthstone Energy</t>
  </si>
  <si>
    <t>CNS</t>
  </si>
  <si>
    <t>Cohen &amp; Steers</t>
  </si>
  <si>
    <t>TRCB</t>
  </si>
  <si>
    <t>Two River Bancorp</t>
  </si>
  <si>
    <t>STAR</t>
  </si>
  <si>
    <t>Istar</t>
  </si>
  <si>
    <t>ROIC</t>
  </si>
  <si>
    <t>Retail Opportunity Investments</t>
  </si>
  <si>
    <t>SENEA</t>
  </si>
  <si>
    <t>Seneca Foods</t>
  </si>
  <si>
    <t>FCPT</t>
  </si>
  <si>
    <t>Four Corners Property Trust</t>
  </si>
  <si>
    <t>GENC</t>
  </si>
  <si>
    <t>Gencor Industries</t>
  </si>
  <si>
    <t>NWE</t>
  </si>
  <si>
    <t>Northwestern</t>
  </si>
  <si>
    <t>AZZ</t>
  </si>
  <si>
    <t>Azz</t>
  </si>
  <si>
    <t>ARR</t>
  </si>
  <si>
    <t>Armour Residential Reit</t>
  </si>
  <si>
    <t>ORIT</t>
  </si>
  <si>
    <t>Oritani Financial</t>
  </si>
  <si>
    <t>BWFG</t>
  </si>
  <si>
    <t>Bankwell Financial</t>
  </si>
  <si>
    <t>EMCI</t>
  </si>
  <si>
    <t>Emc Insurance</t>
  </si>
  <si>
    <t>VGR</t>
  </si>
  <si>
    <t>Vector</t>
  </si>
  <si>
    <t>NWLI</t>
  </si>
  <si>
    <t>National Western Life</t>
  </si>
  <si>
    <t>BANC</t>
  </si>
  <si>
    <t>Banc Of California</t>
  </si>
  <si>
    <t>SPOK</t>
  </si>
  <si>
    <t>Spok</t>
  </si>
  <si>
    <t>SXT</t>
  </si>
  <si>
    <t>Sensient Technologies</t>
  </si>
  <si>
    <t>MG</t>
  </si>
  <si>
    <t>Mistras</t>
  </si>
  <si>
    <t>EIG</t>
  </si>
  <si>
    <t>Employers</t>
  </si>
  <si>
    <t>ISRL</t>
  </si>
  <si>
    <t>Isramco</t>
  </si>
  <si>
    <t>ORBC</t>
  </si>
  <si>
    <t>Orbcomm</t>
  </si>
  <si>
    <t>CARA</t>
  </si>
  <si>
    <t>Cara Therapeutics</t>
  </si>
  <si>
    <t>HBMD</t>
  </si>
  <si>
    <t>Howard Bancorp</t>
  </si>
  <si>
    <t>WNC</t>
  </si>
  <si>
    <t>Wabash National</t>
  </si>
  <si>
    <t>POR</t>
  </si>
  <si>
    <t>Portland General Electric</t>
  </si>
  <si>
    <t>MRT</t>
  </si>
  <si>
    <t>Medequities Realty Trust</t>
  </si>
  <si>
    <t>AVX</t>
  </si>
  <si>
    <t>Avx</t>
  </si>
  <si>
    <t>KBAL</t>
  </si>
  <si>
    <t>Kimball International</t>
  </si>
  <si>
    <t>DLA</t>
  </si>
  <si>
    <t>Delta Apparel</t>
  </si>
  <si>
    <t>GOOD</t>
  </si>
  <si>
    <t>Gladstone Commercial</t>
  </si>
  <si>
    <t>ATSG</t>
  </si>
  <si>
    <t>Air Transport Services</t>
  </si>
  <si>
    <t>HY</t>
  </si>
  <si>
    <t>Hyster-yale Materials Handling</t>
  </si>
  <si>
    <t>RPT</t>
  </si>
  <si>
    <t>Ramco-gershenson Properties Trust</t>
  </si>
  <si>
    <t>UE</t>
  </si>
  <si>
    <t>Urban Edge Properties</t>
  </si>
  <si>
    <t>CLFD</t>
  </si>
  <si>
    <t>Clearfield</t>
  </si>
  <si>
    <t>TMHC</t>
  </si>
  <si>
    <t>Taylor Morrison Home</t>
  </si>
  <si>
    <t>LXP</t>
  </si>
  <si>
    <t>Lexington Realty Trust</t>
  </si>
  <si>
    <t>DFIN</t>
  </si>
  <si>
    <t>Donnelley Financial Solutions</t>
  </si>
  <si>
    <t>JACK</t>
  </si>
  <si>
    <t>Jack In The Box</t>
  </si>
  <si>
    <t>ANH</t>
  </si>
  <si>
    <t>Anworth Mortgage Asset</t>
  </si>
  <si>
    <t>JELD</t>
  </si>
  <si>
    <t>Jeld-wen</t>
  </si>
  <si>
    <t>GMS</t>
  </si>
  <si>
    <t>Gms</t>
  </si>
  <si>
    <t>HOFT</t>
  </si>
  <si>
    <t>Hooker Furniture</t>
  </si>
  <si>
    <t>BFS</t>
  </si>
  <si>
    <t>Saul Centers</t>
  </si>
  <si>
    <t>ODC</t>
  </si>
  <si>
    <t>Oil-dri Corp Of America</t>
  </si>
  <si>
    <t>SGA</t>
  </si>
  <si>
    <t>Saga Communications</t>
  </si>
  <si>
    <t>NWHM</t>
  </si>
  <si>
    <t>The New Home</t>
  </si>
  <si>
    <t>LCNB</t>
  </si>
  <si>
    <t>Lcnb</t>
  </si>
  <si>
    <t>CETV</t>
  </si>
  <si>
    <t>Central European Media Enterprises</t>
  </si>
  <si>
    <t>DGICA</t>
  </si>
  <si>
    <t>Donegal</t>
  </si>
  <si>
    <t>KRG</t>
  </si>
  <si>
    <t>Kite Realty Group Trust</t>
  </si>
  <si>
    <t>TR</t>
  </si>
  <si>
    <t>Tootsie Roll Industries</t>
  </si>
  <si>
    <t>ORA</t>
  </si>
  <si>
    <t>Ormat Technologies</t>
  </si>
  <si>
    <t>HTLD</t>
  </si>
  <si>
    <t>Heartland Express</t>
  </si>
  <si>
    <t>AKS</t>
  </si>
  <si>
    <t>Ak Steel</t>
  </si>
  <si>
    <t>TRK</t>
  </si>
  <si>
    <t>Speedway Motorsports</t>
  </si>
  <si>
    <t>RRD</t>
  </si>
  <si>
    <t>R.r.donnelley &amp; Sons</t>
  </si>
  <si>
    <t>HASI</t>
  </si>
  <si>
    <t>Hannon Arms Reit Rg</t>
  </si>
  <si>
    <t>TECD</t>
  </si>
  <si>
    <t>Tech Data</t>
  </si>
  <si>
    <t>SPA</t>
  </si>
  <si>
    <t>Sparton</t>
  </si>
  <si>
    <t>NX</t>
  </si>
  <si>
    <t>Quanex Building Products</t>
  </si>
  <si>
    <t>TEN</t>
  </si>
  <si>
    <t>Tenneco</t>
  </si>
  <si>
    <t>RPXC</t>
  </si>
  <si>
    <t>Rpx</t>
  </si>
  <si>
    <t>INWK</t>
  </si>
  <si>
    <t>Innerworkings</t>
  </si>
  <si>
    <t>HR</t>
  </si>
  <si>
    <t>Healthcare Realty Trust</t>
  </si>
  <si>
    <t>WEB</t>
  </si>
  <si>
    <t>Web.com</t>
  </si>
  <si>
    <t>LABL</t>
  </si>
  <si>
    <t>Multi-color</t>
  </si>
  <si>
    <t>REX</t>
  </si>
  <si>
    <t>Rex American Resources</t>
  </si>
  <si>
    <t>EARN</t>
  </si>
  <si>
    <t>Ellington Residential Mortgage Reit</t>
  </si>
  <si>
    <t>RDUS</t>
  </si>
  <si>
    <t>Radius Health</t>
  </si>
  <si>
    <t>NTCT</t>
  </si>
  <si>
    <t>Netscout Systems</t>
  </si>
  <si>
    <t>UHT</t>
  </si>
  <si>
    <t>Universal Health Realty Income Trust</t>
  </si>
  <si>
    <t>FIZZ</t>
  </si>
  <si>
    <t>National Beverage</t>
  </si>
  <si>
    <t>TIVO</t>
  </si>
  <si>
    <t>Tivo</t>
  </si>
  <si>
    <t>NATR</t>
  </si>
  <si>
    <t>Nature's Sunshine Products</t>
  </si>
  <si>
    <t>ORC</t>
  </si>
  <si>
    <t>Orchid Island Capital</t>
  </si>
  <si>
    <t>LDL</t>
  </si>
  <si>
    <t>Lydall</t>
  </si>
  <si>
    <t>VSTO</t>
  </si>
  <si>
    <t>Vista Outdoor</t>
  </si>
  <si>
    <t>IDT</t>
  </si>
  <si>
    <t>Idt</t>
  </si>
  <si>
    <t>MDP</t>
  </si>
  <si>
    <t>Meredith</t>
  </si>
  <si>
    <t>TPC</t>
  </si>
  <si>
    <t>Tutor Perini</t>
  </si>
  <si>
    <t>ABM</t>
  </si>
  <si>
    <t>Abm Industries</t>
  </si>
  <si>
    <t>BSET</t>
  </si>
  <si>
    <t>Bassett Furniture Industries</t>
  </si>
  <si>
    <t>AEIS</t>
  </si>
  <si>
    <t>Advanced Energy Industries</t>
  </si>
  <si>
    <t>BTX</t>
  </si>
  <si>
    <t>Biotime</t>
  </si>
  <si>
    <t>MXL</t>
  </si>
  <si>
    <t>Maxlinear</t>
  </si>
  <si>
    <t>MSTR</t>
  </si>
  <si>
    <t>Microstrategy</t>
  </si>
  <si>
    <t>DOC</t>
  </si>
  <si>
    <t>Physicians Realty Trust</t>
  </si>
  <si>
    <t>LYTS</t>
  </si>
  <si>
    <t>Lsi Industries</t>
  </si>
  <si>
    <t>PEGI</t>
  </si>
  <si>
    <t>Pattern Energy</t>
  </si>
  <si>
    <t>GLRE</t>
  </si>
  <si>
    <t>Greenlight Capital Re</t>
  </si>
  <si>
    <t>BDC</t>
  </si>
  <si>
    <t>Belden</t>
  </si>
  <si>
    <t>USCR</t>
  </si>
  <si>
    <t>Us Concrete</t>
  </si>
  <si>
    <t>HCSG</t>
  </si>
  <si>
    <t>Healthcare Services</t>
  </si>
  <si>
    <t>GTN</t>
  </si>
  <si>
    <t>Gray Television</t>
  </si>
  <si>
    <t>RNET</t>
  </si>
  <si>
    <t>Rignet</t>
  </si>
  <si>
    <t>APTS</t>
  </si>
  <si>
    <t>Preferred Apartment Communities</t>
  </si>
  <si>
    <t>HWKN</t>
  </si>
  <si>
    <t>Hawkins</t>
  </si>
  <si>
    <t>CTB</t>
  </si>
  <si>
    <t>Cooper Tire &amp; Rubber</t>
  </si>
  <si>
    <t>AOSL</t>
  </si>
  <si>
    <t>Alpha &amp; Omega Semiconductor</t>
  </si>
  <si>
    <t>BIG</t>
  </si>
  <si>
    <t>Big Lots</t>
  </si>
  <si>
    <t>ETM</t>
  </si>
  <si>
    <t>Entercom Communications</t>
  </si>
  <si>
    <t>GPX</t>
  </si>
  <si>
    <t>Gp Strategies</t>
  </si>
  <si>
    <t>ADTN</t>
  </si>
  <si>
    <t>Adtran</t>
  </si>
  <si>
    <t>SAFM</t>
  </si>
  <si>
    <t>Sanderson Farms</t>
  </si>
  <si>
    <t>NUVA</t>
  </si>
  <si>
    <t>Nuvasive</t>
  </si>
  <si>
    <t>CMT</t>
  </si>
  <si>
    <t>Core Molding Technologies</t>
  </si>
  <si>
    <t>TNK</t>
  </si>
  <si>
    <t>Teekay Tankers</t>
  </si>
  <si>
    <t>UVV</t>
  </si>
  <si>
    <t>Universal</t>
  </si>
  <si>
    <t>LNTH</t>
  </si>
  <si>
    <t>Lantheus</t>
  </si>
  <si>
    <t>JCP</t>
  </si>
  <si>
    <t>Jc Penney</t>
  </si>
  <si>
    <t>FSP</t>
  </si>
  <si>
    <t>Franklin Street Properties</t>
  </si>
  <si>
    <t>PICO</t>
  </si>
  <si>
    <t>Pico</t>
  </si>
  <si>
    <t>QTS</t>
  </si>
  <si>
    <t>Qts Realty Trust</t>
  </si>
  <si>
    <t>LXU</t>
  </si>
  <si>
    <t>Lsb Industries</t>
  </si>
  <si>
    <t>COKE</t>
  </si>
  <si>
    <t>Coca-cola Bottling Co. Consolidated</t>
  </si>
  <si>
    <t>CLD</t>
  </si>
  <si>
    <t>Cloud Peak Energy</t>
  </si>
  <si>
    <t>PZZA</t>
  </si>
  <si>
    <t>Papa John's International</t>
  </si>
  <si>
    <t>WAGE</t>
  </si>
  <si>
    <t>Wageworks</t>
  </si>
  <si>
    <t>EVC</t>
  </si>
  <si>
    <t>Entravision Communications</t>
  </si>
  <si>
    <t>REVG</t>
  </si>
  <si>
    <t>Rev</t>
  </si>
  <si>
    <t>HOV</t>
  </si>
  <si>
    <t>Hovnanian Enterprises</t>
  </si>
  <si>
    <t>CRUS</t>
  </si>
  <si>
    <t>Cirrus Logic</t>
  </si>
  <si>
    <t>NNA</t>
  </si>
  <si>
    <t>Navios Maritime Acquisition</t>
  </si>
  <si>
    <t>TOCA</t>
  </si>
  <si>
    <t>Tocagen</t>
  </si>
  <si>
    <t>TBPH</t>
  </si>
  <si>
    <t>Theravance Biopharma</t>
  </si>
  <si>
    <t>CORE</t>
  </si>
  <si>
    <t>Core-mark</t>
  </si>
  <si>
    <t>BCRH</t>
  </si>
  <si>
    <t>Blue Capital Reinsurance</t>
  </si>
  <si>
    <t>CSS</t>
  </si>
  <si>
    <t>Css Industries</t>
  </si>
  <si>
    <t>TSQ</t>
  </si>
  <si>
    <t>Townsquare Media</t>
  </si>
  <si>
    <t>XONE</t>
  </si>
  <si>
    <t>The Exone</t>
  </si>
  <si>
    <t>AGX</t>
  </si>
  <si>
    <t>Argan</t>
  </si>
  <si>
    <t>NK</t>
  </si>
  <si>
    <t>Nantkwest</t>
  </si>
  <si>
    <t>INAP</t>
  </si>
  <si>
    <t>Internap</t>
  </si>
  <si>
    <t>AP</t>
  </si>
  <si>
    <t>Ampco-pittsburgh</t>
  </si>
  <si>
    <t>LCUT</t>
  </si>
  <si>
    <t>Lifetime Brands</t>
  </si>
  <si>
    <t>SRT</t>
  </si>
  <si>
    <t>Startek</t>
  </si>
  <si>
    <t>LL</t>
  </si>
  <si>
    <t>Lumber Liquidators</t>
  </si>
  <si>
    <t>CLCT</t>
  </si>
  <si>
    <t>Collectors Universe</t>
  </si>
  <si>
    <t>PCYG</t>
  </si>
  <si>
    <t>Park City</t>
  </si>
  <si>
    <t>AFH</t>
  </si>
  <si>
    <t>Atlas Financial</t>
  </si>
  <si>
    <t>HMHC</t>
  </si>
  <si>
    <t>Houghton Mifflin Harcourt</t>
  </si>
  <si>
    <t>SFS</t>
  </si>
  <si>
    <t>Smart &amp; Final Stores</t>
  </si>
  <si>
    <t>UCTT</t>
  </si>
  <si>
    <t>Ultra Clean</t>
  </si>
  <si>
    <t>ALEX</t>
  </si>
  <si>
    <t>Alexander &amp; Baldwin</t>
  </si>
  <si>
    <t>MCRB</t>
  </si>
  <si>
    <t>Seres Therapeutics</t>
  </si>
  <si>
    <t>ARC</t>
  </si>
  <si>
    <t>Arc Document Solutions</t>
  </si>
  <si>
    <t>Truecar</t>
  </si>
  <si>
    <t>MLP</t>
  </si>
  <si>
    <t>Maui Land &amp; Pineapple</t>
  </si>
  <si>
    <t>QTM</t>
  </si>
  <si>
    <t>Quantum</t>
  </si>
  <si>
    <t>EMKR</t>
  </si>
  <si>
    <t>Emcore</t>
  </si>
  <si>
    <t>PIR</t>
  </si>
  <si>
    <t>Pier 1 Imports</t>
  </si>
  <si>
    <t>DBD</t>
  </si>
  <si>
    <t>Diebold Nixdorf</t>
  </si>
  <si>
    <t>PBYI</t>
  </si>
  <si>
    <t>Puma Biotechnology</t>
  </si>
  <si>
    <t>PRTK</t>
  </si>
  <si>
    <t>Paratek Pharmaceuticals</t>
  </si>
  <si>
    <t>MGI</t>
  </si>
  <si>
    <t>Moneygram International</t>
  </si>
  <si>
    <t>CNSL</t>
  </si>
  <si>
    <t>Consolidated Communications</t>
  </si>
  <si>
    <t>MDCA</t>
  </si>
  <si>
    <t>Mdc Partners</t>
  </si>
  <si>
    <t>GOGO</t>
  </si>
  <si>
    <t>Gogo</t>
  </si>
  <si>
    <t>IVAC</t>
  </si>
  <si>
    <t>Intevac</t>
  </si>
  <si>
    <t>CALA</t>
  </si>
  <si>
    <t>Calithera Biosciences</t>
  </si>
  <si>
    <t>TLGT</t>
  </si>
  <si>
    <t>Teligent</t>
  </si>
  <si>
    <t>HDSN</t>
  </si>
  <si>
    <t>Hudson Technologies</t>
  </si>
  <si>
    <t>CRIS</t>
  </si>
  <si>
    <t>Curis</t>
  </si>
  <si>
    <t>CLDX</t>
  </si>
  <si>
    <t>Celldex Therapeutics</t>
  </si>
  <si>
    <t>MLNT</t>
  </si>
  <si>
    <t>Melinta Therapeutics</t>
  </si>
  <si>
    <t>FPI</t>
  </si>
  <si>
    <t>Farmland Partners</t>
  </si>
  <si>
    <t>WRE</t>
  </si>
  <si>
    <t>Washington</t>
  </si>
  <si>
    <t>ARTNA</t>
  </si>
  <si>
    <t>Artesian Resources</t>
  </si>
  <si>
    <t>RCII</t>
  </si>
  <si>
    <t>Rent-a-center</t>
  </si>
  <si>
    <t>NHI</t>
  </si>
  <si>
    <t>National Health Investors</t>
  </si>
  <si>
    <t>SCSC</t>
  </si>
  <si>
    <t>Scansource</t>
  </si>
  <si>
    <t>HALL</t>
  </si>
  <si>
    <t>Hallmark Financial Services</t>
  </si>
  <si>
    <t>CLDT</t>
  </si>
  <si>
    <t>Chatham Lodging Trust</t>
  </si>
  <si>
    <t>ELF</t>
  </si>
  <si>
    <t>Elf Beauty</t>
  </si>
  <si>
    <t>TACO</t>
  </si>
  <si>
    <t>Del Taco Restaurants</t>
  </si>
  <si>
    <t>DEPO</t>
  </si>
  <si>
    <t>Depomed</t>
  </si>
  <si>
    <t>CIO</t>
  </si>
  <si>
    <t>City Office Reit</t>
  </si>
  <si>
    <t>GTY</t>
  </si>
  <si>
    <t>Getty Realty Corp (holding Company)</t>
  </si>
  <si>
    <t>IPHS</t>
  </si>
  <si>
    <t>Innophos</t>
  </si>
  <si>
    <t>PEI</t>
  </si>
  <si>
    <t>Pennsylvania</t>
  </si>
  <si>
    <t>TTMI</t>
  </si>
  <si>
    <t>Ttm Technologies</t>
  </si>
  <si>
    <t>PNM</t>
  </si>
  <si>
    <t>Pnm Resources</t>
  </si>
  <si>
    <t>VCRA</t>
  </si>
  <si>
    <t>Vocera Communications</t>
  </si>
  <si>
    <t>AXL</t>
  </si>
  <si>
    <t>American Axle &amp; Manufacturing</t>
  </si>
  <si>
    <t>FF</t>
  </si>
  <si>
    <t>Futurefuel</t>
  </si>
  <si>
    <t>IRET</t>
  </si>
  <si>
    <t>Investors Real Estate Trust</t>
  </si>
  <si>
    <t>EGOV</t>
  </si>
  <si>
    <t>Nic</t>
  </si>
  <si>
    <t>CYS</t>
  </si>
  <si>
    <t>Cys Investments</t>
  </si>
  <si>
    <t>SWX</t>
  </si>
  <si>
    <t>Southwest Gas</t>
  </si>
  <si>
    <t>FARM</t>
  </si>
  <si>
    <t>Farmer Brothers</t>
  </si>
  <si>
    <t>MLI</t>
  </si>
  <si>
    <t>Mueller Industries</t>
  </si>
  <si>
    <t>KE</t>
  </si>
  <si>
    <t>Kimball Electronics</t>
  </si>
  <si>
    <t>TTEC</t>
  </si>
  <si>
    <t>Ttec</t>
  </si>
  <si>
    <t>USLM</t>
  </si>
  <si>
    <t>Us Lime &amp; Minerals</t>
  </si>
  <si>
    <t>BMCH</t>
  </si>
  <si>
    <t>Bmc</t>
  </si>
  <si>
    <t>WSR</t>
  </si>
  <si>
    <t>Whitestone Reit</t>
  </si>
  <si>
    <t>YORW</t>
  </si>
  <si>
    <t>York Water</t>
  </si>
  <si>
    <t>SIR</t>
  </si>
  <si>
    <t>Select Income Reit</t>
  </si>
  <si>
    <t>AKR</t>
  </si>
  <si>
    <t>Acadia Realty Trust</t>
  </si>
  <si>
    <t>PHX</t>
  </si>
  <si>
    <t>Panhandle Oil And Gas</t>
  </si>
  <si>
    <t>UMH</t>
  </si>
  <si>
    <t>Umh Properties</t>
  </si>
  <si>
    <t>DOOR</t>
  </si>
  <si>
    <t>Masonite International</t>
  </si>
  <si>
    <t>CIVI</t>
  </si>
  <si>
    <t>Civitas Solutions</t>
  </si>
  <si>
    <t>SRG</t>
  </si>
  <si>
    <t>Seritage Growth Properties</t>
  </si>
  <si>
    <t>CTRE</t>
  </si>
  <si>
    <t>Caretrust Reit</t>
  </si>
  <si>
    <t>OMER</t>
  </si>
  <si>
    <t>Omeros</t>
  </si>
  <si>
    <t>AFI</t>
  </si>
  <si>
    <t>Armstrong Flooring</t>
  </si>
  <si>
    <t>SNX</t>
  </si>
  <si>
    <t>Synnex</t>
  </si>
  <si>
    <t>SBGI</t>
  </si>
  <si>
    <t>Sinclair Broadcast</t>
  </si>
  <si>
    <t>ESL</t>
  </si>
  <si>
    <t>Esterline Technologies</t>
  </si>
  <si>
    <t>CBB</t>
  </si>
  <si>
    <t>Cincinnati Bell</t>
  </si>
  <si>
    <t>INN</t>
  </si>
  <si>
    <t>Summit Hotel Properties</t>
  </si>
  <si>
    <t>AMBA</t>
  </si>
  <si>
    <t>Ambarella</t>
  </si>
  <si>
    <t>LRN</t>
  </si>
  <si>
    <t>K12</t>
  </si>
  <si>
    <t>PHH</t>
  </si>
  <si>
    <t>Phh</t>
  </si>
  <si>
    <t>ETH</t>
  </si>
  <si>
    <t>Ethan Allen Interiors</t>
  </si>
  <si>
    <t>GIFI</t>
  </si>
  <si>
    <t>Gulf Island Fabrication</t>
  </si>
  <si>
    <t>MPO</t>
  </si>
  <si>
    <t>Midstates Petroleum</t>
  </si>
  <si>
    <t>AI</t>
  </si>
  <si>
    <t>Arlington Asset Investment</t>
  </si>
  <si>
    <t>LTC</t>
  </si>
  <si>
    <t>Ltc Properties</t>
  </si>
  <si>
    <t>BSTC</t>
  </si>
  <si>
    <t>Biospecifics Technologies</t>
  </si>
  <si>
    <t>FRO</t>
  </si>
  <si>
    <t>Frontline</t>
  </si>
  <si>
    <t>HVT</t>
  </si>
  <si>
    <t>Haverty Furniture Companies</t>
  </si>
  <si>
    <t>ZYNE</t>
  </si>
  <si>
    <t>Zynerba Pharmaceuticals</t>
  </si>
  <si>
    <t>FIT</t>
  </si>
  <si>
    <t>Fitbit</t>
  </si>
  <si>
    <t>KN</t>
  </si>
  <si>
    <t>Knowles</t>
  </si>
  <si>
    <t>GOV</t>
  </si>
  <si>
    <t>Government Properties Income Trust</t>
  </si>
  <si>
    <t>TGI</t>
  </si>
  <si>
    <t>Triumph</t>
  </si>
  <si>
    <t>MPAA</t>
  </si>
  <si>
    <t>Motorcar Parts Of America</t>
  </si>
  <si>
    <t>PCRX</t>
  </si>
  <si>
    <t>Pacira Pharmaceuticals</t>
  </si>
  <si>
    <t>TAX</t>
  </si>
  <si>
    <t>Liberty Tax</t>
  </si>
  <si>
    <t>AXE</t>
  </si>
  <si>
    <t>Anixter International</t>
  </si>
  <si>
    <t>NYNY</t>
  </si>
  <si>
    <t>Empire Resorts</t>
  </si>
  <si>
    <t>CIR</t>
  </si>
  <si>
    <t>Circor International</t>
  </si>
  <si>
    <t>EHTH</t>
  </si>
  <si>
    <t>Ehealth</t>
  </si>
  <si>
    <t>HL</t>
  </si>
  <si>
    <t>Hecla Mining</t>
  </si>
  <si>
    <t>Platinum &amp; Precious Metals</t>
  </si>
  <si>
    <t>ARDX</t>
  </si>
  <si>
    <t>Ardelyx</t>
  </si>
  <si>
    <t>MGEN</t>
  </si>
  <si>
    <t>Miragen Therapeutics</t>
  </si>
  <si>
    <t>OXFD</t>
  </si>
  <si>
    <t>Oxford Immunotec Global</t>
  </si>
  <si>
    <t>SANM</t>
  </si>
  <si>
    <t>Sanmina</t>
  </si>
  <si>
    <t>OSIS</t>
  </si>
  <si>
    <t>Osi Systems</t>
  </si>
  <si>
    <t>BGG</t>
  </si>
  <si>
    <t>Briggs &amp; Stratton</t>
  </si>
  <si>
    <t>PLUG</t>
  </si>
  <si>
    <t>Plug Power</t>
  </si>
  <si>
    <t>RMTI</t>
  </si>
  <si>
    <t>Rockwell Medical</t>
  </si>
  <si>
    <t>BGS</t>
  </si>
  <si>
    <t>B&amp;g Foods</t>
  </si>
  <si>
    <t>NNBR</t>
  </si>
  <si>
    <t>Nn</t>
  </si>
  <si>
    <t>SD</t>
  </si>
  <si>
    <t>Sandridge Energy</t>
  </si>
  <si>
    <t>ITI</t>
  </si>
  <si>
    <t>Iteris</t>
  </si>
  <si>
    <t>SYNH</t>
  </si>
  <si>
    <t>Syneos Health</t>
  </si>
  <si>
    <t>MATW</t>
  </si>
  <si>
    <t>Matthews International</t>
  </si>
  <si>
    <t>RESI</t>
  </si>
  <si>
    <t>Front Yard Residential</t>
  </si>
  <si>
    <t>HIVE</t>
  </si>
  <si>
    <t>Aerohive Networks</t>
  </si>
  <si>
    <t>VCYT</t>
  </si>
  <si>
    <t>Veracyte</t>
  </si>
  <si>
    <t>DMRC</t>
  </si>
  <si>
    <t>Digimarc</t>
  </si>
  <si>
    <t>SN</t>
  </si>
  <si>
    <t>Sanchez Energy</t>
  </si>
  <si>
    <t>LBY</t>
  </si>
  <si>
    <t>Libbey</t>
  </si>
  <si>
    <t>FLNT</t>
  </si>
  <si>
    <t>Fluent</t>
  </si>
  <si>
    <t>FLXS</t>
  </si>
  <si>
    <t>Flexsteel Industries</t>
  </si>
  <si>
    <t>SPTN</t>
  </si>
  <si>
    <t>Spartannash</t>
  </si>
  <si>
    <t>GEOS</t>
  </si>
  <si>
    <t>Geospace Technologies</t>
  </si>
  <si>
    <t>EFII</t>
  </si>
  <si>
    <t>Electronics For Imaging</t>
  </si>
  <si>
    <t>CDR</t>
  </si>
  <si>
    <t>Cedar Realty Trust</t>
  </si>
  <si>
    <t>DSKE</t>
  </si>
  <si>
    <t>Daseke</t>
  </si>
  <si>
    <t>Equity Investment Instruments</t>
  </si>
  <si>
    <t>Equity Investments</t>
  </si>
  <si>
    <t>CEVA</t>
  </si>
  <si>
    <t>Ceva</t>
  </si>
  <si>
    <t>HRG</t>
  </si>
  <si>
    <t>Hrg</t>
  </si>
  <si>
    <t>ECR</t>
  </si>
  <si>
    <t>Eclipse Resources</t>
  </si>
  <si>
    <t>CLPR</t>
  </si>
  <si>
    <t>Clipper Realty</t>
  </si>
  <si>
    <t>CSU</t>
  </si>
  <si>
    <t>Capital Senior Living</t>
  </si>
  <si>
    <t>BRG</t>
  </si>
  <si>
    <t>Bluerock Residential Growth Reit</t>
  </si>
  <si>
    <t>CRVS</t>
  </si>
  <si>
    <t>Corvus Pharmaceuticals</t>
  </si>
  <si>
    <t>CVGI</t>
  </si>
  <si>
    <t>Commercial Vehicle</t>
  </si>
  <si>
    <t>VOXX</t>
  </si>
  <si>
    <t>Voxx International</t>
  </si>
  <si>
    <t>HK</t>
  </si>
  <si>
    <t>Halcon Resources</t>
  </si>
  <si>
    <t>RLGT</t>
  </si>
  <si>
    <t>Radiant Logistics</t>
  </si>
  <si>
    <t>PDFS</t>
  </si>
  <si>
    <t>Pdf Solutions</t>
  </si>
  <si>
    <t>YRCW</t>
  </si>
  <si>
    <t>Yrc Worldwide</t>
  </si>
  <si>
    <t>NVTA</t>
  </si>
  <si>
    <t>Invitae</t>
  </si>
  <si>
    <t>PTLA</t>
  </si>
  <si>
    <t>Portola Pharmaceuticals</t>
  </si>
  <si>
    <t>HBP</t>
  </si>
  <si>
    <t>Huttig Building Products</t>
  </si>
  <si>
    <t>SHLO</t>
  </si>
  <si>
    <t>Shiloh Industries</t>
  </si>
  <si>
    <t>BELFB</t>
  </si>
  <si>
    <t>Bel Fuse</t>
  </si>
  <si>
    <t>CLI</t>
  </si>
  <si>
    <t>Mack-cali Realty</t>
  </si>
  <si>
    <t>IRBT</t>
  </si>
  <si>
    <t>Irobot</t>
  </si>
  <si>
    <t>PBH</t>
  </si>
  <si>
    <t>Prestige Brands</t>
  </si>
  <si>
    <t>LCI</t>
  </si>
  <si>
    <t>Lannett</t>
  </si>
  <si>
    <t>ATEN</t>
  </si>
  <si>
    <t>A10 Networks</t>
  </si>
  <si>
    <t>PXLW</t>
  </si>
  <si>
    <t>Pixelworks</t>
  </si>
  <si>
    <t>INOV</t>
  </si>
  <si>
    <t>Inovalon</t>
  </si>
  <si>
    <t>ACRS</t>
  </si>
  <si>
    <t>Aclaris Therapeutics</t>
  </si>
  <si>
    <t>ZIOP</t>
  </si>
  <si>
    <t>Ziopharm Oncology</t>
  </si>
  <si>
    <t>ANIK</t>
  </si>
  <si>
    <t>Anika Therapeutics</t>
  </si>
  <si>
    <t>SSP</t>
  </si>
  <si>
    <t>E.w. Scripps</t>
  </si>
  <si>
    <t>WIN</t>
  </si>
  <si>
    <t>Windstream</t>
  </si>
  <si>
    <t>ENZ</t>
  </si>
  <si>
    <t>Enzo Biochem</t>
  </si>
  <si>
    <t>PLSE</t>
  </si>
  <si>
    <t>Pulse Biosciences</t>
  </si>
  <si>
    <t>LXRX</t>
  </si>
  <si>
    <t>Lexicon Pharmaceuticals</t>
  </si>
  <si>
    <t>IMH</t>
  </si>
  <si>
    <t>Impac Mortgage</t>
  </si>
  <si>
    <t>LC</t>
  </si>
  <si>
    <t>Lendingclub</t>
  </si>
  <si>
    <t>NTRI</t>
  </si>
  <si>
    <t>Nutrisystem</t>
  </si>
  <si>
    <t>AKBA</t>
  </si>
  <si>
    <t>Akebia Therapeutics</t>
  </si>
  <si>
    <t>VBIV</t>
  </si>
  <si>
    <t>Vbi Vaccines</t>
  </si>
  <si>
    <t>GST</t>
  </si>
  <si>
    <t>Gastar Exploration</t>
  </si>
  <si>
    <t>CLW</t>
  </si>
  <si>
    <t>Clearwater Paper</t>
  </si>
  <si>
    <t>CNAT</t>
  </si>
  <si>
    <t>Conatus Pharmaceuticals</t>
  </si>
  <si>
    <t>CBL</t>
  </si>
  <si>
    <t>Cbl &amp; Associates Properties</t>
  </si>
  <si>
    <t>CYTK</t>
  </si>
  <si>
    <t>Cytokinetics</t>
  </si>
  <si>
    <t>PACB</t>
  </si>
  <si>
    <t>Pacific Biosciences Of California</t>
  </si>
  <si>
    <t>CLVS</t>
  </si>
  <si>
    <t>Clovis Oncology</t>
  </si>
  <si>
    <t>AKTS</t>
  </si>
  <si>
    <t>Akoustis Technologies</t>
  </si>
  <si>
    <t>MEET</t>
  </si>
  <si>
    <t>The Meet</t>
  </si>
  <si>
    <t>SYRS</t>
  </si>
  <si>
    <t>Syros Pharmaceuticals</t>
  </si>
  <si>
    <t>BW</t>
  </si>
  <si>
    <t>Babcock &amp; Wilcox Enterprises</t>
  </si>
  <si>
    <t>INSY</t>
  </si>
  <si>
    <t>Insys Therapeutics</t>
  </si>
  <si>
    <t>AOBC</t>
  </si>
  <si>
    <t>American Outdoor Brands</t>
  </si>
  <si>
    <t>FNSR</t>
  </si>
  <si>
    <t>Finisar</t>
  </si>
  <si>
    <t>GPRO</t>
  </si>
  <si>
    <t>Gopro</t>
  </si>
  <si>
    <t>SVU</t>
  </si>
  <si>
    <t>Supervalu</t>
  </si>
  <si>
    <t>TTPH</t>
  </si>
  <si>
    <t>Tetraphase Pharmaceuticals</t>
  </si>
  <si>
    <t>OMI</t>
  </si>
  <si>
    <t>Owens &amp; Minor</t>
  </si>
  <si>
    <t>DF</t>
  </si>
  <si>
    <t>Dean Foods</t>
  </si>
  <si>
    <t>UEIC</t>
  </si>
  <si>
    <t>Universal Electronics</t>
  </si>
  <si>
    <t>KLDX</t>
  </si>
  <si>
    <t>Klondex Mines</t>
  </si>
  <si>
    <t>CECE</t>
  </si>
  <si>
    <t>Ceco Environmental</t>
  </si>
  <si>
    <t>SPKE</t>
  </si>
  <si>
    <t>Spark Energy</t>
  </si>
  <si>
    <t>MDXG</t>
  </si>
  <si>
    <t>Mimedx</t>
  </si>
  <si>
    <t>JILL</t>
  </si>
  <si>
    <t>J.jill</t>
  </si>
  <si>
    <t>BPI</t>
  </si>
  <si>
    <t>Bridgepoint Education</t>
  </si>
  <si>
    <t>AVXL</t>
  </si>
  <si>
    <t>Anavex Life Sciences</t>
  </si>
  <si>
    <t>FPRX</t>
  </si>
  <si>
    <t>Five Prime Therapeutics</t>
  </si>
  <si>
    <t>BKS</t>
  </si>
  <si>
    <t>Barnes &amp; Noble</t>
  </si>
  <si>
    <t>ODP</t>
  </si>
  <si>
    <t>Office Depot</t>
  </si>
  <si>
    <t>PEIX</t>
  </si>
  <si>
    <t>Pacific Ethanol</t>
  </si>
  <si>
    <t>NM</t>
  </si>
  <si>
    <t>Navios Maritime</t>
  </si>
  <si>
    <t>PI</t>
  </si>
  <si>
    <t>Impinj</t>
  </si>
  <si>
    <t>DERM</t>
  </si>
  <si>
    <t>Dermira</t>
  </si>
  <si>
    <t>CSTE</t>
  </si>
  <si>
    <t>Caesarstone</t>
  </si>
  <si>
    <t>BAS</t>
  </si>
  <si>
    <t>Basic Energy Services</t>
  </si>
  <si>
    <t>HZN</t>
  </si>
  <si>
    <t>Horizon Global</t>
  </si>
  <si>
    <t>MTSI</t>
  </si>
  <si>
    <t>Macom Technology Solutions</t>
  </si>
  <si>
    <t>GNC</t>
  </si>
  <si>
    <t>Gnc</t>
  </si>
  <si>
    <t>BLCM</t>
  </si>
  <si>
    <t>Bellicum Pharmaceuticals</t>
  </si>
  <si>
    <t>AAOI</t>
  </si>
  <si>
    <t>Applied Optoelectronics</t>
  </si>
  <si>
    <t>TTS</t>
  </si>
  <si>
    <t>Tile Shop</t>
  </si>
  <si>
    <t>SHLD</t>
  </si>
  <si>
    <t>Sears</t>
  </si>
  <si>
    <t>FRAN</t>
  </si>
  <si>
    <t>Francesca's</t>
  </si>
  <si>
    <t>GSAT</t>
  </si>
  <si>
    <t>Globalstar</t>
  </si>
  <si>
    <t>STNG</t>
  </si>
  <si>
    <t>Scorpio Tankers</t>
  </si>
  <si>
    <t>RARX</t>
  </si>
  <si>
    <t>Ra Pharmaceuticals</t>
  </si>
  <si>
    <t>SGYP</t>
  </si>
  <si>
    <t>Synergy Pharmaceuticals</t>
  </si>
  <si>
    <t>MACK</t>
  </si>
  <si>
    <t>Merrimack Pharmaceuticals</t>
  </si>
  <si>
    <t>OTIC</t>
  </si>
  <si>
    <t>Otonomy</t>
  </si>
  <si>
    <t>PRTA</t>
  </si>
  <si>
    <t>Prothena</t>
  </si>
  <si>
    <t>NLNK</t>
  </si>
  <si>
    <t>Newlink Genetics</t>
  </si>
  <si>
    <t>FTD</t>
  </si>
  <si>
    <t>Ftd Companies</t>
  </si>
  <si>
    <t>UPL</t>
  </si>
  <si>
    <t>Ultra Petroleum</t>
  </si>
  <si>
    <t>AQMS</t>
  </si>
  <si>
    <t>Aqua Metals</t>
  </si>
  <si>
    <t>NAT</t>
  </si>
  <si>
    <t>Nordic American Tankers</t>
  </si>
  <si>
    <t>ADXS</t>
  </si>
  <si>
    <t>Advaxis</t>
  </si>
  <si>
    <t>AXON</t>
  </si>
  <si>
    <t>Axovant Sciences</t>
  </si>
  <si>
    <t>RETRACEMENT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</si>
</sst>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14"/>
  <sheetViews>
    <sheetView tabSelected="1" workbookViewId="0">
      <selection sqref="A1:A1048576"/>
    </sheetView>
  </sheetViews>
  <sheetFormatPr defaultRowHeight="15" x14ac:dyDescent="0.25"/>
  <cols>
    <col min="2" max="2" width="37.140625" bestFit="1" customWidth="1"/>
    <col min="3" max="3" width="19.7109375" bestFit="1" customWidth="1"/>
    <col min="4" max="4" width="36.7109375" bestFit="1" customWidth="1"/>
    <col min="5" max="5" width="39.28515625" bestFit="1" customWidth="1"/>
    <col min="6" max="6" width="10.42578125" bestFit="1" customWidth="1"/>
    <col min="7" max="7" width="7" bestFit="1" customWidth="1"/>
    <col min="8" max="8" width="12.7109375" bestFit="1" customWidth="1"/>
    <col min="9" max="9" width="7.7109375" bestFit="1" customWidth="1"/>
    <col min="10" max="10" width="18" bestFit="1" customWidth="1"/>
    <col min="11" max="11" width="12.7109375" bestFit="1" customWidth="1"/>
    <col min="12" max="12" width="12.28515625" bestFit="1" customWidth="1"/>
    <col min="13" max="13" width="5" bestFit="1" customWidth="1"/>
    <col min="14" max="14" width="12.42578125" bestFit="1" customWidth="1"/>
    <col min="15" max="15" width="11.5703125" bestFit="1" customWidth="1"/>
    <col min="16" max="16" width="8.140625" bestFit="1" customWidth="1"/>
    <col min="17" max="17" width="10.7109375" bestFit="1" customWidth="1"/>
    <col min="18" max="18" width="12.5703125" bestFit="1" customWidth="1"/>
    <col min="19" max="19" width="13.7109375" bestFit="1" customWidth="1"/>
    <col min="20" max="20" width="15.140625" bestFit="1" customWidth="1"/>
    <col min="21" max="21" width="16.140625" bestFit="1" customWidth="1"/>
  </cols>
  <sheetData>
    <row r="1" spans="1:21" x14ac:dyDescent="0.25">
      <c r="A1" t="s">
        <v>0</v>
      </c>
      <c r="B1" t="s">
        <v>1</v>
      </c>
      <c r="C1" t="s">
        <v>4</v>
      </c>
      <c r="D1" t="s">
        <v>3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3994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x14ac:dyDescent="0.25">
      <c r="A2" t="s">
        <v>21</v>
      </c>
      <c r="B2" t="s">
        <v>22</v>
      </c>
      <c r="C2" t="s">
        <v>23</v>
      </c>
      <c r="D2" t="s">
        <v>24</v>
      </c>
      <c r="E2" t="s">
        <v>25</v>
      </c>
      <c r="F2" t="str">
        <f t="shared" ref="F2:F65" si="0">"2018-05-20"</f>
        <v>2018-05-20</v>
      </c>
      <c r="G2">
        <v>62.05</v>
      </c>
      <c r="H2" t="str">
        <f>"2016-06-08"</f>
        <v>2016-06-08</v>
      </c>
      <c r="I2" t="s">
        <v>26</v>
      </c>
      <c r="J2" t="str">
        <f>"2016-03-14"</f>
        <v>2016-03-14</v>
      </c>
      <c r="K2" t="s">
        <v>27</v>
      </c>
      <c r="L2">
        <v>3</v>
      </c>
      <c r="M2">
        <v>1</v>
      </c>
      <c r="N2" s="1">
        <v>5.0068000000000001</v>
      </c>
      <c r="O2" s="1">
        <v>11.9002</v>
      </c>
      <c r="P2" s="1">
        <v>0</v>
      </c>
      <c r="Q2" s="1">
        <v>2.9899999999999999E-2</v>
      </c>
      <c r="R2" s="1">
        <v>4.6399999999999997E-2</v>
      </c>
      <c r="S2" s="1">
        <v>0.2361</v>
      </c>
      <c r="T2" s="1">
        <v>0.31180000000000002</v>
      </c>
      <c r="U2" s="1">
        <v>1.5853999999999999</v>
      </c>
    </row>
    <row r="3" spans="1:21" x14ac:dyDescent="0.25">
      <c r="A3" t="s">
        <v>28</v>
      </c>
      <c r="B3" t="s">
        <v>29</v>
      </c>
      <c r="C3" t="s">
        <v>30</v>
      </c>
      <c r="D3" t="s">
        <v>31</v>
      </c>
      <c r="E3" t="s">
        <v>31</v>
      </c>
      <c r="F3" t="str">
        <f t="shared" si="0"/>
        <v>2018-05-20</v>
      </c>
      <c r="G3">
        <v>9.25</v>
      </c>
      <c r="H3" t="str">
        <f>"2012-03-01"</f>
        <v>2012-03-01</v>
      </c>
      <c r="I3" t="s">
        <v>26</v>
      </c>
      <c r="J3" t="str">
        <f>"2012-01-19"</f>
        <v>2012-01-19</v>
      </c>
      <c r="K3" t="s">
        <v>27</v>
      </c>
      <c r="L3">
        <v>3</v>
      </c>
      <c r="M3">
        <v>2</v>
      </c>
      <c r="N3" s="1">
        <v>5.3356000000000003</v>
      </c>
      <c r="O3" s="1">
        <v>7.9805999999999999</v>
      </c>
      <c r="P3" s="1">
        <v>0</v>
      </c>
      <c r="Q3" s="1">
        <v>2.7799999999999998E-2</v>
      </c>
      <c r="R3" s="1">
        <v>6.3200000000000006E-2</v>
      </c>
      <c r="S3" s="1">
        <v>3.3500000000000002E-2</v>
      </c>
      <c r="T3" s="1">
        <v>0.10780000000000001</v>
      </c>
      <c r="U3" s="1">
        <v>0.128</v>
      </c>
    </row>
    <row r="4" spans="1:21" x14ac:dyDescent="0.25">
      <c r="A4" t="s">
        <v>32</v>
      </c>
      <c r="B4" t="s">
        <v>33</v>
      </c>
      <c r="C4" t="s">
        <v>30</v>
      </c>
      <c r="D4" t="s">
        <v>31</v>
      </c>
      <c r="E4" t="s">
        <v>31</v>
      </c>
      <c r="F4" t="str">
        <f t="shared" si="0"/>
        <v>2018-05-20</v>
      </c>
      <c r="G4">
        <v>42.69</v>
      </c>
      <c r="H4" t="str">
        <f>"2015-06-02"</f>
        <v>2015-06-02</v>
      </c>
      <c r="I4" t="s">
        <v>26</v>
      </c>
      <c r="J4" t="str">
        <f>"2013-10-22"</f>
        <v>2013-10-22</v>
      </c>
      <c r="K4" t="s">
        <v>34</v>
      </c>
      <c r="L4">
        <v>3</v>
      </c>
      <c r="M4">
        <v>3</v>
      </c>
      <c r="N4" s="1">
        <v>2.5329999999999999</v>
      </c>
      <c r="O4" s="1">
        <v>5.7183999999999999</v>
      </c>
      <c r="P4" s="1">
        <v>0</v>
      </c>
      <c r="Q4" s="1">
        <v>1.8100000000000002E-2</v>
      </c>
      <c r="R4" s="1">
        <v>6.7799999999999999E-2</v>
      </c>
      <c r="S4" s="1">
        <v>5.1200000000000002E-2</v>
      </c>
      <c r="T4" s="1">
        <v>4.6300000000000001E-2</v>
      </c>
      <c r="U4" s="1">
        <v>0.39739999999999998</v>
      </c>
    </row>
    <row r="5" spans="1:21" x14ac:dyDescent="0.25">
      <c r="A5" t="s">
        <v>35</v>
      </c>
      <c r="B5" t="s">
        <v>36</v>
      </c>
      <c r="C5" t="s">
        <v>37</v>
      </c>
      <c r="D5" t="s">
        <v>38</v>
      </c>
      <c r="E5" t="s">
        <v>39</v>
      </c>
      <c r="F5" t="str">
        <f t="shared" si="0"/>
        <v>2018-05-20</v>
      </c>
      <c r="G5">
        <v>21.2</v>
      </c>
      <c r="H5" t="str">
        <f>"2016-11-17"</f>
        <v>2016-11-17</v>
      </c>
      <c r="I5" t="s">
        <v>26</v>
      </c>
      <c r="J5" t="str">
        <f>"2016-10-17"</f>
        <v>2016-10-17</v>
      </c>
      <c r="K5" t="s">
        <v>40</v>
      </c>
      <c r="L5">
        <v>3</v>
      </c>
      <c r="M5">
        <v>4</v>
      </c>
      <c r="N5" s="1">
        <v>6.0667</v>
      </c>
      <c r="O5" s="1">
        <v>9.0473999999999997</v>
      </c>
      <c r="P5" s="1">
        <v>0</v>
      </c>
      <c r="Q5" s="1">
        <v>0.01</v>
      </c>
      <c r="R5" s="1">
        <v>0.1283</v>
      </c>
      <c r="S5" s="1">
        <v>0.3135</v>
      </c>
      <c r="T5" s="1">
        <v>0.2261</v>
      </c>
      <c r="U5" s="1">
        <v>1.8079000000000001</v>
      </c>
    </row>
    <row r="6" spans="1:21" x14ac:dyDescent="0.25">
      <c r="A6" t="s">
        <v>41</v>
      </c>
      <c r="B6" t="s">
        <v>42</v>
      </c>
      <c r="C6" t="s">
        <v>43</v>
      </c>
      <c r="D6" t="s">
        <v>44</v>
      </c>
      <c r="E6" t="s">
        <v>45</v>
      </c>
      <c r="F6" t="str">
        <f t="shared" si="0"/>
        <v>2018-05-20</v>
      </c>
      <c r="G6">
        <v>91.55</v>
      </c>
      <c r="H6" t="str">
        <f>"2014-12-07"</f>
        <v>2014-12-07</v>
      </c>
      <c r="I6" t="s">
        <v>26</v>
      </c>
      <c r="J6" t="str">
        <f>"2014-10-30"</f>
        <v>2014-10-30</v>
      </c>
      <c r="K6" t="s">
        <v>27</v>
      </c>
      <c r="L6">
        <v>3</v>
      </c>
      <c r="M6">
        <v>5</v>
      </c>
      <c r="N6" s="1">
        <v>4.4139999999999997</v>
      </c>
      <c r="O6" s="1">
        <v>5.7415000000000003</v>
      </c>
      <c r="P6" s="1">
        <v>0</v>
      </c>
      <c r="Q6" s="1">
        <v>1.2200000000000001E-2</v>
      </c>
      <c r="R6" s="1">
        <v>5.3499999999999999E-2</v>
      </c>
      <c r="S6" s="1">
        <v>0.19520000000000001</v>
      </c>
      <c r="T6" s="1">
        <v>0.3695</v>
      </c>
      <c r="U6" s="1">
        <v>1.3626</v>
      </c>
    </row>
    <row r="7" spans="1:21" x14ac:dyDescent="0.25">
      <c r="A7" t="s">
        <v>46</v>
      </c>
      <c r="B7" t="s">
        <v>47</v>
      </c>
      <c r="C7" t="s">
        <v>30</v>
      </c>
      <c r="D7" t="s">
        <v>48</v>
      </c>
      <c r="E7" t="s">
        <v>49</v>
      </c>
      <c r="F7" t="str">
        <f t="shared" si="0"/>
        <v>2018-05-20</v>
      </c>
      <c r="G7">
        <v>35</v>
      </c>
      <c r="H7" t="str">
        <f>"2016-07-31"</f>
        <v>2016-07-31</v>
      </c>
      <c r="I7" t="s">
        <v>26</v>
      </c>
      <c r="J7" t="str">
        <f>"2016-07-17"</f>
        <v>2016-07-17</v>
      </c>
      <c r="K7" t="s">
        <v>27</v>
      </c>
      <c r="L7">
        <v>3</v>
      </c>
      <c r="M7">
        <v>6</v>
      </c>
      <c r="N7" s="1">
        <v>2.8504</v>
      </c>
      <c r="O7" s="1">
        <v>6.0423</v>
      </c>
      <c r="P7" s="1">
        <v>0</v>
      </c>
      <c r="Q7" s="1">
        <v>3.2399999999999998E-2</v>
      </c>
      <c r="R7" s="1">
        <v>7.6899999999999996E-2</v>
      </c>
      <c r="S7" s="1">
        <v>0.55900000000000005</v>
      </c>
      <c r="T7" s="1">
        <v>0.55210000000000004</v>
      </c>
      <c r="U7" s="1">
        <v>1.6415</v>
      </c>
    </row>
    <row r="8" spans="1:21" x14ac:dyDescent="0.25">
      <c r="A8" t="s">
        <v>50</v>
      </c>
      <c r="B8" t="s">
        <v>51</v>
      </c>
      <c r="C8" t="s">
        <v>23</v>
      </c>
      <c r="D8" t="s">
        <v>52</v>
      </c>
      <c r="E8" t="s">
        <v>53</v>
      </c>
      <c r="F8" t="str">
        <f t="shared" si="0"/>
        <v>2018-05-20</v>
      </c>
      <c r="G8">
        <v>26.29</v>
      </c>
      <c r="H8" t="str">
        <f>"2016-08-15"</f>
        <v>2016-08-15</v>
      </c>
      <c r="I8" t="s">
        <v>26</v>
      </c>
      <c r="J8" t="str">
        <f>"2016-07-11"</f>
        <v>2016-07-11</v>
      </c>
      <c r="K8" t="s">
        <v>27</v>
      </c>
      <c r="L8">
        <v>3</v>
      </c>
      <c r="M8">
        <v>7</v>
      </c>
      <c r="N8" s="1">
        <v>2.7827000000000002</v>
      </c>
      <c r="O8" s="1">
        <v>6.5763999999999996</v>
      </c>
      <c r="P8" s="1">
        <v>-4.0000000000000002E-4</v>
      </c>
      <c r="Q8" s="1">
        <v>-4.0000000000000002E-4</v>
      </c>
      <c r="R8" s="1">
        <v>6.7400000000000002E-2</v>
      </c>
      <c r="S8" s="1">
        <v>0.18049999999999999</v>
      </c>
      <c r="T8" s="1">
        <v>0.30209999999999998</v>
      </c>
      <c r="U8" s="1">
        <v>1.1780999999999999</v>
      </c>
    </row>
    <row r="9" spans="1:21" x14ac:dyDescent="0.25">
      <c r="A9" t="s">
        <v>54</v>
      </c>
      <c r="B9" t="s">
        <v>55</v>
      </c>
      <c r="C9" t="s">
        <v>23</v>
      </c>
      <c r="D9" t="s">
        <v>52</v>
      </c>
      <c r="E9" t="s">
        <v>56</v>
      </c>
      <c r="F9" t="str">
        <f t="shared" si="0"/>
        <v>2018-05-20</v>
      </c>
      <c r="G9">
        <v>14.44</v>
      </c>
      <c r="H9" t="str">
        <f>"2016-04-06"</f>
        <v>2016-04-06</v>
      </c>
      <c r="I9" t="s">
        <v>26</v>
      </c>
      <c r="J9" t="str">
        <f>"2015-12-07"</f>
        <v>2015-12-07</v>
      </c>
      <c r="K9" t="s">
        <v>57</v>
      </c>
      <c r="L9">
        <v>3</v>
      </c>
      <c r="M9">
        <v>8</v>
      </c>
      <c r="N9" s="1">
        <v>2.1255000000000002</v>
      </c>
      <c r="O9" s="1">
        <v>5.1974</v>
      </c>
      <c r="P9" s="1">
        <v>-4.7999999999999996E-3</v>
      </c>
      <c r="Q9" s="1">
        <v>6.9999999999999999E-4</v>
      </c>
      <c r="R9" s="1">
        <v>3.2199999999999999E-2</v>
      </c>
      <c r="S9" s="1">
        <v>8.8999999999999996E-2</v>
      </c>
      <c r="T9" s="1">
        <v>5.4800000000000001E-2</v>
      </c>
      <c r="U9" s="1">
        <v>0.51519999999999999</v>
      </c>
    </row>
    <row r="10" spans="1:21" x14ac:dyDescent="0.25">
      <c r="A10" t="s">
        <v>58</v>
      </c>
      <c r="B10" t="s">
        <v>59</v>
      </c>
      <c r="C10" t="s">
        <v>30</v>
      </c>
      <c r="D10" t="s">
        <v>31</v>
      </c>
      <c r="E10" t="s">
        <v>31</v>
      </c>
      <c r="F10" t="str">
        <f t="shared" si="0"/>
        <v>2018-05-20</v>
      </c>
      <c r="G10">
        <v>47.25</v>
      </c>
      <c r="H10" t="str">
        <f>"2012-02-23"</f>
        <v>2012-02-23</v>
      </c>
      <c r="I10" t="s">
        <v>26</v>
      </c>
      <c r="J10" t="str">
        <f>"2011-10-02"</f>
        <v>2011-10-02</v>
      </c>
      <c r="K10" t="s">
        <v>40</v>
      </c>
      <c r="L10">
        <v>3</v>
      </c>
      <c r="M10">
        <v>9</v>
      </c>
      <c r="N10" s="1">
        <v>6.1199000000000003</v>
      </c>
      <c r="O10" s="1">
        <v>8.1476000000000006</v>
      </c>
      <c r="P10" s="1">
        <v>-5.3E-3</v>
      </c>
      <c r="Q10" s="1">
        <v>2.0999999999999999E-3</v>
      </c>
      <c r="R10" s="1">
        <v>4.3E-3</v>
      </c>
      <c r="S10" s="1">
        <v>-1.1000000000000001E-3</v>
      </c>
      <c r="T10" s="1">
        <v>8.6199999999999999E-2</v>
      </c>
      <c r="U10" s="1">
        <v>0.34810000000000002</v>
      </c>
    </row>
    <row r="11" spans="1:21" x14ac:dyDescent="0.25">
      <c r="A11" t="s">
        <v>60</v>
      </c>
      <c r="B11" t="s">
        <v>61</v>
      </c>
      <c r="C11" t="s">
        <v>37</v>
      </c>
      <c r="D11" t="s">
        <v>38</v>
      </c>
      <c r="E11" t="s">
        <v>39</v>
      </c>
      <c r="F11" t="str">
        <f t="shared" si="0"/>
        <v>2018-05-20</v>
      </c>
      <c r="G11">
        <v>169.04</v>
      </c>
      <c r="H11" t="str">
        <f>"2016-05-09"</f>
        <v>2016-05-09</v>
      </c>
      <c r="I11" t="s">
        <v>26</v>
      </c>
      <c r="J11" t="str">
        <f>"2016-02-10"</f>
        <v>2016-02-10</v>
      </c>
      <c r="K11" t="s">
        <v>40</v>
      </c>
      <c r="L11">
        <v>3</v>
      </c>
      <c r="M11">
        <v>10</v>
      </c>
      <c r="N11" s="1">
        <v>6.1295000000000002</v>
      </c>
      <c r="O11" s="1">
        <v>8.7881</v>
      </c>
      <c r="P11" s="1">
        <v>-8.2000000000000007E-3</v>
      </c>
      <c r="Q11" s="1">
        <v>-8.2000000000000007E-3</v>
      </c>
      <c r="R11" s="1">
        <v>0.24329999999999999</v>
      </c>
      <c r="S11" s="1">
        <v>0.27039999999999997</v>
      </c>
      <c r="T11" s="1">
        <v>0.50070000000000003</v>
      </c>
      <c r="U11" s="1">
        <v>2.6469999999999998</v>
      </c>
    </row>
    <row r="12" spans="1:21" x14ac:dyDescent="0.25">
      <c r="A12" t="s">
        <v>62</v>
      </c>
      <c r="B12" t="s">
        <v>63</v>
      </c>
      <c r="C12" t="s">
        <v>30</v>
      </c>
      <c r="D12" t="s">
        <v>31</v>
      </c>
      <c r="E12" t="s">
        <v>31</v>
      </c>
      <c r="F12" t="str">
        <f t="shared" si="0"/>
        <v>2018-05-20</v>
      </c>
      <c r="G12">
        <v>48.4</v>
      </c>
      <c r="H12" t="str">
        <f>"2011-06-29"</f>
        <v>2011-06-29</v>
      </c>
      <c r="I12" t="s">
        <v>26</v>
      </c>
      <c r="J12" t="str">
        <f>"2011-04-21"</f>
        <v>2011-04-21</v>
      </c>
      <c r="K12" t="s">
        <v>27</v>
      </c>
      <c r="L12">
        <v>3</v>
      </c>
      <c r="M12">
        <v>11</v>
      </c>
      <c r="N12" s="1">
        <v>4.3598999999999997</v>
      </c>
      <c r="O12" s="1">
        <v>5.7222</v>
      </c>
      <c r="P12" s="1">
        <v>-1.43E-2</v>
      </c>
      <c r="Q12" s="1">
        <v>1.15E-2</v>
      </c>
      <c r="R12" s="1">
        <v>2.6499999999999999E-2</v>
      </c>
      <c r="S12" s="1">
        <v>1.89E-2</v>
      </c>
      <c r="T12" s="1">
        <v>7.3200000000000001E-2</v>
      </c>
      <c r="U12" s="1">
        <v>0.11650000000000001</v>
      </c>
    </row>
    <row r="13" spans="1:21" x14ac:dyDescent="0.25">
      <c r="A13" t="s">
        <v>64</v>
      </c>
      <c r="B13" t="s">
        <v>65</v>
      </c>
      <c r="C13" t="s">
        <v>37</v>
      </c>
      <c r="D13" t="s">
        <v>66</v>
      </c>
      <c r="E13" t="s">
        <v>67</v>
      </c>
      <c r="F13" t="str">
        <f t="shared" si="0"/>
        <v>2018-05-20</v>
      </c>
      <c r="G13">
        <v>43.9</v>
      </c>
      <c r="H13" t="str">
        <f>"2015-08-10"</f>
        <v>2015-08-10</v>
      </c>
      <c r="I13" t="s">
        <v>26</v>
      </c>
      <c r="J13" t="str">
        <f>"2015-06-30"</f>
        <v>2015-06-30</v>
      </c>
      <c r="K13" t="s">
        <v>40</v>
      </c>
      <c r="L13">
        <v>3</v>
      </c>
      <c r="M13">
        <v>12</v>
      </c>
      <c r="N13" s="1">
        <v>11.228400000000001</v>
      </c>
      <c r="O13" s="1">
        <v>12.9809</v>
      </c>
      <c r="P13" s="1">
        <v>-1.5699999999999999E-2</v>
      </c>
      <c r="Q13" s="1">
        <v>-1.1000000000000001E-3</v>
      </c>
      <c r="R13" s="1">
        <v>-1.01E-2</v>
      </c>
      <c r="S13" s="1">
        <v>0.13439999999999999</v>
      </c>
      <c r="T13" s="1">
        <v>0.48809999999999998</v>
      </c>
      <c r="U13" s="1">
        <v>1.8787</v>
      </c>
    </row>
    <row r="14" spans="1:21" x14ac:dyDescent="0.25">
      <c r="A14" t="s">
        <v>68</v>
      </c>
      <c r="B14" t="s">
        <v>69</v>
      </c>
      <c r="C14" t="s">
        <v>23</v>
      </c>
      <c r="D14" t="s">
        <v>52</v>
      </c>
      <c r="E14" t="s">
        <v>56</v>
      </c>
      <c r="F14" t="str">
        <f t="shared" si="0"/>
        <v>2018-05-20</v>
      </c>
      <c r="G14">
        <v>79.5</v>
      </c>
      <c r="H14" t="str">
        <f>"2017-02-05"</f>
        <v>2017-02-05</v>
      </c>
      <c r="I14" t="s">
        <v>26</v>
      </c>
      <c r="J14" t="str">
        <f>"2016-09-07"</f>
        <v>2016-09-07</v>
      </c>
      <c r="K14" t="s">
        <v>57</v>
      </c>
      <c r="L14">
        <v>3</v>
      </c>
      <c r="M14">
        <v>13</v>
      </c>
      <c r="N14" s="1">
        <v>5.4687000000000001</v>
      </c>
      <c r="O14" s="1">
        <v>7.2127999999999997</v>
      </c>
      <c r="P14" s="1">
        <v>-3.8699999999999998E-2</v>
      </c>
      <c r="Q14" s="1">
        <v>7.0000000000000001E-3</v>
      </c>
      <c r="R14" s="1">
        <v>9.4000000000000004E-3</v>
      </c>
      <c r="S14" s="1">
        <v>0.1249</v>
      </c>
      <c r="T14" s="1">
        <v>0.1094</v>
      </c>
      <c r="U14" s="1">
        <v>2.0825999999999998</v>
      </c>
    </row>
    <row r="15" spans="1:21" x14ac:dyDescent="0.25">
      <c r="A15" t="s">
        <v>70</v>
      </c>
      <c r="B15" t="s">
        <v>71</v>
      </c>
      <c r="C15" t="s">
        <v>37</v>
      </c>
      <c r="D15" t="s">
        <v>66</v>
      </c>
      <c r="E15" t="s">
        <v>72</v>
      </c>
      <c r="F15" t="str">
        <f t="shared" si="0"/>
        <v>2018-05-20</v>
      </c>
      <c r="G15">
        <v>177.06</v>
      </c>
      <c r="H15" t="str">
        <f>"2016-05-03"</f>
        <v>2016-05-03</v>
      </c>
      <c r="I15" t="s">
        <v>26</v>
      </c>
      <c r="J15" t="str">
        <f>"2015-11-25"</f>
        <v>2015-11-25</v>
      </c>
      <c r="K15" t="s">
        <v>40</v>
      </c>
      <c r="L15">
        <v>3</v>
      </c>
      <c r="M15">
        <v>14</v>
      </c>
      <c r="N15" s="1">
        <v>2.6179000000000001</v>
      </c>
      <c r="O15" s="1">
        <v>5.0061</v>
      </c>
      <c r="P15" s="1">
        <v>-5.7000000000000002E-2</v>
      </c>
      <c r="Q15" s="1">
        <v>-5.7000000000000002E-2</v>
      </c>
      <c r="R15" s="1">
        <v>-2.3E-2</v>
      </c>
      <c r="S15" s="1">
        <v>0.24460000000000001</v>
      </c>
      <c r="T15" s="1">
        <v>0.3291</v>
      </c>
      <c r="U15" s="1">
        <v>1.1071</v>
      </c>
    </row>
    <row r="16" spans="1:21" x14ac:dyDescent="0.25">
      <c r="A16" t="s">
        <v>73</v>
      </c>
      <c r="B16" t="s">
        <v>74</v>
      </c>
      <c r="C16" t="s">
        <v>30</v>
      </c>
      <c r="D16" t="s">
        <v>31</v>
      </c>
      <c r="E16" t="s">
        <v>31</v>
      </c>
      <c r="F16" t="str">
        <f t="shared" si="0"/>
        <v>2018-05-20</v>
      </c>
      <c r="G16">
        <v>32.049999999999997</v>
      </c>
      <c r="H16" t="str">
        <f>"2012-02-27"</f>
        <v>2012-02-27</v>
      </c>
      <c r="I16" t="s">
        <v>26</v>
      </c>
      <c r="J16" t="str">
        <f>"2011-10-23"</f>
        <v>2011-10-23</v>
      </c>
      <c r="K16" t="s">
        <v>57</v>
      </c>
      <c r="L16">
        <v>3</v>
      </c>
      <c r="M16">
        <v>15</v>
      </c>
      <c r="N16" s="1">
        <v>3.4626999999999999</v>
      </c>
      <c r="O16" s="1">
        <v>7.0674999999999999</v>
      </c>
      <c r="P16" s="1">
        <v>-5.8900000000000001E-2</v>
      </c>
      <c r="Q16" s="1">
        <v>9.4000000000000004E-3</v>
      </c>
      <c r="R16" s="1">
        <v>1.3899999999999999E-2</v>
      </c>
      <c r="S16" s="1">
        <v>1.3899999999999999E-2</v>
      </c>
      <c r="T16" s="1">
        <v>0.1125</v>
      </c>
      <c r="U16" s="1">
        <v>0.2848</v>
      </c>
    </row>
    <row r="17" spans="1:21" x14ac:dyDescent="0.25">
      <c r="A17" t="s">
        <v>75</v>
      </c>
      <c r="B17" t="s">
        <v>76</v>
      </c>
      <c r="C17" t="s">
        <v>30</v>
      </c>
      <c r="D17" t="s">
        <v>77</v>
      </c>
      <c r="E17" t="s">
        <v>78</v>
      </c>
      <c r="F17" t="str">
        <f t="shared" si="0"/>
        <v>2018-05-20</v>
      </c>
      <c r="G17">
        <v>76.8</v>
      </c>
      <c r="H17" t="str">
        <f>"2016-12-25"</f>
        <v>2016-12-25</v>
      </c>
      <c r="I17" t="s">
        <v>26</v>
      </c>
      <c r="J17" t="str">
        <f>"2015-12-14"</f>
        <v>2015-12-14</v>
      </c>
      <c r="K17" t="s">
        <v>34</v>
      </c>
      <c r="L17">
        <v>3</v>
      </c>
      <c r="M17">
        <v>16</v>
      </c>
      <c r="N17" s="1">
        <v>0.93940000000000001</v>
      </c>
      <c r="O17" s="1">
        <v>5.4592000000000001</v>
      </c>
      <c r="P17" s="1">
        <v>-6.5699999999999995E-2</v>
      </c>
      <c r="Q17" s="1">
        <v>-2.29E-2</v>
      </c>
      <c r="R17" s="1">
        <v>-1.8499999999999999E-2</v>
      </c>
      <c r="S17" s="1">
        <v>1.2500000000000001E-2</v>
      </c>
      <c r="T17" s="1">
        <v>0.2019</v>
      </c>
      <c r="U17" s="1">
        <v>0.57220000000000004</v>
      </c>
    </row>
    <row r="18" spans="1:21" x14ac:dyDescent="0.25">
      <c r="A18" t="s">
        <v>79</v>
      </c>
      <c r="B18" t="s">
        <v>80</v>
      </c>
      <c r="C18" t="s">
        <v>37</v>
      </c>
      <c r="D18" t="s">
        <v>38</v>
      </c>
      <c r="E18" t="s">
        <v>39</v>
      </c>
      <c r="F18" t="str">
        <f t="shared" si="0"/>
        <v>2018-05-20</v>
      </c>
      <c r="G18">
        <v>46.4</v>
      </c>
      <c r="H18" t="str">
        <f>"2016-09-28"</f>
        <v>2016-09-28</v>
      </c>
      <c r="I18" t="s">
        <v>26</v>
      </c>
      <c r="J18" t="str">
        <f>"2015-09-17"</f>
        <v>2015-09-17</v>
      </c>
      <c r="K18" t="s">
        <v>34</v>
      </c>
      <c r="L18">
        <v>3</v>
      </c>
      <c r="M18">
        <v>17</v>
      </c>
      <c r="N18" s="1">
        <v>2.2288999999999999</v>
      </c>
      <c r="O18" s="1">
        <v>5.3388</v>
      </c>
      <c r="P18" s="1">
        <v>-8.9300000000000004E-2</v>
      </c>
      <c r="Q18" s="1">
        <v>-4.7199999999999999E-2</v>
      </c>
      <c r="R18" s="1">
        <v>-6.1699999999999998E-2</v>
      </c>
      <c r="S18" s="1">
        <v>0.24560000000000001</v>
      </c>
      <c r="T18" s="1">
        <v>0.61809999999999998</v>
      </c>
      <c r="U18" s="1">
        <v>1.5634999999999999</v>
      </c>
    </row>
    <row r="19" spans="1:21" x14ac:dyDescent="0.25">
      <c r="A19" t="s">
        <v>81</v>
      </c>
      <c r="B19" t="s">
        <v>82</v>
      </c>
      <c r="C19" t="s">
        <v>83</v>
      </c>
      <c r="D19" t="s">
        <v>84</v>
      </c>
      <c r="E19" t="s">
        <v>84</v>
      </c>
      <c r="F19" t="str">
        <f t="shared" si="0"/>
        <v>2018-05-20</v>
      </c>
      <c r="G19">
        <v>14.73</v>
      </c>
      <c r="H19" t="str">
        <f>"2018-03-22"</f>
        <v>2018-03-22</v>
      </c>
      <c r="I19" t="s">
        <v>26</v>
      </c>
      <c r="J19" t="str">
        <f>"2018-03-04"</f>
        <v>2018-03-04</v>
      </c>
      <c r="K19" t="s">
        <v>27</v>
      </c>
      <c r="L19">
        <v>2.9742063500000002</v>
      </c>
      <c r="M19">
        <v>18</v>
      </c>
      <c r="N19" s="1">
        <v>2.2021999999999999</v>
      </c>
      <c r="O19" s="1">
        <v>4.8452000000000002</v>
      </c>
      <c r="P19" s="1">
        <v>0</v>
      </c>
      <c r="Q19" s="1">
        <v>4.3200000000000002E-2</v>
      </c>
      <c r="R19" s="1">
        <v>7.7499999999999999E-2</v>
      </c>
      <c r="S19" s="1">
        <v>0.58389999999999997</v>
      </c>
      <c r="T19" s="1">
        <v>3.1966000000000001</v>
      </c>
      <c r="U19" s="1">
        <v>3.7825000000000002</v>
      </c>
    </row>
    <row r="20" spans="1:21" x14ac:dyDescent="0.25">
      <c r="A20" t="s">
        <v>85</v>
      </c>
      <c r="B20" t="s">
        <v>86</v>
      </c>
      <c r="C20" t="s">
        <v>87</v>
      </c>
      <c r="D20" t="s">
        <v>88</v>
      </c>
      <c r="E20" t="s">
        <v>89</v>
      </c>
      <c r="F20" t="str">
        <f t="shared" si="0"/>
        <v>2018-05-20</v>
      </c>
      <c r="G20">
        <v>38.01</v>
      </c>
      <c r="H20" t="str">
        <f>"2017-11-22"</f>
        <v>2017-11-22</v>
      </c>
      <c r="I20" t="s">
        <v>26</v>
      </c>
      <c r="J20" t="str">
        <f>"2017-11-05"</f>
        <v>2017-11-05</v>
      </c>
      <c r="K20" t="s">
        <v>27</v>
      </c>
      <c r="L20">
        <v>2.96865443</v>
      </c>
      <c r="M20">
        <v>19</v>
      </c>
      <c r="N20" s="1">
        <v>1.5357000000000001</v>
      </c>
      <c r="O20" s="1">
        <v>4.8118999999999996</v>
      </c>
      <c r="P20" s="1">
        <v>0</v>
      </c>
      <c r="Q20" s="1">
        <v>5.79E-2</v>
      </c>
      <c r="R20" s="1">
        <v>6.8599999999999994E-2</v>
      </c>
      <c r="S20" s="1">
        <v>0.62780000000000002</v>
      </c>
      <c r="T20" s="1">
        <v>0.8901</v>
      </c>
      <c r="U20" s="1">
        <v>2.1309999999999998</v>
      </c>
    </row>
    <row r="21" spans="1:21" x14ac:dyDescent="0.25">
      <c r="A21" t="s">
        <v>90</v>
      </c>
      <c r="B21" t="s">
        <v>91</v>
      </c>
      <c r="C21" t="s">
        <v>23</v>
      </c>
      <c r="D21" t="s">
        <v>52</v>
      </c>
      <c r="E21" t="s">
        <v>56</v>
      </c>
      <c r="F21" t="str">
        <f t="shared" si="0"/>
        <v>2018-05-20</v>
      </c>
      <c r="G21">
        <v>103.68</v>
      </c>
      <c r="H21" t="str">
        <f>"2016-06-07"</f>
        <v>2016-06-07</v>
      </c>
      <c r="I21" t="s">
        <v>26</v>
      </c>
      <c r="J21" t="str">
        <f>"2016-04-24"</f>
        <v>2016-04-24</v>
      </c>
      <c r="K21" t="s">
        <v>27</v>
      </c>
      <c r="L21">
        <v>2.9422028400000002</v>
      </c>
      <c r="M21">
        <v>20</v>
      </c>
      <c r="N21" s="1">
        <v>2.5775999999999999</v>
      </c>
      <c r="O21" s="1">
        <v>4.6532</v>
      </c>
      <c r="P21" s="1">
        <v>-6.5000000000000002E-2</v>
      </c>
      <c r="Q21" s="1">
        <v>-1.1999999999999999E-3</v>
      </c>
      <c r="R21" s="1">
        <v>1.95E-2</v>
      </c>
      <c r="S21" s="1">
        <v>1.4800000000000001E-2</v>
      </c>
      <c r="T21" s="1">
        <v>4.5900000000000003E-2</v>
      </c>
      <c r="U21" s="1">
        <v>1.4033</v>
      </c>
    </row>
    <row r="22" spans="1:21" x14ac:dyDescent="0.25">
      <c r="A22" t="s">
        <v>92</v>
      </c>
      <c r="B22" t="s">
        <v>93</v>
      </c>
      <c r="C22" t="s">
        <v>37</v>
      </c>
      <c r="D22" t="s">
        <v>66</v>
      </c>
      <c r="E22" t="s">
        <v>94</v>
      </c>
      <c r="F22" t="str">
        <f t="shared" si="0"/>
        <v>2018-05-20</v>
      </c>
      <c r="G22">
        <v>8.19</v>
      </c>
      <c r="H22" t="str">
        <f>"2016-11-08"</f>
        <v>2016-11-08</v>
      </c>
      <c r="I22" t="s">
        <v>26</v>
      </c>
      <c r="J22" t="str">
        <f>"2016-09-18"</f>
        <v>2016-09-18</v>
      </c>
      <c r="K22" t="s">
        <v>27</v>
      </c>
      <c r="L22">
        <v>2.91</v>
      </c>
      <c r="M22">
        <v>21</v>
      </c>
      <c r="N22" s="1">
        <v>2.4268000000000001</v>
      </c>
      <c r="O22" s="1">
        <v>4.46</v>
      </c>
      <c r="P22" s="1">
        <v>-6.1899999999999997E-2</v>
      </c>
      <c r="Q22" s="1">
        <v>-4.99E-2</v>
      </c>
      <c r="R22" s="1">
        <v>4.8999999999999998E-3</v>
      </c>
      <c r="S22" s="1">
        <v>7.9100000000000004E-2</v>
      </c>
      <c r="T22" s="1">
        <v>0.32740000000000002</v>
      </c>
      <c r="U22" s="1">
        <v>1.4017999999999999</v>
      </c>
    </row>
    <row r="23" spans="1:21" x14ac:dyDescent="0.25">
      <c r="A23" t="s">
        <v>95</v>
      </c>
      <c r="B23" t="s">
        <v>96</v>
      </c>
      <c r="C23" t="s">
        <v>37</v>
      </c>
      <c r="D23" t="s">
        <v>38</v>
      </c>
      <c r="E23" t="s">
        <v>97</v>
      </c>
      <c r="F23" t="str">
        <f t="shared" si="0"/>
        <v>2018-05-20</v>
      </c>
      <c r="G23">
        <v>55</v>
      </c>
      <c r="H23" t="str">
        <f>"2016-05-09"</f>
        <v>2016-05-09</v>
      </c>
      <c r="I23" t="s">
        <v>26</v>
      </c>
      <c r="J23" t="str">
        <f>"2015-09-27"</f>
        <v>2015-09-27</v>
      </c>
      <c r="K23" t="s">
        <v>40</v>
      </c>
      <c r="L23">
        <v>2.90490293</v>
      </c>
      <c r="M23">
        <v>22</v>
      </c>
      <c r="N23" s="1">
        <v>2.4548000000000001</v>
      </c>
      <c r="O23" s="1">
        <v>4.4294000000000002</v>
      </c>
      <c r="P23" s="1">
        <v>-5.74E-2</v>
      </c>
      <c r="Q23" s="1">
        <v>-1.9599999999999999E-2</v>
      </c>
      <c r="R23" s="1">
        <v>-3.7600000000000001E-2</v>
      </c>
      <c r="S23" s="1">
        <v>0.15790000000000001</v>
      </c>
      <c r="T23" s="1">
        <v>0.41389999999999999</v>
      </c>
      <c r="U23" s="1">
        <v>0.61050000000000004</v>
      </c>
    </row>
    <row r="24" spans="1:21" x14ac:dyDescent="0.25">
      <c r="A24" t="s">
        <v>98</v>
      </c>
      <c r="B24" t="s">
        <v>99</v>
      </c>
      <c r="C24" t="s">
        <v>100</v>
      </c>
      <c r="D24" t="s">
        <v>101</v>
      </c>
      <c r="E24" t="s">
        <v>102</v>
      </c>
      <c r="F24" t="str">
        <f t="shared" si="0"/>
        <v>2018-05-20</v>
      </c>
      <c r="G24">
        <v>20.37</v>
      </c>
      <c r="H24" t="str">
        <f>"2017-10-31"</f>
        <v>2017-10-31</v>
      </c>
      <c r="I24" t="s">
        <v>26</v>
      </c>
      <c r="J24" t="str">
        <f>"2017-10-12"</f>
        <v>2017-10-12</v>
      </c>
      <c r="K24" t="s">
        <v>27</v>
      </c>
      <c r="L24">
        <v>2.8795336800000002</v>
      </c>
      <c r="M24">
        <v>23</v>
      </c>
      <c r="N24" s="1">
        <v>1.9057999999999999</v>
      </c>
      <c r="O24" s="1">
        <v>4.2771999999999997</v>
      </c>
      <c r="P24" s="1">
        <v>-1.55E-2</v>
      </c>
      <c r="Q24" s="1">
        <v>-1.55E-2</v>
      </c>
      <c r="R24" s="1">
        <v>8.3500000000000005E-2</v>
      </c>
      <c r="S24" s="1">
        <v>8.5199999999999998E-2</v>
      </c>
      <c r="T24" s="1">
        <v>0.2039</v>
      </c>
      <c r="U24" s="1">
        <v>4.6898999999999997</v>
      </c>
    </row>
    <row r="25" spans="1:21" x14ac:dyDescent="0.25">
      <c r="A25" t="s">
        <v>103</v>
      </c>
      <c r="B25" t="s">
        <v>104</v>
      </c>
      <c r="C25" t="s">
        <v>37</v>
      </c>
      <c r="D25" t="s">
        <v>66</v>
      </c>
      <c r="E25" t="s">
        <v>94</v>
      </c>
      <c r="F25" t="str">
        <f t="shared" si="0"/>
        <v>2018-05-20</v>
      </c>
      <c r="G25">
        <v>49.9</v>
      </c>
      <c r="H25" t="str">
        <f>"2016-08-11"</f>
        <v>2016-08-11</v>
      </c>
      <c r="I25" t="s">
        <v>26</v>
      </c>
      <c r="J25" t="str">
        <f>"2015-07-01"</f>
        <v>2015-07-01</v>
      </c>
      <c r="K25" t="s">
        <v>34</v>
      </c>
      <c r="L25">
        <v>2.8754385999999998</v>
      </c>
      <c r="M25">
        <v>24</v>
      </c>
      <c r="N25" s="1">
        <v>1.8944000000000001</v>
      </c>
      <c r="O25" s="1">
        <v>4.2526000000000002</v>
      </c>
      <c r="P25" s="1">
        <v>0</v>
      </c>
      <c r="Q25" s="1">
        <v>1.11E-2</v>
      </c>
      <c r="R25" s="1">
        <v>2.8899999999999999E-2</v>
      </c>
      <c r="S25" s="1">
        <v>0.17269999999999999</v>
      </c>
      <c r="T25" s="1">
        <v>0.2944</v>
      </c>
      <c r="U25" s="1">
        <v>0.75090000000000001</v>
      </c>
    </row>
    <row r="26" spans="1:21" x14ac:dyDescent="0.25">
      <c r="A26" t="s">
        <v>105</v>
      </c>
      <c r="B26" t="s">
        <v>106</v>
      </c>
      <c r="C26" t="s">
        <v>37</v>
      </c>
      <c r="D26" t="s">
        <v>66</v>
      </c>
      <c r="E26" t="s">
        <v>72</v>
      </c>
      <c r="F26" t="str">
        <f t="shared" si="0"/>
        <v>2018-05-20</v>
      </c>
      <c r="G26">
        <v>26.6</v>
      </c>
      <c r="H26" t="str">
        <f>"2016-08-14"</f>
        <v>2016-08-14</v>
      </c>
      <c r="I26" t="s">
        <v>26</v>
      </c>
      <c r="J26" t="str">
        <f>"2016-08-04"</f>
        <v>2016-08-04</v>
      </c>
      <c r="K26" t="s">
        <v>27</v>
      </c>
      <c r="L26">
        <v>2.8658854200000001</v>
      </c>
      <c r="M26">
        <v>25</v>
      </c>
      <c r="N26" s="1">
        <v>1.9921</v>
      </c>
      <c r="O26" s="1">
        <v>4.1952999999999996</v>
      </c>
      <c r="P26" s="1">
        <v>0</v>
      </c>
      <c r="Q26" s="1">
        <v>9.4999999999999998E-3</v>
      </c>
      <c r="R26" s="1">
        <v>0.12470000000000001</v>
      </c>
      <c r="S26" s="1">
        <v>0.59760000000000002</v>
      </c>
      <c r="T26" s="1">
        <v>0.66249999999999998</v>
      </c>
      <c r="U26" s="1">
        <v>1.8</v>
      </c>
    </row>
    <row r="27" spans="1:21" x14ac:dyDescent="0.25">
      <c r="A27" t="s">
        <v>107</v>
      </c>
      <c r="B27" t="s">
        <v>108</v>
      </c>
      <c r="C27" t="s">
        <v>109</v>
      </c>
      <c r="D27" t="s">
        <v>110</v>
      </c>
      <c r="E27" t="s">
        <v>111</v>
      </c>
      <c r="F27" t="str">
        <f t="shared" si="0"/>
        <v>2018-05-20</v>
      </c>
      <c r="G27">
        <v>74.45</v>
      </c>
      <c r="H27" t="str">
        <f>"2016-04-27"</f>
        <v>2016-04-27</v>
      </c>
      <c r="I27" t="s">
        <v>26</v>
      </c>
      <c r="J27" t="str">
        <f>"2016-01-14"</f>
        <v>2016-01-14</v>
      </c>
      <c r="K27" t="s">
        <v>27</v>
      </c>
      <c r="L27">
        <v>2.8239265200000001</v>
      </c>
      <c r="M27">
        <v>26</v>
      </c>
      <c r="N27" s="1">
        <v>2.7715000000000001</v>
      </c>
      <c r="O27" s="1">
        <v>3.9436</v>
      </c>
      <c r="P27" s="1">
        <v>0</v>
      </c>
      <c r="Q27" s="1">
        <v>1.2200000000000001E-2</v>
      </c>
      <c r="R27" s="1">
        <v>4.1300000000000003E-2</v>
      </c>
      <c r="S27" s="1">
        <v>0.1358</v>
      </c>
      <c r="T27" s="1">
        <v>0.32240000000000002</v>
      </c>
      <c r="U27" s="1">
        <v>1.0368999999999999</v>
      </c>
    </row>
    <row r="28" spans="1:21" x14ac:dyDescent="0.25">
      <c r="A28" t="s">
        <v>112</v>
      </c>
      <c r="B28" t="s">
        <v>113</v>
      </c>
      <c r="C28" t="s">
        <v>114</v>
      </c>
      <c r="D28" t="s">
        <v>115</v>
      </c>
      <c r="E28" t="s">
        <v>116</v>
      </c>
      <c r="F28" t="str">
        <f t="shared" si="0"/>
        <v>2018-05-20</v>
      </c>
      <c r="G28">
        <v>136.83000000000001</v>
      </c>
      <c r="H28" t="str">
        <f>"2016-04-27"</f>
        <v>2016-04-27</v>
      </c>
      <c r="I28" t="s">
        <v>26</v>
      </c>
      <c r="J28" t="str">
        <f>"2016-02-24"</f>
        <v>2016-02-24</v>
      </c>
      <c r="K28" t="s">
        <v>27</v>
      </c>
      <c r="L28">
        <v>2.82388006</v>
      </c>
      <c r="M28">
        <v>27</v>
      </c>
      <c r="N28" s="1">
        <v>3.3534999999999999</v>
      </c>
      <c r="O28" s="1">
        <v>3.9432999999999998</v>
      </c>
      <c r="P28" s="1">
        <v>0</v>
      </c>
      <c r="Q28" s="1">
        <v>2.87E-2</v>
      </c>
      <c r="R28" s="1">
        <v>9.3299999999999994E-2</v>
      </c>
      <c r="S28" s="1">
        <v>0.39639999999999997</v>
      </c>
      <c r="T28" s="1">
        <v>1.0383</v>
      </c>
      <c r="U28" s="1">
        <v>2.1924999999999999</v>
      </c>
    </row>
    <row r="29" spans="1:21" x14ac:dyDescent="0.25">
      <c r="A29" t="s">
        <v>117</v>
      </c>
      <c r="B29" t="s">
        <v>118</v>
      </c>
      <c r="C29" t="s">
        <v>43</v>
      </c>
      <c r="D29" t="s">
        <v>119</v>
      </c>
      <c r="E29" t="s">
        <v>120</v>
      </c>
      <c r="F29" t="str">
        <f t="shared" si="0"/>
        <v>2018-05-20</v>
      </c>
      <c r="G29">
        <v>64.05</v>
      </c>
      <c r="H29" t="str">
        <f>"2016-04-11"</f>
        <v>2016-04-11</v>
      </c>
      <c r="I29" t="s">
        <v>26</v>
      </c>
      <c r="J29" t="str">
        <f>"2016-03-20"</f>
        <v>2016-03-20</v>
      </c>
      <c r="K29" t="s">
        <v>27</v>
      </c>
      <c r="L29">
        <v>2.8224191099999998</v>
      </c>
      <c r="M29">
        <v>28</v>
      </c>
      <c r="N29" s="1">
        <v>3.5489999999999999</v>
      </c>
      <c r="O29" s="1">
        <v>3.9344999999999999</v>
      </c>
      <c r="P29" s="1">
        <v>0</v>
      </c>
      <c r="Q29" s="1">
        <v>1.03E-2</v>
      </c>
      <c r="R29" s="1">
        <v>2.64E-2</v>
      </c>
      <c r="S29" s="1">
        <v>3.2199999999999999E-2</v>
      </c>
      <c r="T29" s="1">
        <v>0.1731</v>
      </c>
      <c r="U29" s="1">
        <v>0.94979999999999998</v>
      </c>
    </row>
    <row r="30" spans="1:21" x14ac:dyDescent="0.25">
      <c r="A30" t="s">
        <v>121</v>
      </c>
      <c r="B30" t="s">
        <v>122</v>
      </c>
      <c r="C30" t="s">
        <v>37</v>
      </c>
      <c r="D30" t="s">
        <v>38</v>
      </c>
      <c r="E30" t="s">
        <v>97</v>
      </c>
      <c r="F30" t="str">
        <f t="shared" si="0"/>
        <v>2018-05-20</v>
      </c>
      <c r="G30">
        <v>87</v>
      </c>
      <c r="H30" t="str">
        <f>"2017-02-07"</f>
        <v>2017-02-07</v>
      </c>
      <c r="I30" t="s">
        <v>26</v>
      </c>
      <c r="J30" t="str">
        <f>"2016-11-06"</f>
        <v>2016-11-06</v>
      </c>
      <c r="K30" t="s">
        <v>40</v>
      </c>
      <c r="L30">
        <v>2.8192090400000001</v>
      </c>
      <c r="M30">
        <v>29</v>
      </c>
      <c r="N30" s="1">
        <v>2.9725999999999999</v>
      </c>
      <c r="O30" s="1">
        <v>3.9152999999999998</v>
      </c>
      <c r="P30" s="1">
        <v>0</v>
      </c>
      <c r="Q30" s="1">
        <v>7.2700000000000001E-2</v>
      </c>
      <c r="R30" s="1">
        <v>0.12620000000000001</v>
      </c>
      <c r="S30" s="1">
        <v>0.19420000000000001</v>
      </c>
      <c r="T30" s="1">
        <v>0.1147</v>
      </c>
      <c r="U30" s="1">
        <v>1.2835000000000001</v>
      </c>
    </row>
    <row r="31" spans="1:21" x14ac:dyDescent="0.25">
      <c r="A31" t="s">
        <v>123</v>
      </c>
      <c r="B31" t="s">
        <v>124</v>
      </c>
      <c r="C31" t="s">
        <v>37</v>
      </c>
      <c r="D31" t="s">
        <v>38</v>
      </c>
      <c r="E31" t="s">
        <v>39</v>
      </c>
      <c r="F31" t="str">
        <f t="shared" si="0"/>
        <v>2018-05-20</v>
      </c>
      <c r="G31">
        <v>102.49</v>
      </c>
      <c r="H31" t="str">
        <f>"2016-11-28"</f>
        <v>2016-11-28</v>
      </c>
      <c r="I31" t="s">
        <v>26</v>
      </c>
      <c r="J31" t="str">
        <f>"2016-09-20"</f>
        <v>2016-09-20</v>
      </c>
      <c r="K31" t="s">
        <v>27</v>
      </c>
      <c r="L31">
        <v>2.8134127000000002</v>
      </c>
      <c r="M31">
        <v>30</v>
      </c>
      <c r="N31" s="1">
        <v>2.2755000000000001</v>
      </c>
      <c r="O31" s="1">
        <v>3.8805000000000001</v>
      </c>
      <c r="P31" s="1">
        <v>-3.4200000000000001E-2</v>
      </c>
      <c r="Q31" s="1">
        <v>-1.84E-2</v>
      </c>
      <c r="R31" s="1">
        <v>2.7000000000000001E-3</v>
      </c>
      <c r="S31" s="1">
        <v>0.16550000000000001</v>
      </c>
      <c r="T31" s="1">
        <v>0.33019999999999999</v>
      </c>
      <c r="U31" s="1">
        <v>2.2159</v>
      </c>
    </row>
    <row r="32" spans="1:21" x14ac:dyDescent="0.25">
      <c r="A32" t="s">
        <v>125</v>
      </c>
      <c r="B32" t="s">
        <v>126</v>
      </c>
      <c r="C32" t="s">
        <v>37</v>
      </c>
      <c r="D32" t="s">
        <v>38</v>
      </c>
      <c r="E32" t="s">
        <v>97</v>
      </c>
      <c r="F32" t="str">
        <f t="shared" si="0"/>
        <v>2018-05-20</v>
      </c>
      <c r="G32">
        <v>40.75</v>
      </c>
      <c r="H32" t="str">
        <f>"2017-05-14"</f>
        <v>2017-05-14</v>
      </c>
      <c r="I32" t="s">
        <v>26</v>
      </c>
      <c r="J32" t="str">
        <f>"2017-02-07"</f>
        <v>2017-02-07</v>
      </c>
      <c r="K32" t="s">
        <v>40</v>
      </c>
      <c r="L32">
        <v>2.7990196100000002</v>
      </c>
      <c r="M32">
        <v>31</v>
      </c>
      <c r="N32" s="1">
        <v>2.2086999999999999</v>
      </c>
      <c r="O32" s="1">
        <v>3.7940999999999998</v>
      </c>
      <c r="P32" s="1">
        <v>-9.9400000000000002E-2</v>
      </c>
      <c r="Q32" s="1">
        <v>-1.21E-2</v>
      </c>
      <c r="R32" s="1">
        <v>6.4000000000000001E-2</v>
      </c>
      <c r="S32" s="1">
        <v>0.02</v>
      </c>
      <c r="T32" s="1">
        <v>-8.3199999999999996E-2</v>
      </c>
      <c r="U32" s="1">
        <v>2.1107</v>
      </c>
    </row>
    <row r="33" spans="1:21" x14ac:dyDescent="0.25">
      <c r="A33" t="s">
        <v>127</v>
      </c>
      <c r="B33" t="s">
        <v>128</v>
      </c>
      <c r="C33" t="s">
        <v>87</v>
      </c>
      <c r="D33" t="s">
        <v>88</v>
      </c>
      <c r="E33" t="s">
        <v>89</v>
      </c>
      <c r="F33" t="str">
        <f t="shared" si="0"/>
        <v>2018-05-20</v>
      </c>
      <c r="G33">
        <v>8.68</v>
      </c>
      <c r="H33" t="str">
        <f>"2017-09-14"</f>
        <v>2017-09-14</v>
      </c>
      <c r="I33" t="s">
        <v>26</v>
      </c>
      <c r="J33" t="str">
        <f>"2017-04-20"</f>
        <v>2017-04-20</v>
      </c>
      <c r="K33" t="s">
        <v>40</v>
      </c>
      <c r="L33">
        <v>2.7862318799999999</v>
      </c>
      <c r="M33">
        <v>32</v>
      </c>
      <c r="N33" s="1">
        <v>2.5</v>
      </c>
      <c r="O33" s="1">
        <v>3.7174</v>
      </c>
      <c r="P33" s="1">
        <v>0</v>
      </c>
      <c r="Q33" s="1">
        <v>5.6000000000000001E-2</v>
      </c>
      <c r="R33" s="1">
        <v>9.4600000000000004E-2</v>
      </c>
      <c r="S33" s="1">
        <v>0.46870000000000001</v>
      </c>
      <c r="T33" s="1">
        <v>1.0915999999999999</v>
      </c>
      <c r="U33" s="1">
        <v>2.5285000000000002</v>
      </c>
    </row>
    <row r="34" spans="1:21" x14ac:dyDescent="0.25">
      <c r="A34" t="s">
        <v>129</v>
      </c>
      <c r="B34" t="s">
        <v>130</v>
      </c>
      <c r="C34" t="s">
        <v>109</v>
      </c>
      <c r="D34" t="s">
        <v>110</v>
      </c>
      <c r="E34" t="s">
        <v>111</v>
      </c>
      <c r="F34" t="str">
        <f t="shared" si="0"/>
        <v>2018-05-20</v>
      </c>
      <c r="G34">
        <v>54.25</v>
      </c>
      <c r="H34" t="str">
        <f>"2016-07-19"</f>
        <v>2016-07-19</v>
      </c>
      <c r="I34" t="s">
        <v>26</v>
      </c>
      <c r="J34" t="str">
        <f>"2015-06-28"</f>
        <v>2015-06-28</v>
      </c>
      <c r="K34" t="s">
        <v>34</v>
      </c>
      <c r="L34">
        <v>2.7808002300000001</v>
      </c>
      <c r="M34">
        <v>33</v>
      </c>
      <c r="N34" s="1">
        <v>2.5341999999999998</v>
      </c>
      <c r="O34" s="1">
        <v>3.6848000000000001</v>
      </c>
      <c r="P34" s="1">
        <v>-6.9500000000000006E-2</v>
      </c>
      <c r="Q34" s="1">
        <v>-6.1400000000000003E-2</v>
      </c>
      <c r="R34" s="1">
        <v>-3.04E-2</v>
      </c>
      <c r="S34" s="1">
        <v>0.1326</v>
      </c>
      <c r="T34" s="1">
        <v>0.19889999999999999</v>
      </c>
      <c r="U34" s="1">
        <v>0.94789999999999996</v>
      </c>
    </row>
    <row r="35" spans="1:21" x14ac:dyDescent="0.25">
      <c r="A35" t="s">
        <v>131</v>
      </c>
      <c r="B35" t="s">
        <v>132</v>
      </c>
      <c r="C35" t="s">
        <v>109</v>
      </c>
      <c r="D35" t="s">
        <v>110</v>
      </c>
      <c r="E35" t="s">
        <v>111</v>
      </c>
      <c r="F35" t="str">
        <f t="shared" si="0"/>
        <v>2018-05-20</v>
      </c>
      <c r="G35">
        <v>50.2</v>
      </c>
      <c r="H35" t="str">
        <f>"2017-10-11"</f>
        <v>2017-10-11</v>
      </c>
      <c r="I35" t="s">
        <v>26</v>
      </c>
      <c r="J35" t="str">
        <f>"2016-09-29"</f>
        <v>2016-09-29</v>
      </c>
      <c r="K35" t="s">
        <v>34</v>
      </c>
      <c r="L35">
        <v>2.7790192399999998</v>
      </c>
      <c r="M35">
        <v>34</v>
      </c>
      <c r="N35" s="1">
        <v>0.84089999999999998</v>
      </c>
      <c r="O35" s="1">
        <v>3.6741000000000001</v>
      </c>
      <c r="P35" s="1">
        <v>-2.3E-2</v>
      </c>
      <c r="Q35" s="1">
        <v>-2.3E-2</v>
      </c>
      <c r="R35" s="1">
        <v>3.6799999999999999E-2</v>
      </c>
      <c r="S35" s="1">
        <v>0.20960000000000001</v>
      </c>
      <c r="T35" s="1">
        <v>0.53800000000000003</v>
      </c>
      <c r="U35" s="1">
        <v>3.1316999999999999</v>
      </c>
    </row>
    <row r="36" spans="1:21" x14ac:dyDescent="0.25">
      <c r="A36" t="s">
        <v>133</v>
      </c>
      <c r="B36" t="s">
        <v>134</v>
      </c>
      <c r="C36" t="s">
        <v>109</v>
      </c>
      <c r="D36" t="s">
        <v>110</v>
      </c>
      <c r="E36" t="s">
        <v>111</v>
      </c>
      <c r="F36" t="str">
        <f t="shared" si="0"/>
        <v>2018-05-20</v>
      </c>
      <c r="G36">
        <v>19.05</v>
      </c>
      <c r="H36" t="str">
        <f>"2016-07-17"</f>
        <v>2016-07-17</v>
      </c>
      <c r="I36" t="s">
        <v>26</v>
      </c>
      <c r="J36" t="str">
        <f>"2016-07-12"</f>
        <v>2016-07-12</v>
      </c>
      <c r="K36" t="s">
        <v>27</v>
      </c>
      <c r="L36">
        <v>2.7753357799999998</v>
      </c>
      <c r="M36">
        <v>35</v>
      </c>
      <c r="N36" s="1">
        <v>1.5468</v>
      </c>
      <c r="O36" s="1">
        <v>3.6520000000000001</v>
      </c>
      <c r="P36" s="1">
        <v>0</v>
      </c>
      <c r="Q36" s="1">
        <v>1.3299999999999999E-2</v>
      </c>
      <c r="R36" s="1">
        <v>4.9599999999999998E-2</v>
      </c>
      <c r="S36" s="1">
        <v>0.15110000000000001</v>
      </c>
      <c r="T36" s="1">
        <v>0.33679999999999999</v>
      </c>
      <c r="U36" s="1">
        <v>0.94389999999999996</v>
      </c>
    </row>
    <row r="37" spans="1:21" x14ac:dyDescent="0.25">
      <c r="A37" t="s">
        <v>135</v>
      </c>
      <c r="B37" t="s">
        <v>136</v>
      </c>
      <c r="C37" t="s">
        <v>87</v>
      </c>
      <c r="D37" t="s">
        <v>88</v>
      </c>
      <c r="E37" t="s">
        <v>89</v>
      </c>
      <c r="F37" t="str">
        <f t="shared" si="0"/>
        <v>2018-05-20</v>
      </c>
      <c r="G37">
        <v>4.4800000000000004</v>
      </c>
      <c r="H37" t="str">
        <f>"2017-12-18"</f>
        <v>2017-12-18</v>
      </c>
      <c r="I37" t="s">
        <v>26</v>
      </c>
      <c r="J37" t="str">
        <f>"2017-11-07"</f>
        <v>2017-11-07</v>
      </c>
      <c r="K37" t="s">
        <v>27</v>
      </c>
      <c r="L37">
        <v>2.7751937999999998</v>
      </c>
      <c r="M37">
        <v>36</v>
      </c>
      <c r="N37" s="1">
        <v>1.6826000000000001</v>
      </c>
      <c r="O37" s="1">
        <v>3.6511999999999998</v>
      </c>
      <c r="P37" s="1">
        <v>0</v>
      </c>
      <c r="Q37" s="1">
        <v>8.4699999999999998E-2</v>
      </c>
      <c r="R37" s="1">
        <v>0.18210000000000001</v>
      </c>
      <c r="S37" s="1">
        <v>0.40439999999999998</v>
      </c>
      <c r="T37" s="1">
        <v>0.90639999999999998</v>
      </c>
      <c r="U37" s="1">
        <v>1.4888999999999999</v>
      </c>
    </row>
    <row r="38" spans="1:21" x14ac:dyDescent="0.25">
      <c r="A38" t="s">
        <v>137</v>
      </c>
      <c r="B38" t="s">
        <v>138</v>
      </c>
      <c r="C38" t="s">
        <v>23</v>
      </c>
      <c r="D38" t="s">
        <v>52</v>
      </c>
      <c r="E38" t="s">
        <v>139</v>
      </c>
      <c r="F38" t="str">
        <f t="shared" si="0"/>
        <v>2018-05-20</v>
      </c>
      <c r="G38">
        <v>70.95</v>
      </c>
      <c r="H38" t="str">
        <f>"2016-08-14"</f>
        <v>2016-08-14</v>
      </c>
      <c r="I38" t="s">
        <v>26</v>
      </c>
      <c r="J38" t="str">
        <f>"2015-07-16"</f>
        <v>2015-07-16</v>
      </c>
      <c r="K38" t="s">
        <v>34</v>
      </c>
      <c r="L38">
        <v>2.7738874299999998</v>
      </c>
      <c r="M38">
        <v>37</v>
      </c>
      <c r="N38" s="1">
        <v>1.5568</v>
      </c>
      <c r="O38" s="1">
        <v>3.6433</v>
      </c>
      <c r="P38" s="1">
        <v>0</v>
      </c>
      <c r="Q38" s="1">
        <v>1.3599999999999999E-2</v>
      </c>
      <c r="R38" s="1">
        <v>6.5299999999999997E-2</v>
      </c>
      <c r="S38" s="1">
        <v>0.13980000000000001</v>
      </c>
      <c r="T38" s="1">
        <v>0.17660000000000001</v>
      </c>
      <c r="U38" s="1">
        <v>0.73050000000000004</v>
      </c>
    </row>
    <row r="39" spans="1:21" x14ac:dyDescent="0.25">
      <c r="A39" t="s">
        <v>140</v>
      </c>
      <c r="B39" t="s">
        <v>141</v>
      </c>
      <c r="C39" t="s">
        <v>23</v>
      </c>
      <c r="D39" t="s">
        <v>52</v>
      </c>
      <c r="E39" t="s">
        <v>139</v>
      </c>
      <c r="F39" t="str">
        <f t="shared" si="0"/>
        <v>2018-05-20</v>
      </c>
      <c r="G39">
        <v>29.4</v>
      </c>
      <c r="H39" t="str">
        <f>"2016-06-22"</f>
        <v>2016-06-22</v>
      </c>
      <c r="I39" t="s">
        <v>26</v>
      </c>
      <c r="J39" t="str">
        <f>"2015-04-16"</f>
        <v>2015-04-16</v>
      </c>
      <c r="K39" t="s">
        <v>34</v>
      </c>
      <c r="L39">
        <v>2.77044025</v>
      </c>
      <c r="M39">
        <v>38</v>
      </c>
      <c r="N39" s="1">
        <v>2.0689000000000002</v>
      </c>
      <c r="O39" s="1">
        <v>3.6225999999999998</v>
      </c>
      <c r="P39" s="1">
        <v>-6.4299999999999996E-2</v>
      </c>
      <c r="Q39" s="1">
        <v>-8.0999999999999996E-3</v>
      </c>
      <c r="R39" s="1">
        <v>-6.9999999999999999E-4</v>
      </c>
      <c r="S39" s="1">
        <v>-1.11E-2</v>
      </c>
      <c r="T39" s="1">
        <v>0.39200000000000002</v>
      </c>
      <c r="U39" s="1">
        <v>1.2357</v>
      </c>
    </row>
    <row r="40" spans="1:21" x14ac:dyDescent="0.25">
      <c r="A40" t="s">
        <v>142</v>
      </c>
      <c r="B40" t="s">
        <v>143</v>
      </c>
      <c r="C40" t="s">
        <v>87</v>
      </c>
      <c r="D40" t="s">
        <v>144</v>
      </c>
      <c r="E40" t="s">
        <v>145</v>
      </c>
      <c r="F40" t="str">
        <f t="shared" si="0"/>
        <v>2018-05-20</v>
      </c>
      <c r="G40">
        <v>65.349999999999994</v>
      </c>
      <c r="H40" t="str">
        <f>"2016-04-24"</f>
        <v>2016-04-24</v>
      </c>
      <c r="I40" t="s">
        <v>26</v>
      </c>
      <c r="J40" t="str">
        <f>"2016-04-21"</f>
        <v>2016-04-21</v>
      </c>
      <c r="K40" t="s">
        <v>27</v>
      </c>
      <c r="L40">
        <v>2.7643274899999999</v>
      </c>
      <c r="M40">
        <v>39</v>
      </c>
      <c r="N40" s="1">
        <v>1.6383000000000001</v>
      </c>
      <c r="O40" s="1">
        <v>3.5859999999999999</v>
      </c>
      <c r="P40" s="1">
        <v>0</v>
      </c>
      <c r="Q40" s="1">
        <v>1.7100000000000001E-2</v>
      </c>
      <c r="R40" s="1">
        <v>6.0900000000000003E-2</v>
      </c>
      <c r="S40" s="1">
        <v>0.105</v>
      </c>
      <c r="T40" s="1">
        <v>0.125</v>
      </c>
      <c r="U40" s="1">
        <v>0.82589999999999997</v>
      </c>
    </row>
    <row r="41" spans="1:21" x14ac:dyDescent="0.25">
      <c r="A41" t="s">
        <v>146</v>
      </c>
      <c r="B41" t="s">
        <v>147</v>
      </c>
      <c r="C41" t="s">
        <v>37</v>
      </c>
      <c r="D41" t="s">
        <v>66</v>
      </c>
      <c r="E41" t="s">
        <v>72</v>
      </c>
      <c r="F41" t="str">
        <f t="shared" si="0"/>
        <v>2018-05-20</v>
      </c>
      <c r="G41">
        <v>97.74</v>
      </c>
      <c r="H41" t="str">
        <f>"2014-12-02"</f>
        <v>2014-12-02</v>
      </c>
      <c r="I41" t="s">
        <v>26</v>
      </c>
      <c r="J41" t="str">
        <f>"2014-10-30"</f>
        <v>2014-10-30</v>
      </c>
      <c r="K41" t="s">
        <v>27</v>
      </c>
      <c r="L41">
        <v>2.76371308</v>
      </c>
      <c r="M41">
        <v>40</v>
      </c>
      <c r="N41" s="1">
        <v>2.8195000000000001</v>
      </c>
      <c r="O41" s="1">
        <v>3.5823</v>
      </c>
      <c r="P41" s="1">
        <v>-6.4299999999999996E-2</v>
      </c>
      <c r="Q41" s="1">
        <v>6.8999999999999999E-3</v>
      </c>
      <c r="R41" s="1">
        <v>1.14E-2</v>
      </c>
      <c r="S41" s="1">
        <v>8.8900000000000007E-2</v>
      </c>
      <c r="T41" s="1">
        <v>0.14130000000000001</v>
      </c>
      <c r="U41" s="1">
        <v>0.13739999999999999</v>
      </c>
    </row>
    <row r="42" spans="1:21" x14ac:dyDescent="0.25">
      <c r="A42" t="s">
        <v>148</v>
      </c>
      <c r="B42" t="s">
        <v>149</v>
      </c>
      <c r="C42" t="s">
        <v>43</v>
      </c>
      <c r="D42" t="s">
        <v>150</v>
      </c>
      <c r="E42" t="s">
        <v>151</v>
      </c>
      <c r="F42" t="str">
        <f t="shared" si="0"/>
        <v>2018-05-20</v>
      </c>
      <c r="G42">
        <v>35.619999999999997</v>
      </c>
      <c r="H42" t="str">
        <f>"2016-04-18"</f>
        <v>2016-04-18</v>
      </c>
      <c r="I42" t="s">
        <v>26</v>
      </c>
      <c r="J42" t="str">
        <f>"2016-03-14"</f>
        <v>2016-03-14</v>
      </c>
      <c r="K42" t="s">
        <v>27</v>
      </c>
      <c r="L42">
        <v>2.7620881499999999</v>
      </c>
      <c r="M42">
        <v>41</v>
      </c>
      <c r="N42" s="1">
        <v>1.1102000000000001</v>
      </c>
      <c r="O42" s="1">
        <v>3.5724999999999998</v>
      </c>
      <c r="P42" s="1">
        <v>0</v>
      </c>
      <c r="Q42" s="1">
        <v>2.0899999999999998E-2</v>
      </c>
      <c r="R42" s="1">
        <v>5.67E-2</v>
      </c>
      <c r="S42" s="1">
        <v>8.9599999999999999E-2</v>
      </c>
      <c r="T42" s="1">
        <v>8.3000000000000004E-2</v>
      </c>
      <c r="U42" s="1">
        <v>0.35899999999999999</v>
      </c>
    </row>
    <row r="43" spans="1:21" x14ac:dyDescent="0.25">
      <c r="A43" t="s">
        <v>152</v>
      </c>
      <c r="B43" t="s">
        <v>153</v>
      </c>
      <c r="C43" t="s">
        <v>109</v>
      </c>
      <c r="D43" t="s">
        <v>110</v>
      </c>
      <c r="E43" t="s">
        <v>111</v>
      </c>
      <c r="F43" t="str">
        <f t="shared" si="0"/>
        <v>2018-05-20</v>
      </c>
      <c r="G43">
        <v>95.53</v>
      </c>
      <c r="H43" t="str">
        <f>"2016-05-11"</f>
        <v>2016-05-11</v>
      </c>
      <c r="I43" t="s">
        <v>26</v>
      </c>
      <c r="J43" t="str">
        <f>"2016-04-20"</f>
        <v>2016-04-20</v>
      </c>
      <c r="K43" t="s">
        <v>27</v>
      </c>
      <c r="L43">
        <v>2.7492548999999999</v>
      </c>
      <c r="M43">
        <v>42</v>
      </c>
      <c r="N43" s="1">
        <v>2.4738000000000002</v>
      </c>
      <c r="O43" s="1">
        <v>3.4954999999999998</v>
      </c>
      <c r="P43" s="1">
        <v>-2.5999999999999999E-2</v>
      </c>
      <c r="Q43" s="1">
        <v>-1.6000000000000001E-3</v>
      </c>
      <c r="R43" s="1">
        <v>2.9899999999999999E-2</v>
      </c>
      <c r="S43" s="1">
        <v>0.1724</v>
      </c>
      <c r="T43" s="1">
        <v>0.19259999999999999</v>
      </c>
      <c r="U43" s="1">
        <v>1.2221</v>
      </c>
    </row>
    <row r="44" spans="1:21" x14ac:dyDescent="0.25">
      <c r="A44" t="s">
        <v>154</v>
      </c>
      <c r="B44" t="s">
        <v>155</v>
      </c>
      <c r="C44" t="s">
        <v>109</v>
      </c>
      <c r="D44" t="s">
        <v>156</v>
      </c>
      <c r="E44" t="s">
        <v>157</v>
      </c>
      <c r="F44" t="str">
        <f t="shared" si="0"/>
        <v>2018-05-20</v>
      </c>
      <c r="G44">
        <v>32.36</v>
      </c>
      <c r="H44" t="str">
        <f>"2017-03-28"</f>
        <v>2017-03-28</v>
      </c>
      <c r="I44" t="s">
        <v>26</v>
      </c>
      <c r="J44" t="str">
        <f>"2017-02-12"</f>
        <v>2017-02-12</v>
      </c>
      <c r="K44" t="s">
        <v>57</v>
      </c>
      <c r="L44">
        <v>2.7490740699999998</v>
      </c>
      <c r="M44">
        <v>43</v>
      </c>
      <c r="N44" s="1">
        <v>2.1570999999999998</v>
      </c>
      <c r="O44" s="1">
        <v>3.4944000000000002</v>
      </c>
      <c r="P44" s="1">
        <v>-6.2600000000000003E-2</v>
      </c>
      <c r="Q44" s="1">
        <v>2.1100000000000001E-2</v>
      </c>
      <c r="R44" s="1">
        <v>5.2699999999999997E-2</v>
      </c>
      <c r="S44" s="1">
        <v>0.15570000000000001</v>
      </c>
      <c r="T44" s="1">
        <v>5.1999999999999998E-2</v>
      </c>
      <c r="U44" s="1">
        <v>1.0074000000000001</v>
      </c>
    </row>
    <row r="45" spans="1:21" x14ac:dyDescent="0.25">
      <c r="A45" t="s">
        <v>158</v>
      </c>
      <c r="B45" t="s">
        <v>159</v>
      </c>
      <c r="C45" t="s">
        <v>37</v>
      </c>
      <c r="D45" t="s">
        <v>66</v>
      </c>
      <c r="E45" t="s">
        <v>72</v>
      </c>
      <c r="F45" t="str">
        <f t="shared" si="0"/>
        <v>2018-05-20</v>
      </c>
      <c r="G45">
        <v>157.6</v>
      </c>
      <c r="H45" t="str">
        <f>"2016-09-29"</f>
        <v>2016-09-29</v>
      </c>
      <c r="I45" t="s">
        <v>26</v>
      </c>
      <c r="J45" t="str">
        <f>"2015-09-20"</f>
        <v>2015-09-20</v>
      </c>
      <c r="K45" t="s">
        <v>34</v>
      </c>
      <c r="L45">
        <v>2.7196346999999998</v>
      </c>
      <c r="M45">
        <v>44</v>
      </c>
      <c r="N45" s="1">
        <v>1.1022000000000001</v>
      </c>
      <c r="O45" s="1">
        <v>3.3178000000000001</v>
      </c>
      <c r="P45" s="1">
        <v>-4.1000000000000003E-3</v>
      </c>
      <c r="Q45" s="1">
        <v>-4.1000000000000003E-3</v>
      </c>
      <c r="R45" s="1">
        <v>5.0299999999999997E-2</v>
      </c>
      <c r="S45" s="1">
        <v>0.28179999999999999</v>
      </c>
      <c r="T45" s="1">
        <v>0.51319999999999999</v>
      </c>
      <c r="U45" s="1">
        <v>0.91149999999999998</v>
      </c>
    </row>
    <row r="46" spans="1:21" x14ac:dyDescent="0.25">
      <c r="A46" t="s">
        <v>160</v>
      </c>
      <c r="B46" t="s">
        <v>161</v>
      </c>
      <c r="C46" t="s">
        <v>37</v>
      </c>
      <c r="D46" t="s">
        <v>66</v>
      </c>
      <c r="E46" t="s">
        <v>72</v>
      </c>
      <c r="F46" t="str">
        <f t="shared" si="0"/>
        <v>2018-05-20</v>
      </c>
      <c r="G46">
        <v>46.46</v>
      </c>
      <c r="H46" t="str">
        <f>"2017-08-09"</f>
        <v>2017-08-09</v>
      </c>
      <c r="I46" t="s">
        <v>26</v>
      </c>
      <c r="J46" t="str">
        <f>"2016-07-28"</f>
        <v>2016-07-28</v>
      </c>
      <c r="K46" t="s">
        <v>34</v>
      </c>
      <c r="L46">
        <v>2.6988568000000002</v>
      </c>
      <c r="M46">
        <v>45</v>
      </c>
      <c r="N46" s="1">
        <v>0.40920000000000001</v>
      </c>
      <c r="O46" s="1">
        <v>3.1930999999999998</v>
      </c>
      <c r="P46" s="1">
        <v>0</v>
      </c>
      <c r="Q46" s="1">
        <v>1.0200000000000001E-2</v>
      </c>
      <c r="R46" s="1">
        <v>2.24E-2</v>
      </c>
      <c r="S46" s="1">
        <v>0.35289999999999999</v>
      </c>
      <c r="T46" s="1">
        <v>0.43309999999999998</v>
      </c>
      <c r="U46" s="1">
        <v>0.9456</v>
      </c>
    </row>
    <row r="47" spans="1:21" x14ac:dyDescent="0.25">
      <c r="A47" t="s">
        <v>162</v>
      </c>
      <c r="B47" t="s">
        <v>163</v>
      </c>
      <c r="C47" t="s">
        <v>23</v>
      </c>
      <c r="D47" t="s">
        <v>24</v>
      </c>
      <c r="E47" t="s">
        <v>164</v>
      </c>
      <c r="F47" t="str">
        <f t="shared" si="0"/>
        <v>2018-05-20</v>
      </c>
      <c r="G47">
        <v>31.71</v>
      </c>
      <c r="H47" t="str">
        <f>"2016-05-18"</f>
        <v>2016-05-18</v>
      </c>
      <c r="I47" t="s">
        <v>26</v>
      </c>
      <c r="J47" t="str">
        <f>"2016-04-28"</f>
        <v>2016-04-28</v>
      </c>
      <c r="K47" t="s">
        <v>27</v>
      </c>
      <c r="L47">
        <v>2.6953947399999998</v>
      </c>
      <c r="M47">
        <v>46</v>
      </c>
      <c r="N47" s="1">
        <v>1.8985000000000001</v>
      </c>
      <c r="O47" s="1">
        <v>3.1724000000000001</v>
      </c>
      <c r="P47" s="1">
        <v>-3.6999999999999998E-2</v>
      </c>
      <c r="Q47" s="1">
        <v>-6.8999999999999999E-3</v>
      </c>
      <c r="R47" s="1">
        <v>2.3199999999999998E-2</v>
      </c>
      <c r="S47" s="1">
        <v>0.1237</v>
      </c>
      <c r="T47" s="1">
        <v>0.1245</v>
      </c>
      <c r="U47" s="1">
        <v>0.53110000000000002</v>
      </c>
    </row>
    <row r="48" spans="1:21" x14ac:dyDescent="0.25">
      <c r="A48" t="s">
        <v>165</v>
      </c>
      <c r="B48" t="s">
        <v>166</v>
      </c>
      <c r="C48" t="s">
        <v>109</v>
      </c>
      <c r="D48" t="s">
        <v>110</v>
      </c>
      <c r="E48" t="s">
        <v>111</v>
      </c>
      <c r="F48" t="str">
        <f t="shared" si="0"/>
        <v>2018-05-20</v>
      </c>
      <c r="G48">
        <v>74.400000000000006</v>
      </c>
      <c r="H48" t="str">
        <f>"2016-06-19"</f>
        <v>2016-06-19</v>
      </c>
      <c r="I48" t="s">
        <v>26</v>
      </c>
      <c r="J48" t="str">
        <f>"2016-06-02"</f>
        <v>2016-06-02</v>
      </c>
      <c r="K48" t="s">
        <v>27</v>
      </c>
      <c r="L48">
        <v>2.6935123000000001</v>
      </c>
      <c r="M48">
        <v>47</v>
      </c>
      <c r="N48" s="1">
        <v>2.6152000000000002</v>
      </c>
      <c r="O48" s="1">
        <v>3.1610999999999998</v>
      </c>
      <c r="P48" s="1">
        <v>-3.6299999999999999E-2</v>
      </c>
      <c r="Q48" s="1">
        <v>-2.9399999999999999E-2</v>
      </c>
      <c r="R48" s="1">
        <v>-5.3E-3</v>
      </c>
      <c r="S48" s="1">
        <v>0.1113</v>
      </c>
      <c r="T48" s="1">
        <v>0.1726</v>
      </c>
      <c r="U48" s="1">
        <v>1.1597</v>
      </c>
    </row>
    <row r="49" spans="1:21" x14ac:dyDescent="0.25">
      <c r="A49" t="s">
        <v>167</v>
      </c>
      <c r="B49" t="s">
        <v>168</v>
      </c>
      <c r="C49" t="s">
        <v>43</v>
      </c>
      <c r="D49" t="s">
        <v>169</v>
      </c>
      <c r="E49" t="s">
        <v>170</v>
      </c>
      <c r="F49" t="str">
        <f t="shared" si="0"/>
        <v>2018-05-20</v>
      </c>
      <c r="G49">
        <v>80.349999999999994</v>
      </c>
      <c r="H49" t="str">
        <f>"2016-08-28"</f>
        <v>2016-08-28</v>
      </c>
      <c r="I49" t="s">
        <v>26</v>
      </c>
      <c r="J49" t="str">
        <f>"2016-03-24"</f>
        <v>2016-03-24</v>
      </c>
      <c r="K49" t="s">
        <v>27</v>
      </c>
      <c r="L49">
        <v>2.6931504500000001</v>
      </c>
      <c r="M49">
        <v>48</v>
      </c>
      <c r="N49" s="1">
        <v>1.7311000000000001</v>
      </c>
      <c r="O49" s="1">
        <v>3.1589</v>
      </c>
      <c r="P49" s="1">
        <v>0</v>
      </c>
      <c r="Q49" s="1">
        <v>4.7600000000000003E-2</v>
      </c>
      <c r="R49" s="1">
        <v>4.4900000000000002E-2</v>
      </c>
      <c r="S49" s="1">
        <v>8.14E-2</v>
      </c>
      <c r="T49" s="1">
        <v>9.1700000000000004E-2</v>
      </c>
      <c r="U49" s="1">
        <v>0.81989999999999996</v>
      </c>
    </row>
    <row r="50" spans="1:21" x14ac:dyDescent="0.25">
      <c r="A50" t="s">
        <v>171</v>
      </c>
      <c r="B50" t="s">
        <v>172</v>
      </c>
      <c r="C50" t="s">
        <v>23</v>
      </c>
      <c r="D50" t="s">
        <v>173</v>
      </c>
      <c r="E50" t="s">
        <v>174</v>
      </c>
      <c r="F50" t="str">
        <f t="shared" si="0"/>
        <v>2018-05-20</v>
      </c>
      <c r="G50">
        <v>24.45</v>
      </c>
      <c r="H50" t="str">
        <f>"2016-07-18"</f>
        <v>2016-07-18</v>
      </c>
      <c r="I50" t="s">
        <v>26</v>
      </c>
      <c r="J50" t="str">
        <f>"2016-05-10"</f>
        <v>2016-05-10</v>
      </c>
      <c r="K50" t="s">
        <v>27</v>
      </c>
      <c r="L50">
        <v>2.6803005</v>
      </c>
      <c r="M50">
        <v>49</v>
      </c>
      <c r="N50" s="1">
        <v>1.7943</v>
      </c>
      <c r="O50" s="1">
        <v>3.0817999999999999</v>
      </c>
      <c r="P50" s="1">
        <v>0</v>
      </c>
      <c r="Q50" s="1">
        <v>2.5000000000000001E-3</v>
      </c>
      <c r="R50" s="1">
        <v>3.95E-2</v>
      </c>
      <c r="S50" s="1">
        <v>0.19209999999999999</v>
      </c>
      <c r="T50" s="1">
        <v>0.38529999999999998</v>
      </c>
      <c r="U50" s="1">
        <v>1.6662999999999999</v>
      </c>
    </row>
    <row r="51" spans="1:21" x14ac:dyDescent="0.25">
      <c r="A51" t="s">
        <v>175</v>
      </c>
      <c r="B51" t="s">
        <v>176</v>
      </c>
      <c r="C51" t="s">
        <v>30</v>
      </c>
      <c r="D51" t="s">
        <v>48</v>
      </c>
      <c r="E51" t="s">
        <v>177</v>
      </c>
      <c r="F51" t="str">
        <f t="shared" si="0"/>
        <v>2018-05-20</v>
      </c>
      <c r="G51">
        <v>91.42</v>
      </c>
      <c r="H51" t="str">
        <f>"2015-12-10"</f>
        <v>2015-12-10</v>
      </c>
      <c r="I51" t="s">
        <v>26</v>
      </c>
      <c r="J51" t="str">
        <f>"2015-10-15"</f>
        <v>2015-10-15</v>
      </c>
      <c r="K51" t="s">
        <v>27</v>
      </c>
      <c r="L51">
        <v>2.6799048000000001</v>
      </c>
      <c r="M51">
        <v>50</v>
      </c>
      <c r="N51" s="1">
        <v>1.8506</v>
      </c>
      <c r="O51" s="1">
        <v>3.0794000000000001</v>
      </c>
      <c r="P51" s="1">
        <v>-2.8999999999999998E-3</v>
      </c>
      <c r="Q51" s="1">
        <v>7.7999999999999996E-3</v>
      </c>
      <c r="R51" s="1">
        <v>3.0099999999999998E-2</v>
      </c>
      <c r="S51" s="1">
        <v>6.4000000000000003E-3</v>
      </c>
      <c r="T51" s="1">
        <v>0.1123</v>
      </c>
      <c r="U51" s="1">
        <v>0.48549999999999999</v>
      </c>
    </row>
    <row r="52" spans="1:21" x14ac:dyDescent="0.25">
      <c r="A52" t="s">
        <v>178</v>
      </c>
      <c r="B52" t="s">
        <v>179</v>
      </c>
      <c r="C52" t="s">
        <v>23</v>
      </c>
      <c r="D52" t="s">
        <v>24</v>
      </c>
      <c r="E52" t="s">
        <v>25</v>
      </c>
      <c r="F52" t="str">
        <f t="shared" si="0"/>
        <v>2018-05-20</v>
      </c>
      <c r="G52">
        <v>43.7</v>
      </c>
      <c r="H52" t="str">
        <f>"2016-12-01"</f>
        <v>2016-12-01</v>
      </c>
      <c r="I52" t="s">
        <v>26</v>
      </c>
      <c r="J52" t="str">
        <f>"2016-10-18"</f>
        <v>2016-10-18</v>
      </c>
      <c r="K52" t="s">
        <v>40</v>
      </c>
      <c r="L52">
        <v>2.6743827200000001</v>
      </c>
      <c r="M52">
        <v>51</v>
      </c>
      <c r="N52" s="1">
        <v>1.8655999999999999</v>
      </c>
      <c r="O52" s="1">
        <v>3.0463</v>
      </c>
      <c r="P52" s="1">
        <v>-1.5800000000000002E-2</v>
      </c>
      <c r="Q52" s="1">
        <v>-1.5800000000000002E-2</v>
      </c>
      <c r="R52" s="1">
        <v>1.1599999999999999E-2</v>
      </c>
      <c r="S52" s="1">
        <v>6.2E-2</v>
      </c>
      <c r="T52" s="1">
        <v>0.30059999999999998</v>
      </c>
      <c r="U52" s="1">
        <v>1.1369</v>
      </c>
    </row>
    <row r="53" spans="1:21" x14ac:dyDescent="0.25">
      <c r="A53" t="s">
        <v>180</v>
      </c>
      <c r="B53" t="s">
        <v>181</v>
      </c>
      <c r="C53" t="s">
        <v>87</v>
      </c>
      <c r="D53" t="s">
        <v>88</v>
      </c>
      <c r="E53" t="s">
        <v>89</v>
      </c>
      <c r="F53" t="str">
        <f t="shared" si="0"/>
        <v>2018-05-20</v>
      </c>
      <c r="G53">
        <v>16.07</v>
      </c>
      <c r="H53" t="str">
        <f>"2016-06-29"</f>
        <v>2016-06-29</v>
      </c>
      <c r="I53" t="s">
        <v>26</v>
      </c>
      <c r="J53" t="str">
        <f>"2016-04-28"</f>
        <v>2016-04-28</v>
      </c>
      <c r="K53" t="s">
        <v>27</v>
      </c>
      <c r="L53">
        <v>2.6629537999999999</v>
      </c>
      <c r="M53">
        <v>52</v>
      </c>
      <c r="N53" s="1">
        <v>0.75819999999999999</v>
      </c>
      <c r="O53" s="1">
        <v>2.9777</v>
      </c>
      <c r="P53" s="1">
        <v>-6.3500000000000001E-2</v>
      </c>
      <c r="Q53" s="1">
        <v>4.4000000000000003E-3</v>
      </c>
      <c r="R53" s="1">
        <v>2.4899999999999999E-2</v>
      </c>
      <c r="S53" s="1">
        <v>-5.4699999999999999E-2</v>
      </c>
      <c r="T53" s="1">
        <v>9.5399999999999999E-2</v>
      </c>
      <c r="U53" s="1">
        <v>0.1696</v>
      </c>
    </row>
    <row r="54" spans="1:21" x14ac:dyDescent="0.25">
      <c r="A54" t="s">
        <v>182</v>
      </c>
      <c r="B54" t="s">
        <v>183</v>
      </c>
      <c r="C54" t="s">
        <v>109</v>
      </c>
      <c r="D54" t="s">
        <v>110</v>
      </c>
      <c r="E54" t="s">
        <v>111</v>
      </c>
      <c r="F54" t="str">
        <f t="shared" si="0"/>
        <v>2018-05-20</v>
      </c>
      <c r="G54">
        <v>56.67</v>
      </c>
      <c r="H54" t="str">
        <f>"2017-10-12"</f>
        <v>2017-10-12</v>
      </c>
      <c r="I54" t="s">
        <v>26</v>
      </c>
      <c r="J54" t="str">
        <f>"2016-10-02"</f>
        <v>2016-10-02</v>
      </c>
      <c r="K54" t="s">
        <v>34</v>
      </c>
      <c r="L54">
        <v>2.6531811900000002</v>
      </c>
      <c r="M54">
        <v>53</v>
      </c>
      <c r="N54" s="1">
        <v>1.1957</v>
      </c>
      <c r="O54" s="1">
        <v>2.9190999999999998</v>
      </c>
      <c r="P54" s="1">
        <v>-4.1599999999999998E-2</v>
      </c>
      <c r="Q54" s="1">
        <v>-2.7E-2</v>
      </c>
      <c r="R54" s="1">
        <v>-1.15E-2</v>
      </c>
      <c r="S54" s="1">
        <v>5.2200000000000003E-2</v>
      </c>
      <c r="T54" s="1">
        <v>0.55089999999999995</v>
      </c>
      <c r="U54" s="1">
        <v>2.2383000000000002</v>
      </c>
    </row>
    <row r="55" spans="1:21" x14ac:dyDescent="0.25">
      <c r="A55" t="s">
        <v>184</v>
      </c>
      <c r="B55" t="s">
        <v>185</v>
      </c>
      <c r="C55" t="s">
        <v>30</v>
      </c>
      <c r="D55" t="s">
        <v>48</v>
      </c>
      <c r="E55" t="s">
        <v>49</v>
      </c>
      <c r="F55" t="str">
        <f t="shared" si="0"/>
        <v>2018-05-20</v>
      </c>
      <c r="G55">
        <v>109.7</v>
      </c>
      <c r="H55" t="str">
        <f>"2016-04-26"</f>
        <v>2016-04-26</v>
      </c>
      <c r="I55" t="s">
        <v>26</v>
      </c>
      <c r="J55" t="str">
        <f>"2016-04-21"</f>
        <v>2016-04-21</v>
      </c>
      <c r="K55" t="s">
        <v>27</v>
      </c>
      <c r="L55">
        <v>2.6492661000000002</v>
      </c>
      <c r="M55">
        <v>54</v>
      </c>
      <c r="N55" s="1">
        <v>1.5161</v>
      </c>
      <c r="O55" s="1">
        <v>2.8956</v>
      </c>
      <c r="P55" s="1">
        <v>-7.7399999999999997E-2</v>
      </c>
      <c r="Q55" s="1">
        <v>6.7999999999999996E-3</v>
      </c>
      <c r="R55" s="1">
        <v>4.8999999999999998E-3</v>
      </c>
      <c r="S55" s="1">
        <v>5.6800000000000003E-2</v>
      </c>
      <c r="T55" s="1">
        <v>-6.1999999999999998E-3</v>
      </c>
      <c r="U55" s="1">
        <v>0.37059999999999998</v>
      </c>
    </row>
    <row r="56" spans="1:21" x14ac:dyDescent="0.25">
      <c r="A56" t="s">
        <v>186</v>
      </c>
      <c r="B56" t="s">
        <v>187</v>
      </c>
      <c r="C56" t="s">
        <v>37</v>
      </c>
      <c r="D56" t="s">
        <v>38</v>
      </c>
      <c r="E56" t="s">
        <v>39</v>
      </c>
      <c r="F56" t="str">
        <f t="shared" si="0"/>
        <v>2018-05-20</v>
      </c>
      <c r="G56">
        <v>51.45</v>
      </c>
      <c r="H56" t="str">
        <f>"2017-12-31"</f>
        <v>2017-12-31</v>
      </c>
      <c r="I56" t="s">
        <v>26</v>
      </c>
      <c r="J56" t="str">
        <f>"2017-09-19"</f>
        <v>2017-09-19</v>
      </c>
      <c r="K56" t="s">
        <v>27</v>
      </c>
      <c r="L56">
        <v>2.6471698099999998</v>
      </c>
      <c r="M56">
        <v>55</v>
      </c>
      <c r="N56" s="1">
        <v>1.8425</v>
      </c>
      <c r="O56" s="1">
        <v>2.883</v>
      </c>
      <c r="P56" s="1">
        <v>0</v>
      </c>
      <c r="Q56" s="1">
        <v>2.8000000000000001E-2</v>
      </c>
      <c r="R56" s="1">
        <v>0.16139999999999999</v>
      </c>
      <c r="S56" s="1">
        <v>0.28139999999999998</v>
      </c>
      <c r="T56" s="1">
        <v>0.19370000000000001</v>
      </c>
      <c r="U56" s="1">
        <v>2.3849</v>
      </c>
    </row>
    <row r="57" spans="1:21" x14ac:dyDescent="0.25">
      <c r="A57" t="s">
        <v>188</v>
      </c>
      <c r="B57" t="s">
        <v>189</v>
      </c>
      <c r="C57" t="s">
        <v>23</v>
      </c>
      <c r="D57" t="s">
        <v>52</v>
      </c>
      <c r="E57" t="s">
        <v>190</v>
      </c>
      <c r="F57" t="str">
        <f t="shared" si="0"/>
        <v>2018-05-20</v>
      </c>
      <c r="G57">
        <v>23.83</v>
      </c>
      <c r="H57" t="str">
        <f>"2017-11-21"</f>
        <v>2017-11-21</v>
      </c>
      <c r="I57" t="s">
        <v>26</v>
      </c>
      <c r="J57" t="str">
        <f>"2017-11-12"</f>
        <v>2017-11-12</v>
      </c>
      <c r="K57" t="s">
        <v>27</v>
      </c>
      <c r="L57">
        <v>2.6405913999999999</v>
      </c>
      <c r="M57">
        <v>56</v>
      </c>
      <c r="N57" s="1">
        <v>0.7369</v>
      </c>
      <c r="O57" s="1">
        <v>2.8435000000000001</v>
      </c>
      <c r="P57" s="1">
        <v>-2.81E-2</v>
      </c>
      <c r="Q57" s="1">
        <v>1.84E-2</v>
      </c>
      <c r="R57" s="1">
        <v>0.1084</v>
      </c>
      <c r="S57" s="1">
        <v>0.22839999999999999</v>
      </c>
      <c r="T57" s="1">
        <v>0.33650000000000002</v>
      </c>
      <c r="U57" s="1">
        <v>1.9862</v>
      </c>
    </row>
    <row r="58" spans="1:21" x14ac:dyDescent="0.25">
      <c r="A58" t="s">
        <v>191</v>
      </c>
      <c r="B58" t="s">
        <v>192</v>
      </c>
      <c r="C58" t="s">
        <v>43</v>
      </c>
      <c r="D58" t="s">
        <v>193</v>
      </c>
      <c r="E58" t="s">
        <v>194</v>
      </c>
      <c r="F58" t="str">
        <f t="shared" si="0"/>
        <v>2018-05-20</v>
      </c>
      <c r="G58">
        <v>50.5</v>
      </c>
      <c r="H58" t="str">
        <f>"2016-03-24"</f>
        <v>2016-03-24</v>
      </c>
      <c r="I58" t="s">
        <v>26</v>
      </c>
      <c r="J58" t="str">
        <f>"2016-03-13"</f>
        <v>2016-03-13</v>
      </c>
      <c r="K58" t="s">
        <v>27</v>
      </c>
      <c r="L58">
        <v>2.63474108</v>
      </c>
      <c r="M58">
        <v>57</v>
      </c>
      <c r="N58" s="1">
        <v>1.4901</v>
      </c>
      <c r="O58" s="1">
        <v>2.8083999999999998</v>
      </c>
      <c r="P58" s="1">
        <v>-7.7600000000000002E-2</v>
      </c>
      <c r="Q58" s="1">
        <v>2.3300000000000001E-2</v>
      </c>
      <c r="R58" s="1">
        <v>3.1699999999999999E-2</v>
      </c>
      <c r="S58" s="1">
        <v>0.12470000000000001</v>
      </c>
      <c r="T58" s="1">
        <v>-4.2700000000000002E-2</v>
      </c>
      <c r="U58" s="1">
        <v>0.20810000000000001</v>
      </c>
    </row>
    <row r="59" spans="1:21" x14ac:dyDescent="0.25">
      <c r="A59" t="s">
        <v>195</v>
      </c>
      <c r="B59" t="s">
        <v>196</v>
      </c>
      <c r="C59" t="s">
        <v>23</v>
      </c>
      <c r="D59" t="s">
        <v>52</v>
      </c>
      <c r="E59" t="s">
        <v>190</v>
      </c>
      <c r="F59" t="str">
        <f t="shared" si="0"/>
        <v>2018-05-20</v>
      </c>
      <c r="G59">
        <v>35.159999999999997</v>
      </c>
      <c r="H59" t="str">
        <f>"2017-10-24"</f>
        <v>2017-10-24</v>
      </c>
      <c r="I59" t="s">
        <v>26</v>
      </c>
      <c r="J59" t="str">
        <f>"2017-09-28"</f>
        <v>2017-09-28</v>
      </c>
      <c r="K59" t="s">
        <v>27</v>
      </c>
      <c r="L59">
        <v>2.62010582</v>
      </c>
      <c r="M59">
        <v>58</v>
      </c>
      <c r="N59" s="1">
        <v>1.1989000000000001</v>
      </c>
      <c r="O59" s="1">
        <v>2.7206000000000001</v>
      </c>
      <c r="P59" s="1">
        <v>0</v>
      </c>
      <c r="Q59" s="1">
        <v>2.2100000000000002E-2</v>
      </c>
      <c r="R59" s="1">
        <v>1.9699999999999999E-2</v>
      </c>
      <c r="S59" s="1">
        <v>0.1787</v>
      </c>
      <c r="T59" s="1">
        <v>0.48170000000000002</v>
      </c>
      <c r="U59" s="1">
        <v>2.2168000000000001</v>
      </c>
    </row>
    <row r="60" spans="1:21" x14ac:dyDescent="0.25">
      <c r="A60" t="s">
        <v>197</v>
      </c>
      <c r="B60" t="s">
        <v>198</v>
      </c>
      <c r="C60" t="s">
        <v>100</v>
      </c>
      <c r="D60" t="s">
        <v>199</v>
      </c>
      <c r="E60" t="s">
        <v>200</v>
      </c>
      <c r="F60" t="str">
        <f t="shared" si="0"/>
        <v>2018-05-20</v>
      </c>
      <c r="G60">
        <v>83.4</v>
      </c>
      <c r="H60" t="str">
        <f>"2017-05-14"</f>
        <v>2017-05-14</v>
      </c>
      <c r="I60" t="s">
        <v>26</v>
      </c>
      <c r="J60" t="str">
        <f>"2016-05-02"</f>
        <v>2016-05-02</v>
      </c>
      <c r="K60" t="s">
        <v>34</v>
      </c>
      <c r="L60">
        <v>2.6177777799999999</v>
      </c>
      <c r="M60">
        <v>59</v>
      </c>
      <c r="N60" s="1">
        <v>0.41049999999999998</v>
      </c>
      <c r="O60" s="1">
        <v>2.7067000000000001</v>
      </c>
      <c r="P60" s="1">
        <v>-7.4999999999999997E-3</v>
      </c>
      <c r="Q60" s="1">
        <v>-7.4999999999999997E-3</v>
      </c>
      <c r="R60" s="1">
        <v>4.6699999999999998E-2</v>
      </c>
      <c r="S60" s="1">
        <v>2.2599999999999999E-2</v>
      </c>
      <c r="T60" s="1">
        <v>2.7900000000000001E-2</v>
      </c>
      <c r="U60" s="1">
        <v>0.4143</v>
      </c>
    </row>
    <row r="61" spans="1:21" x14ac:dyDescent="0.25">
      <c r="A61" t="s">
        <v>201</v>
      </c>
      <c r="B61" t="s">
        <v>202</v>
      </c>
      <c r="C61" t="s">
        <v>100</v>
      </c>
      <c r="D61" t="s">
        <v>199</v>
      </c>
      <c r="E61" t="s">
        <v>200</v>
      </c>
      <c r="F61" t="str">
        <f t="shared" si="0"/>
        <v>2018-05-20</v>
      </c>
      <c r="G61">
        <v>50.59</v>
      </c>
      <c r="H61" t="str">
        <f>"2016-05-17"</f>
        <v>2016-05-17</v>
      </c>
      <c r="I61" t="s">
        <v>26</v>
      </c>
      <c r="J61" t="str">
        <f>"2016-04-13"</f>
        <v>2016-04-13</v>
      </c>
      <c r="K61" t="s">
        <v>27</v>
      </c>
      <c r="L61">
        <v>2.6168007800000002</v>
      </c>
      <c r="M61">
        <v>60</v>
      </c>
      <c r="N61" s="1">
        <v>0.91559999999999997</v>
      </c>
      <c r="O61" s="1">
        <v>2.7008000000000001</v>
      </c>
      <c r="P61" s="1">
        <v>-4.2000000000000003E-2</v>
      </c>
      <c r="Q61" s="1">
        <v>1.0200000000000001E-2</v>
      </c>
      <c r="R61" s="1">
        <v>7.6799999999999993E-2</v>
      </c>
      <c r="S61" s="1">
        <v>-2.4299999999999999E-2</v>
      </c>
      <c r="T61" s="1">
        <v>0.1227</v>
      </c>
      <c r="U61" s="1">
        <v>0.47970000000000002</v>
      </c>
    </row>
    <row r="62" spans="1:21" x14ac:dyDescent="0.25">
      <c r="A62" t="s">
        <v>203</v>
      </c>
      <c r="B62" t="s">
        <v>204</v>
      </c>
      <c r="C62" t="s">
        <v>43</v>
      </c>
      <c r="D62" t="s">
        <v>119</v>
      </c>
      <c r="E62" t="s">
        <v>205</v>
      </c>
      <c r="F62" t="str">
        <f t="shared" si="0"/>
        <v>2018-05-20</v>
      </c>
      <c r="G62">
        <v>66.900000000000006</v>
      </c>
      <c r="H62" t="str">
        <f>"2017-01-26"</f>
        <v>2017-01-26</v>
      </c>
      <c r="I62" t="s">
        <v>26</v>
      </c>
      <c r="J62" t="str">
        <f>"2016-12-04"</f>
        <v>2016-12-04</v>
      </c>
      <c r="K62" t="s">
        <v>27</v>
      </c>
      <c r="L62">
        <v>2.61432507</v>
      </c>
      <c r="M62">
        <v>61</v>
      </c>
      <c r="N62" s="1">
        <v>1.1546000000000001</v>
      </c>
      <c r="O62" s="1">
        <v>2.6859999999999999</v>
      </c>
      <c r="P62" s="1">
        <v>0</v>
      </c>
      <c r="Q62" s="1">
        <v>1.5E-3</v>
      </c>
      <c r="R62" s="1">
        <v>6.7999999999999996E-3</v>
      </c>
      <c r="S62" s="1">
        <v>0.2054</v>
      </c>
      <c r="T62" s="1">
        <v>0.30159999999999998</v>
      </c>
      <c r="U62" s="1">
        <v>0.70230000000000004</v>
      </c>
    </row>
    <row r="63" spans="1:21" x14ac:dyDescent="0.25">
      <c r="A63" t="s">
        <v>206</v>
      </c>
      <c r="B63" t="s">
        <v>207</v>
      </c>
      <c r="C63" t="s">
        <v>114</v>
      </c>
      <c r="D63" t="s">
        <v>115</v>
      </c>
      <c r="E63" t="s">
        <v>116</v>
      </c>
      <c r="F63" t="str">
        <f t="shared" si="0"/>
        <v>2018-05-20</v>
      </c>
      <c r="G63">
        <v>21.55</v>
      </c>
      <c r="H63" t="str">
        <f>"2016-06-01"</f>
        <v>2016-06-01</v>
      </c>
      <c r="I63" t="s">
        <v>26</v>
      </c>
      <c r="J63" t="str">
        <f>"2016-05-04"</f>
        <v>2016-05-04</v>
      </c>
      <c r="K63" t="s">
        <v>27</v>
      </c>
      <c r="L63">
        <v>2.6129123999999999</v>
      </c>
      <c r="M63">
        <v>62</v>
      </c>
      <c r="N63" s="1">
        <v>1.3681000000000001</v>
      </c>
      <c r="O63" s="1">
        <v>2.6775000000000002</v>
      </c>
      <c r="P63" s="1">
        <v>-9.1999999999999998E-3</v>
      </c>
      <c r="Q63" s="1">
        <v>-9.1999999999999998E-3</v>
      </c>
      <c r="R63" s="1">
        <v>4.87E-2</v>
      </c>
      <c r="S63" s="1">
        <v>0.1051</v>
      </c>
      <c r="T63" s="1">
        <v>8.0199999999999994E-2</v>
      </c>
      <c r="U63" s="1">
        <v>0.46100000000000002</v>
      </c>
    </row>
    <row r="64" spans="1:21" x14ac:dyDescent="0.25">
      <c r="A64" t="s">
        <v>208</v>
      </c>
      <c r="B64" t="s">
        <v>209</v>
      </c>
      <c r="C64" t="s">
        <v>87</v>
      </c>
      <c r="D64" t="s">
        <v>144</v>
      </c>
      <c r="E64" t="s">
        <v>145</v>
      </c>
      <c r="F64" t="str">
        <f t="shared" si="0"/>
        <v>2018-05-20</v>
      </c>
      <c r="G64">
        <v>6.2</v>
      </c>
      <c r="H64" t="str">
        <f>"2017-12-31"</f>
        <v>2017-12-31</v>
      </c>
      <c r="I64" t="s">
        <v>26</v>
      </c>
      <c r="J64" t="str">
        <f>"2017-09-27"</f>
        <v>2017-09-27</v>
      </c>
      <c r="K64" t="s">
        <v>27</v>
      </c>
      <c r="L64">
        <v>2.6078431399999999</v>
      </c>
      <c r="M64">
        <v>63</v>
      </c>
      <c r="N64" s="1">
        <v>1.0327999999999999</v>
      </c>
      <c r="O64" s="1">
        <v>2.6471</v>
      </c>
      <c r="P64" s="1">
        <v>0</v>
      </c>
      <c r="Q64" s="1">
        <v>5.9799999999999999E-2</v>
      </c>
      <c r="R64" s="1">
        <v>0.2157</v>
      </c>
      <c r="S64" s="1">
        <v>0.85070000000000001</v>
      </c>
      <c r="T64" s="1">
        <v>1</v>
      </c>
      <c r="U64" s="1">
        <v>1.1378999999999999</v>
      </c>
    </row>
    <row r="65" spans="1:21" x14ac:dyDescent="0.25">
      <c r="A65" t="s">
        <v>210</v>
      </c>
      <c r="B65" t="s">
        <v>211</v>
      </c>
      <c r="C65" t="s">
        <v>23</v>
      </c>
      <c r="D65" t="s">
        <v>173</v>
      </c>
      <c r="E65" t="s">
        <v>212</v>
      </c>
      <c r="F65" t="str">
        <f t="shared" si="0"/>
        <v>2018-05-20</v>
      </c>
      <c r="G65">
        <v>82.96</v>
      </c>
      <c r="H65" t="str">
        <f>"2017-10-03"</f>
        <v>2017-10-03</v>
      </c>
      <c r="I65" t="s">
        <v>26</v>
      </c>
      <c r="J65" t="str">
        <f>"2016-09-21"</f>
        <v>2016-09-21</v>
      </c>
      <c r="K65" t="s">
        <v>34</v>
      </c>
      <c r="L65">
        <v>2.6064327500000002</v>
      </c>
      <c r="M65">
        <v>64</v>
      </c>
      <c r="N65" s="1">
        <v>0.37059999999999998</v>
      </c>
      <c r="O65" s="1">
        <v>2.6385999999999998</v>
      </c>
      <c r="P65" s="1">
        <v>-3.1199999999999999E-2</v>
      </c>
      <c r="Q65" s="1">
        <v>-3.1199999999999999E-2</v>
      </c>
      <c r="R65" s="1">
        <v>0.10730000000000001</v>
      </c>
      <c r="S65" s="1">
        <v>0.54430000000000001</v>
      </c>
      <c r="T65" s="1">
        <v>0.4461</v>
      </c>
      <c r="U65" s="1">
        <v>0.57989999999999997</v>
      </c>
    </row>
    <row r="66" spans="1:21" x14ac:dyDescent="0.25">
      <c r="A66" t="s">
        <v>213</v>
      </c>
      <c r="B66" t="s">
        <v>214</v>
      </c>
      <c r="C66" t="s">
        <v>109</v>
      </c>
      <c r="D66" t="s">
        <v>110</v>
      </c>
      <c r="E66" t="s">
        <v>111</v>
      </c>
      <c r="F66" t="str">
        <f t="shared" ref="F66:F129" si="1">"2018-05-20"</f>
        <v>2018-05-20</v>
      </c>
      <c r="G66">
        <v>59.5</v>
      </c>
      <c r="H66" t="str">
        <f>"2015-11-30"</f>
        <v>2015-11-30</v>
      </c>
      <c r="I66" t="s">
        <v>26</v>
      </c>
      <c r="J66" t="str">
        <f>"2015-11-04"</f>
        <v>2015-11-04</v>
      </c>
      <c r="K66" t="s">
        <v>27</v>
      </c>
      <c r="L66">
        <v>2.5984711300000001</v>
      </c>
      <c r="M66">
        <v>65</v>
      </c>
      <c r="N66" s="1">
        <v>1.679</v>
      </c>
      <c r="O66" s="1">
        <v>2.5908000000000002</v>
      </c>
      <c r="P66" s="1">
        <v>-3.2500000000000001E-2</v>
      </c>
      <c r="Q66" s="1">
        <v>-8.0000000000000004E-4</v>
      </c>
      <c r="R66" s="1">
        <v>1.0200000000000001E-2</v>
      </c>
      <c r="S66" s="1">
        <v>0.10290000000000001</v>
      </c>
      <c r="T66" s="1">
        <v>0.1678</v>
      </c>
      <c r="U66" s="1">
        <v>0.71970000000000001</v>
      </c>
    </row>
    <row r="67" spans="1:21" x14ac:dyDescent="0.25">
      <c r="A67" t="s">
        <v>215</v>
      </c>
      <c r="B67" t="s">
        <v>216</v>
      </c>
      <c r="C67" t="s">
        <v>100</v>
      </c>
      <c r="D67" t="s">
        <v>217</v>
      </c>
      <c r="E67" t="s">
        <v>218</v>
      </c>
      <c r="F67" t="str">
        <f t="shared" si="1"/>
        <v>2018-05-20</v>
      </c>
      <c r="G67">
        <v>4.97</v>
      </c>
      <c r="H67" t="str">
        <f>"2017-06-13"</f>
        <v>2017-06-13</v>
      </c>
      <c r="I67" t="s">
        <v>26</v>
      </c>
      <c r="J67" t="str">
        <f>"2017-03-14"</f>
        <v>2017-03-14</v>
      </c>
      <c r="K67" t="s">
        <v>40</v>
      </c>
      <c r="L67">
        <v>2.59166667</v>
      </c>
      <c r="M67">
        <v>66</v>
      </c>
      <c r="N67" s="1">
        <v>1.004</v>
      </c>
      <c r="O67" s="1">
        <v>2.5499999999999998</v>
      </c>
      <c r="P67" s="1">
        <v>-1.5800000000000002E-2</v>
      </c>
      <c r="Q67" s="1">
        <v>1.84E-2</v>
      </c>
      <c r="R67" s="1">
        <v>0.14779999999999999</v>
      </c>
      <c r="S67" s="1">
        <v>0.1976</v>
      </c>
      <c r="T67" s="1">
        <v>0.30790000000000001</v>
      </c>
      <c r="U67" s="1">
        <v>1.1702999999999999</v>
      </c>
    </row>
    <row r="68" spans="1:21" x14ac:dyDescent="0.25">
      <c r="A68" t="s">
        <v>219</v>
      </c>
      <c r="B68" t="s">
        <v>220</v>
      </c>
      <c r="C68" t="s">
        <v>100</v>
      </c>
      <c r="D68" t="s">
        <v>199</v>
      </c>
      <c r="E68" t="s">
        <v>200</v>
      </c>
      <c r="F68" t="str">
        <f t="shared" si="1"/>
        <v>2018-05-20</v>
      </c>
      <c r="G68">
        <v>14.1</v>
      </c>
      <c r="H68" t="str">
        <f>"2017-06-06"</f>
        <v>2017-06-06</v>
      </c>
      <c r="I68" t="s">
        <v>26</v>
      </c>
      <c r="J68" t="str">
        <f>"2017-04-10"</f>
        <v>2017-04-10</v>
      </c>
      <c r="K68" t="s">
        <v>40</v>
      </c>
      <c r="L68">
        <v>2.5874999999999999</v>
      </c>
      <c r="M68">
        <v>67</v>
      </c>
      <c r="N68" s="1">
        <v>2.0989</v>
      </c>
      <c r="O68" s="1">
        <v>2.5249999999999999</v>
      </c>
      <c r="P68" s="1">
        <v>0</v>
      </c>
      <c r="Q68" s="1">
        <v>4.4400000000000002E-2</v>
      </c>
      <c r="R68" s="1">
        <v>7.6300000000000007E-2</v>
      </c>
      <c r="S68" s="1">
        <v>0.25330000000000003</v>
      </c>
      <c r="T68" s="1">
        <v>0.54100000000000004</v>
      </c>
      <c r="U68" s="1">
        <v>2.0651999999999999</v>
      </c>
    </row>
    <row r="69" spans="1:21" x14ac:dyDescent="0.25">
      <c r="A69" t="s">
        <v>221</v>
      </c>
      <c r="B69" t="s">
        <v>222</v>
      </c>
      <c r="C69" t="s">
        <v>23</v>
      </c>
      <c r="D69" t="s">
        <v>52</v>
      </c>
      <c r="E69" t="s">
        <v>56</v>
      </c>
      <c r="F69" t="str">
        <f t="shared" si="1"/>
        <v>2018-05-20</v>
      </c>
      <c r="G69">
        <v>36.9</v>
      </c>
      <c r="H69" t="str">
        <f>"2017-08-16"</f>
        <v>2017-08-16</v>
      </c>
      <c r="I69" t="s">
        <v>26</v>
      </c>
      <c r="J69" t="str">
        <f>"2016-08-04"</f>
        <v>2016-08-04</v>
      </c>
      <c r="K69" t="s">
        <v>34</v>
      </c>
      <c r="L69">
        <v>2.5840455800000002</v>
      </c>
      <c r="M69">
        <v>68</v>
      </c>
      <c r="N69" s="1">
        <v>0.56089999999999995</v>
      </c>
      <c r="O69" s="1">
        <v>2.5043000000000002</v>
      </c>
      <c r="P69" s="1">
        <v>-2.3999999999999998E-3</v>
      </c>
      <c r="Q69" s="1">
        <v>-2.3999999999999998E-3</v>
      </c>
      <c r="R69" s="1">
        <v>3.39E-2</v>
      </c>
      <c r="S69" s="1">
        <v>6.4000000000000001E-2</v>
      </c>
      <c r="T69" s="1">
        <v>0.25340000000000001</v>
      </c>
      <c r="U69" s="1">
        <v>0.98280000000000001</v>
      </c>
    </row>
    <row r="70" spans="1:21" x14ac:dyDescent="0.25">
      <c r="A70" t="s">
        <v>223</v>
      </c>
      <c r="B70" t="s">
        <v>224</v>
      </c>
      <c r="C70" t="s">
        <v>114</v>
      </c>
      <c r="D70" t="s">
        <v>225</v>
      </c>
      <c r="E70" t="s">
        <v>226</v>
      </c>
      <c r="F70" t="str">
        <f t="shared" si="1"/>
        <v>2018-05-20</v>
      </c>
      <c r="G70">
        <v>19.809999999999999</v>
      </c>
      <c r="H70" t="str">
        <f>"2018-02-22"</f>
        <v>2018-02-22</v>
      </c>
      <c r="I70" t="s">
        <v>26</v>
      </c>
      <c r="J70" t="str">
        <f>"2017-02-07"</f>
        <v>2017-02-07</v>
      </c>
      <c r="K70" t="s">
        <v>57</v>
      </c>
      <c r="L70">
        <v>2.58230453</v>
      </c>
      <c r="M70">
        <v>69</v>
      </c>
      <c r="N70" s="1">
        <v>0.48499999999999999</v>
      </c>
      <c r="O70" s="1">
        <v>2.4937999999999998</v>
      </c>
      <c r="P70" s="1">
        <v>0</v>
      </c>
      <c r="Q70" s="1">
        <v>1.0699999999999999E-2</v>
      </c>
      <c r="R70" s="1">
        <v>6.2799999999999995E-2</v>
      </c>
      <c r="S70" s="1">
        <v>0.37859999999999999</v>
      </c>
      <c r="T70" s="1">
        <v>0.42309999999999998</v>
      </c>
      <c r="U70" s="1">
        <v>0.5635</v>
      </c>
    </row>
    <row r="71" spans="1:21" x14ac:dyDescent="0.25">
      <c r="A71" t="s">
        <v>227</v>
      </c>
      <c r="B71" t="s">
        <v>228</v>
      </c>
      <c r="C71" t="s">
        <v>43</v>
      </c>
      <c r="D71" t="s">
        <v>150</v>
      </c>
      <c r="E71" t="s">
        <v>151</v>
      </c>
      <c r="F71" t="str">
        <f t="shared" si="1"/>
        <v>2018-05-20</v>
      </c>
      <c r="G71">
        <v>43.45</v>
      </c>
      <c r="H71" t="str">
        <f>"2017-09-17"</f>
        <v>2017-09-17</v>
      </c>
      <c r="I71" t="s">
        <v>26</v>
      </c>
      <c r="J71" t="str">
        <f>"2017-05-24"</f>
        <v>2017-05-24</v>
      </c>
      <c r="K71" t="s">
        <v>40</v>
      </c>
      <c r="L71">
        <v>2.58165997</v>
      </c>
      <c r="M71">
        <v>70</v>
      </c>
      <c r="N71" s="1">
        <v>1.8774999999999999</v>
      </c>
      <c r="O71" s="1">
        <v>2.4900000000000002</v>
      </c>
      <c r="P71" s="1">
        <v>0</v>
      </c>
      <c r="Q71" s="1">
        <v>1.8800000000000001E-2</v>
      </c>
      <c r="R71" s="1">
        <v>8.0799999999999997E-2</v>
      </c>
      <c r="S71" s="1">
        <v>0.51129999999999998</v>
      </c>
      <c r="T71" s="1">
        <v>0.90990000000000004</v>
      </c>
      <c r="U71" s="1">
        <v>2.1372</v>
      </c>
    </row>
    <row r="72" spans="1:21" x14ac:dyDescent="0.25">
      <c r="A72" t="s">
        <v>229</v>
      </c>
      <c r="B72" t="s">
        <v>230</v>
      </c>
      <c r="C72" t="s">
        <v>23</v>
      </c>
      <c r="D72" t="s">
        <v>52</v>
      </c>
      <c r="E72" t="s">
        <v>56</v>
      </c>
      <c r="F72" t="str">
        <f t="shared" si="1"/>
        <v>2018-05-20</v>
      </c>
      <c r="G72">
        <v>248.9</v>
      </c>
      <c r="H72" t="str">
        <f>"2016-08-25"</f>
        <v>2016-08-25</v>
      </c>
      <c r="I72" t="s">
        <v>26</v>
      </c>
      <c r="J72" t="str">
        <f>"2016-06-27"</f>
        <v>2016-06-27</v>
      </c>
      <c r="K72" t="s">
        <v>40</v>
      </c>
      <c r="L72">
        <v>2.5814877100000002</v>
      </c>
      <c r="M72">
        <v>71</v>
      </c>
      <c r="N72" s="1">
        <v>1.6333</v>
      </c>
      <c r="O72" s="1">
        <v>2.4889000000000001</v>
      </c>
      <c r="P72" s="1">
        <v>0</v>
      </c>
      <c r="Q72" s="1">
        <v>3.5999999999999999E-3</v>
      </c>
      <c r="R72" s="1">
        <v>1.24E-2</v>
      </c>
      <c r="S72" s="1">
        <v>0.13550000000000001</v>
      </c>
      <c r="T72" s="1">
        <v>0.23830000000000001</v>
      </c>
      <c r="U72" s="1">
        <v>1.0335000000000001</v>
      </c>
    </row>
    <row r="73" spans="1:21" x14ac:dyDescent="0.25">
      <c r="A73" t="s">
        <v>231</v>
      </c>
      <c r="B73" t="s">
        <v>232</v>
      </c>
      <c r="C73" t="s">
        <v>30</v>
      </c>
      <c r="D73" t="s">
        <v>31</v>
      </c>
      <c r="E73" t="s">
        <v>31</v>
      </c>
      <c r="F73" t="str">
        <f t="shared" si="1"/>
        <v>2018-05-20</v>
      </c>
      <c r="G73">
        <v>23.85</v>
      </c>
      <c r="H73" t="str">
        <f>"2016-07-28"</f>
        <v>2016-07-28</v>
      </c>
      <c r="I73" t="s">
        <v>26</v>
      </c>
      <c r="J73" t="str">
        <f>"2016-07-17"</f>
        <v>2016-07-17</v>
      </c>
      <c r="K73" t="s">
        <v>27</v>
      </c>
      <c r="L73">
        <v>2.5811403500000001</v>
      </c>
      <c r="M73">
        <v>72</v>
      </c>
      <c r="N73" s="1">
        <v>1.4765999999999999</v>
      </c>
      <c r="O73" s="1">
        <v>2.4868000000000001</v>
      </c>
      <c r="P73" s="1">
        <v>-1.8499999999999999E-2</v>
      </c>
      <c r="Q73" s="1">
        <v>6.3E-3</v>
      </c>
      <c r="R73" s="1">
        <v>3.0200000000000001E-2</v>
      </c>
      <c r="S73" s="1">
        <v>-2.0999999999999999E-3</v>
      </c>
      <c r="T73" s="1">
        <v>4.1500000000000002E-2</v>
      </c>
      <c r="U73" s="1">
        <v>0.252</v>
      </c>
    </row>
    <row r="74" spans="1:21" x14ac:dyDescent="0.25">
      <c r="A74" t="s">
        <v>233</v>
      </c>
      <c r="B74" t="s">
        <v>234</v>
      </c>
      <c r="C74" t="s">
        <v>37</v>
      </c>
      <c r="D74" t="s">
        <v>38</v>
      </c>
      <c r="E74" t="s">
        <v>39</v>
      </c>
      <c r="F74" t="str">
        <f t="shared" si="1"/>
        <v>2018-05-20</v>
      </c>
      <c r="G74">
        <v>19.45</v>
      </c>
      <c r="H74" t="str">
        <f>"2017-07-16"</f>
        <v>2017-07-16</v>
      </c>
      <c r="I74" t="s">
        <v>26</v>
      </c>
      <c r="J74" t="str">
        <f>"2017-01-22"</f>
        <v>2017-01-22</v>
      </c>
      <c r="K74" t="s">
        <v>40</v>
      </c>
      <c r="L74">
        <v>2.5788690500000002</v>
      </c>
      <c r="M74">
        <v>73</v>
      </c>
      <c r="N74" s="1">
        <v>0.87919999999999998</v>
      </c>
      <c r="O74" s="1">
        <v>2.4731999999999998</v>
      </c>
      <c r="P74" s="1">
        <v>-2.5999999999999999E-3</v>
      </c>
      <c r="Q74" s="1">
        <v>0</v>
      </c>
      <c r="R74" s="1">
        <v>0</v>
      </c>
      <c r="S74" s="1">
        <v>0.16470000000000001</v>
      </c>
      <c r="T74" s="1">
        <v>0.10829999999999999</v>
      </c>
      <c r="U74" s="1">
        <v>1.4160999999999999</v>
      </c>
    </row>
    <row r="75" spans="1:21" x14ac:dyDescent="0.25">
      <c r="A75" t="s">
        <v>235</v>
      </c>
      <c r="B75" t="s">
        <v>236</v>
      </c>
      <c r="C75" t="s">
        <v>109</v>
      </c>
      <c r="D75" t="s">
        <v>110</v>
      </c>
      <c r="E75" t="s">
        <v>111</v>
      </c>
      <c r="F75" t="str">
        <f t="shared" si="1"/>
        <v>2018-05-20</v>
      </c>
      <c r="G75">
        <v>96.39</v>
      </c>
      <c r="H75" t="str">
        <f>"2017-02-12"</f>
        <v>2017-02-12</v>
      </c>
      <c r="I75" t="s">
        <v>26</v>
      </c>
      <c r="J75" t="str">
        <f>"2016-12-15"</f>
        <v>2016-12-15</v>
      </c>
      <c r="K75" t="s">
        <v>40</v>
      </c>
      <c r="L75">
        <v>2.5749821000000002</v>
      </c>
      <c r="M75">
        <v>74</v>
      </c>
      <c r="N75" s="1">
        <v>1.6775</v>
      </c>
      <c r="O75" s="1">
        <v>2.4499</v>
      </c>
      <c r="P75" s="1">
        <v>0</v>
      </c>
      <c r="Q75" s="1">
        <v>1.8599999999999998E-2</v>
      </c>
      <c r="R75" s="1">
        <v>9.0300000000000005E-2</v>
      </c>
      <c r="S75" s="1">
        <v>0.2878</v>
      </c>
      <c r="T75" s="1">
        <v>0.35780000000000001</v>
      </c>
      <c r="U75" s="1">
        <v>1.222</v>
      </c>
    </row>
    <row r="76" spans="1:21" x14ac:dyDescent="0.25">
      <c r="A76" t="s">
        <v>237</v>
      </c>
      <c r="B76" t="s">
        <v>238</v>
      </c>
      <c r="C76" t="s">
        <v>43</v>
      </c>
      <c r="D76" t="s">
        <v>193</v>
      </c>
      <c r="E76" t="s">
        <v>239</v>
      </c>
      <c r="F76" t="str">
        <f t="shared" si="1"/>
        <v>2018-05-20</v>
      </c>
      <c r="G76">
        <v>118.74</v>
      </c>
      <c r="H76" t="str">
        <f>"2016-03-16"</f>
        <v>2016-03-16</v>
      </c>
      <c r="I76" t="s">
        <v>26</v>
      </c>
      <c r="J76" t="str">
        <f>"2016-02-28"</f>
        <v>2016-02-28</v>
      </c>
      <c r="K76" t="s">
        <v>27</v>
      </c>
      <c r="L76">
        <v>2.5736231900000002</v>
      </c>
      <c r="M76">
        <v>75</v>
      </c>
      <c r="N76" s="1">
        <v>1.6937</v>
      </c>
      <c r="O76" s="1">
        <v>2.4417</v>
      </c>
      <c r="P76" s="1">
        <v>0</v>
      </c>
      <c r="Q76" s="1">
        <v>9.9000000000000008E-3</v>
      </c>
      <c r="R76" s="1">
        <v>6.83E-2</v>
      </c>
      <c r="S76" s="1">
        <v>0.1236</v>
      </c>
      <c r="T76" s="1">
        <v>6.0699999999999997E-2</v>
      </c>
      <c r="U76" s="1">
        <v>0.85589999999999999</v>
      </c>
    </row>
    <row r="77" spans="1:21" x14ac:dyDescent="0.25">
      <c r="A77" t="s">
        <v>240</v>
      </c>
      <c r="B77" t="s">
        <v>241</v>
      </c>
      <c r="C77" t="s">
        <v>37</v>
      </c>
      <c r="D77" t="s">
        <v>66</v>
      </c>
      <c r="E77" t="s">
        <v>67</v>
      </c>
      <c r="F77" t="str">
        <f t="shared" si="1"/>
        <v>2018-05-20</v>
      </c>
      <c r="G77">
        <v>63.48</v>
      </c>
      <c r="H77" t="str">
        <f>"2016-11-23"</f>
        <v>2016-11-23</v>
      </c>
      <c r="I77" t="s">
        <v>26</v>
      </c>
      <c r="J77" t="str">
        <f>"2016-11-03"</f>
        <v>2016-11-03</v>
      </c>
      <c r="K77" t="s">
        <v>40</v>
      </c>
      <c r="L77">
        <v>2.5709659999999999</v>
      </c>
      <c r="M77">
        <v>76</v>
      </c>
      <c r="N77" s="1">
        <v>1.7162999999999999</v>
      </c>
      <c r="O77" s="1">
        <v>2.4258000000000002</v>
      </c>
      <c r="P77" s="1">
        <v>-7.7000000000000002E-3</v>
      </c>
      <c r="Q77" s="1">
        <v>-7.7000000000000002E-3</v>
      </c>
      <c r="R77" s="1">
        <v>5.6800000000000003E-2</v>
      </c>
      <c r="S77" s="1">
        <v>0.1452</v>
      </c>
      <c r="T77" s="1">
        <v>0.41</v>
      </c>
      <c r="U77" s="1">
        <v>1.5835999999999999</v>
      </c>
    </row>
    <row r="78" spans="1:21" x14ac:dyDescent="0.25">
      <c r="A78" t="s">
        <v>242</v>
      </c>
      <c r="B78" t="s">
        <v>243</v>
      </c>
      <c r="C78" t="s">
        <v>30</v>
      </c>
      <c r="D78" t="s">
        <v>48</v>
      </c>
      <c r="E78" t="s">
        <v>49</v>
      </c>
      <c r="F78" t="str">
        <f t="shared" si="1"/>
        <v>2018-05-20</v>
      </c>
      <c r="G78">
        <v>73.599999999999994</v>
      </c>
      <c r="H78" t="str">
        <f>"2016-11-17"</f>
        <v>2016-11-17</v>
      </c>
      <c r="I78" t="s">
        <v>26</v>
      </c>
      <c r="J78" t="str">
        <f>"2016-10-30"</f>
        <v>2016-10-30</v>
      </c>
      <c r="K78" t="s">
        <v>40</v>
      </c>
      <c r="L78">
        <v>2.5708081300000001</v>
      </c>
      <c r="M78">
        <v>77</v>
      </c>
      <c r="N78" s="1">
        <v>2.0375999999999999</v>
      </c>
      <c r="O78" s="1">
        <v>2.4247999999999998</v>
      </c>
      <c r="P78" s="1">
        <v>0</v>
      </c>
      <c r="Q78" s="1">
        <v>3.04E-2</v>
      </c>
      <c r="R78" s="1">
        <v>1.2E-2</v>
      </c>
      <c r="S78" s="1">
        <v>0.16969999999999999</v>
      </c>
      <c r="T78" s="1">
        <v>0.10730000000000001</v>
      </c>
      <c r="U78" s="1">
        <v>1.0484</v>
      </c>
    </row>
    <row r="79" spans="1:21" x14ac:dyDescent="0.25">
      <c r="A79" t="s">
        <v>244</v>
      </c>
      <c r="B79" t="s">
        <v>245</v>
      </c>
      <c r="C79" t="s">
        <v>43</v>
      </c>
      <c r="D79" t="s">
        <v>44</v>
      </c>
      <c r="E79" t="s">
        <v>246</v>
      </c>
      <c r="F79" t="str">
        <f t="shared" si="1"/>
        <v>2018-05-20</v>
      </c>
      <c r="G79">
        <v>55.7</v>
      </c>
      <c r="H79" t="str">
        <f>"2016-06-07"</f>
        <v>2016-06-07</v>
      </c>
      <c r="I79" t="s">
        <v>26</v>
      </c>
      <c r="J79" t="str">
        <f>"2016-04-27"</f>
        <v>2016-04-27</v>
      </c>
      <c r="K79" t="s">
        <v>27</v>
      </c>
      <c r="L79">
        <v>2.5633090599999999</v>
      </c>
      <c r="M79">
        <v>78</v>
      </c>
      <c r="N79" s="1">
        <v>1.2532000000000001</v>
      </c>
      <c r="O79" s="1">
        <v>2.3799000000000001</v>
      </c>
      <c r="P79" s="1">
        <v>-4.9799999999999997E-2</v>
      </c>
      <c r="Q79" s="1">
        <v>-4.4999999999999997E-3</v>
      </c>
      <c r="R79" s="1">
        <v>7.7999999999999996E-3</v>
      </c>
      <c r="S79" s="1">
        <v>-3.0099999999999998E-2</v>
      </c>
      <c r="T79" s="1">
        <v>7.3400000000000007E-2</v>
      </c>
      <c r="U79" s="1">
        <v>0.66620000000000001</v>
      </c>
    </row>
    <row r="80" spans="1:21" x14ac:dyDescent="0.25">
      <c r="A80" t="s">
        <v>247</v>
      </c>
      <c r="B80" t="s">
        <v>248</v>
      </c>
      <c r="C80" t="s">
        <v>23</v>
      </c>
      <c r="D80" t="s">
        <v>24</v>
      </c>
      <c r="E80" t="s">
        <v>25</v>
      </c>
      <c r="F80" t="str">
        <f t="shared" si="1"/>
        <v>2018-05-20</v>
      </c>
      <c r="G80">
        <v>34.409999999999997</v>
      </c>
      <c r="H80" t="str">
        <f>"2017-04-26"</f>
        <v>2017-04-26</v>
      </c>
      <c r="I80" t="s">
        <v>26</v>
      </c>
      <c r="J80" t="str">
        <f>"2016-04-14"</f>
        <v>2016-04-14</v>
      </c>
      <c r="K80" t="s">
        <v>34</v>
      </c>
      <c r="L80">
        <v>2.5628066700000001</v>
      </c>
      <c r="M80">
        <v>79</v>
      </c>
      <c r="N80" s="1">
        <v>0.64480000000000004</v>
      </c>
      <c r="O80" s="1">
        <v>2.3767999999999998</v>
      </c>
      <c r="P80" s="1">
        <v>0</v>
      </c>
      <c r="Q80" s="1">
        <v>3.2000000000000002E-3</v>
      </c>
      <c r="R80" s="1">
        <v>2.5000000000000001E-2</v>
      </c>
      <c r="S80" s="1">
        <v>0.1036</v>
      </c>
      <c r="T80" s="1">
        <v>0.13150000000000001</v>
      </c>
      <c r="U80" s="1">
        <v>0.78480000000000005</v>
      </c>
    </row>
    <row r="81" spans="1:21" x14ac:dyDescent="0.25">
      <c r="A81" t="s">
        <v>249</v>
      </c>
      <c r="B81" t="s">
        <v>250</v>
      </c>
      <c r="C81" t="s">
        <v>109</v>
      </c>
      <c r="D81" t="s">
        <v>110</v>
      </c>
      <c r="E81" t="s">
        <v>251</v>
      </c>
      <c r="F81" t="str">
        <f t="shared" si="1"/>
        <v>2018-05-20</v>
      </c>
      <c r="G81">
        <v>76.5</v>
      </c>
      <c r="H81" t="str">
        <f>"2016-07-25"</f>
        <v>2016-07-25</v>
      </c>
      <c r="I81" t="s">
        <v>26</v>
      </c>
      <c r="J81" t="str">
        <f>"2016-05-24"</f>
        <v>2016-05-24</v>
      </c>
      <c r="K81" t="s">
        <v>27</v>
      </c>
      <c r="L81">
        <v>2.56241729</v>
      </c>
      <c r="M81">
        <v>80</v>
      </c>
      <c r="N81" s="1">
        <v>1.4362999999999999</v>
      </c>
      <c r="O81" s="1">
        <v>2.3744999999999998</v>
      </c>
      <c r="P81" s="1">
        <v>-9.4100000000000003E-2</v>
      </c>
      <c r="Q81" s="1">
        <v>-1.03E-2</v>
      </c>
      <c r="R81" s="1">
        <v>1.1900000000000001E-2</v>
      </c>
      <c r="S81" s="1">
        <v>-5.8999999999999997E-2</v>
      </c>
      <c r="T81" s="1">
        <v>3.3E-3</v>
      </c>
      <c r="U81" s="1">
        <v>0.77910000000000001</v>
      </c>
    </row>
    <row r="82" spans="1:21" x14ac:dyDescent="0.25">
      <c r="A82" t="s">
        <v>252</v>
      </c>
      <c r="B82" t="s">
        <v>253</v>
      </c>
      <c r="C82" t="s">
        <v>114</v>
      </c>
      <c r="D82" t="s">
        <v>254</v>
      </c>
      <c r="E82" t="s">
        <v>255</v>
      </c>
      <c r="F82" t="str">
        <f t="shared" si="1"/>
        <v>2018-05-20</v>
      </c>
      <c r="G82">
        <v>43.18</v>
      </c>
      <c r="H82" t="str">
        <f>"2016-11-17"</f>
        <v>2016-11-17</v>
      </c>
      <c r="I82" t="s">
        <v>26</v>
      </c>
      <c r="J82" t="str">
        <f>"2016-09-07"</f>
        <v>2016-09-07</v>
      </c>
      <c r="K82" t="s">
        <v>27</v>
      </c>
      <c r="L82">
        <v>2.5618006800000002</v>
      </c>
      <c r="M82">
        <v>81</v>
      </c>
      <c r="N82" s="1">
        <v>1.5119</v>
      </c>
      <c r="O82" s="1">
        <v>2.3708</v>
      </c>
      <c r="P82" s="1">
        <v>-1.0800000000000001E-2</v>
      </c>
      <c r="Q82" s="1">
        <v>-6.7000000000000002E-3</v>
      </c>
      <c r="R82" s="1">
        <v>3.7699999999999997E-2</v>
      </c>
      <c r="S82" s="1">
        <v>0.253</v>
      </c>
      <c r="T82" s="1">
        <v>0.30769999999999997</v>
      </c>
      <c r="U82" s="1">
        <v>0.8367</v>
      </c>
    </row>
    <row r="83" spans="1:21" x14ac:dyDescent="0.25">
      <c r="A83" t="s">
        <v>256</v>
      </c>
      <c r="B83" t="s">
        <v>257</v>
      </c>
      <c r="C83" t="s">
        <v>30</v>
      </c>
      <c r="D83" t="s">
        <v>31</v>
      </c>
      <c r="E83" t="s">
        <v>31</v>
      </c>
      <c r="F83" t="str">
        <f t="shared" si="1"/>
        <v>2018-05-20</v>
      </c>
      <c r="G83">
        <v>54.8</v>
      </c>
      <c r="H83" t="str">
        <f>"2014-11-24"</f>
        <v>2014-11-24</v>
      </c>
      <c r="I83" t="s">
        <v>26</v>
      </c>
      <c r="J83" t="str">
        <f>"2014-10-30"</f>
        <v>2014-10-30</v>
      </c>
      <c r="K83" t="s">
        <v>27</v>
      </c>
      <c r="L83">
        <v>2.5562322399999999</v>
      </c>
      <c r="M83">
        <v>82</v>
      </c>
      <c r="N83" s="1">
        <v>1.8721000000000001</v>
      </c>
      <c r="O83" s="1">
        <v>2.3374000000000001</v>
      </c>
      <c r="P83" s="1">
        <v>0</v>
      </c>
      <c r="Q83" s="1">
        <v>1.11E-2</v>
      </c>
      <c r="R83" s="1">
        <v>3.2000000000000001E-2</v>
      </c>
      <c r="S83" s="1">
        <v>0.12529999999999999</v>
      </c>
      <c r="T83" s="1">
        <v>0.13930000000000001</v>
      </c>
      <c r="U83" s="1">
        <v>0.3382</v>
      </c>
    </row>
    <row r="84" spans="1:21" x14ac:dyDescent="0.25">
      <c r="A84" t="s">
        <v>258</v>
      </c>
      <c r="B84" t="s">
        <v>259</v>
      </c>
      <c r="C84" t="s">
        <v>30</v>
      </c>
      <c r="D84" t="s">
        <v>31</v>
      </c>
      <c r="E84" t="s">
        <v>31</v>
      </c>
      <c r="F84" t="str">
        <f t="shared" si="1"/>
        <v>2018-05-20</v>
      </c>
      <c r="G84">
        <v>33</v>
      </c>
      <c r="H84" t="str">
        <f>"2015-09-30"</f>
        <v>2015-09-30</v>
      </c>
      <c r="I84" t="s">
        <v>26</v>
      </c>
      <c r="J84" t="str">
        <f>"2015-08-02"</f>
        <v>2015-08-02</v>
      </c>
      <c r="K84" t="s">
        <v>27</v>
      </c>
      <c r="L84">
        <v>2.5549949500000002</v>
      </c>
      <c r="M84">
        <v>83</v>
      </c>
      <c r="N84" s="1">
        <v>2.0358999999999998</v>
      </c>
      <c r="O84" s="1">
        <v>2.33</v>
      </c>
      <c r="P84" s="1">
        <v>0</v>
      </c>
      <c r="Q84" s="1">
        <v>7.6E-3</v>
      </c>
      <c r="R84" s="1">
        <v>2.2599999999999999E-2</v>
      </c>
      <c r="S84" s="1">
        <v>4.3E-3</v>
      </c>
      <c r="T84" s="1">
        <v>0.1263</v>
      </c>
      <c r="U84" s="1">
        <v>0.46079999999999999</v>
      </c>
    </row>
    <row r="85" spans="1:21" x14ac:dyDescent="0.25">
      <c r="A85" t="s">
        <v>260</v>
      </c>
      <c r="B85" t="s">
        <v>261</v>
      </c>
      <c r="C85" t="s">
        <v>37</v>
      </c>
      <c r="D85" t="s">
        <v>66</v>
      </c>
      <c r="E85" t="s">
        <v>72</v>
      </c>
      <c r="F85" t="str">
        <f t="shared" si="1"/>
        <v>2018-05-20</v>
      </c>
      <c r="G85">
        <v>39.4</v>
      </c>
      <c r="H85" t="str">
        <f>"2017-04-19"</f>
        <v>2017-04-19</v>
      </c>
      <c r="I85" t="s">
        <v>26</v>
      </c>
      <c r="J85" t="str">
        <f>"2017-03-08"</f>
        <v>2017-03-08</v>
      </c>
      <c r="K85" t="s">
        <v>27</v>
      </c>
      <c r="L85">
        <v>2.5541490900000001</v>
      </c>
      <c r="M85">
        <v>84</v>
      </c>
      <c r="N85" s="1">
        <v>1.2907</v>
      </c>
      <c r="O85" s="1">
        <v>2.3249</v>
      </c>
      <c r="P85" s="1">
        <v>-5.6300000000000003E-2</v>
      </c>
      <c r="Q85" s="1">
        <v>1.8100000000000002E-2</v>
      </c>
      <c r="R85" s="1">
        <v>-6.3E-3</v>
      </c>
      <c r="S85" s="1">
        <v>-3.9E-2</v>
      </c>
      <c r="T85" s="1">
        <v>8.6900000000000005E-2</v>
      </c>
      <c r="U85" s="1">
        <v>0.69830000000000003</v>
      </c>
    </row>
    <row r="86" spans="1:21" x14ac:dyDescent="0.25">
      <c r="A86" t="s">
        <v>262</v>
      </c>
      <c r="B86" t="s">
        <v>263</v>
      </c>
      <c r="C86" t="s">
        <v>37</v>
      </c>
      <c r="D86" t="s">
        <v>38</v>
      </c>
      <c r="E86" t="s">
        <v>39</v>
      </c>
      <c r="F86" t="str">
        <f t="shared" si="1"/>
        <v>2018-05-20</v>
      </c>
      <c r="G86">
        <v>90.83</v>
      </c>
      <c r="H86" t="str">
        <f>"2017-05-18"</f>
        <v>2017-05-18</v>
      </c>
      <c r="I86" t="s">
        <v>26</v>
      </c>
      <c r="J86" t="str">
        <f>"2017-01-01"</f>
        <v>2017-01-01</v>
      </c>
      <c r="K86" t="s">
        <v>40</v>
      </c>
      <c r="L86">
        <v>2.5518896600000001</v>
      </c>
      <c r="M86">
        <v>85</v>
      </c>
      <c r="N86" s="1">
        <v>1.5343</v>
      </c>
      <c r="O86" s="1">
        <v>2.3113000000000001</v>
      </c>
      <c r="P86" s="1">
        <v>-3.32E-2</v>
      </c>
      <c r="Q86" s="1">
        <v>-2.8299999999999999E-2</v>
      </c>
      <c r="R86" s="1">
        <v>-2.4400000000000002E-2</v>
      </c>
      <c r="S86" s="1">
        <v>0.15989999999999999</v>
      </c>
      <c r="T86" s="1">
        <v>0.39779999999999999</v>
      </c>
      <c r="U86" s="1">
        <v>1.7794000000000001</v>
      </c>
    </row>
    <row r="87" spans="1:21" x14ac:dyDescent="0.25">
      <c r="A87" t="s">
        <v>264</v>
      </c>
      <c r="B87" t="s">
        <v>265</v>
      </c>
      <c r="C87" t="s">
        <v>37</v>
      </c>
      <c r="D87" t="s">
        <v>66</v>
      </c>
      <c r="E87" t="s">
        <v>72</v>
      </c>
      <c r="F87" t="str">
        <f t="shared" si="1"/>
        <v>2018-05-20</v>
      </c>
      <c r="G87">
        <v>88.92</v>
      </c>
      <c r="H87" t="str">
        <f>"2016-06-06"</f>
        <v>2016-06-06</v>
      </c>
      <c r="I87" t="s">
        <v>26</v>
      </c>
      <c r="J87" t="str">
        <f>"2016-05-11"</f>
        <v>2016-05-11</v>
      </c>
      <c r="K87" t="s">
        <v>40</v>
      </c>
      <c r="L87">
        <v>2.55113425</v>
      </c>
      <c r="M87">
        <v>86</v>
      </c>
      <c r="N87" s="1">
        <v>1.7598</v>
      </c>
      <c r="O87" s="1">
        <v>2.3068</v>
      </c>
      <c r="P87" s="1">
        <v>0</v>
      </c>
      <c r="Q87" s="1">
        <v>1.6E-2</v>
      </c>
      <c r="R87" s="1">
        <v>1.95E-2</v>
      </c>
      <c r="S87" s="1">
        <v>2.86E-2</v>
      </c>
      <c r="T87" s="1">
        <v>0.1578</v>
      </c>
      <c r="U87" s="1">
        <v>1.0976999999999999</v>
      </c>
    </row>
    <row r="88" spans="1:21" x14ac:dyDescent="0.25">
      <c r="A88" t="s">
        <v>266</v>
      </c>
      <c r="B88" t="s">
        <v>267</v>
      </c>
      <c r="C88" t="s">
        <v>114</v>
      </c>
      <c r="D88" t="s">
        <v>268</v>
      </c>
      <c r="E88" t="s">
        <v>268</v>
      </c>
      <c r="F88" t="str">
        <f t="shared" si="1"/>
        <v>2018-05-20</v>
      </c>
      <c r="G88">
        <v>23.91</v>
      </c>
      <c r="H88" t="str">
        <f>"2017-05-23"</f>
        <v>2017-05-23</v>
      </c>
      <c r="I88" t="s">
        <v>26</v>
      </c>
      <c r="J88" t="str">
        <f>"2016-05-11"</f>
        <v>2016-05-11</v>
      </c>
      <c r="K88" t="s">
        <v>34</v>
      </c>
      <c r="L88">
        <v>2.55041436</v>
      </c>
      <c r="M88">
        <v>87</v>
      </c>
      <c r="N88" s="1">
        <v>0.42580000000000001</v>
      </c>
      <c r="O88" s="1">
        <v>2.3025000000000002</v>
      </c>
      <c r="P88" s="1">
        <v>-1.89E-2</v>
      </c>
      <c r="Q88" s="1">
        <v>5.8999999999999999E-3</v>
      </c>
      <c r="R88" s="1">
        <v>3.9600000000000003E-2</v>
      </c>
      <c r="S88" s="1">
        <v>0.1462</v>
      </c>
      <c r="T88" s="1">
        <v>9.4799999999999995E-2</v>
      </c>
      <c r="U88" s="1">
        <v>0.41149999999999998</v>
      </c>
    </row>
    <row r="89" spans="1:21" x14ac:dyDescent="0.25">
      <c r="A89" t="s">
        <v>269</v>
      </c>
      <c r="B89" t="s">
        <v>270</v>
      </c>
      <c r="C89" t="s">
        <v>23</v>
      </c>
      <c r="D89" t="s">
        <v>52</v>
      </c>
      <c r="E89" t="s">
        <v>56</v>
      </c>
      <c r="F89" t="str">
        <f t="shared" si="1"/>
        <v>2018-05-20</v>
      </c>
      <c r="G89">
        <v>111</v>
      </c>
      <c r="H89" t="str">
        <f>"2016-03-17"</f>
        <v>2016-03-17</v>
      </c>
      <c r="I89" t="s">
        <v>26</v>
      </c>
      <c r="J89" t="str">
        <f>"2016-03-10"</f>
        <v>2016-03-10</v>
      </c>
      <c r="K89" t="s">
        <v>27</v>
      </c>
      <c r="L89">
        <v>2.5501040700000002</v>
      </c>
      <c r="M89">
        <v>88</v>
      </c>
      <c r="N89" s="1">
        <v>1.6001000000000001</v>
      </c>
      <c r="O89" s="1">
        <v>2.3006000000000002</v>
      </c>
      <c r="P89" s="1">
        <v>0</v>
      </c>
      <c r="Q89" s="1">
        <v>8.0000000000000002E-3</v>
      </c>
      <c r="R89" s="1">
        <v>3.49E-2</v>
      </c>
      <c r="S89" s="1">
        <v>1.4999999999999999E-2</v>
      </c>
      <c r="T89" s="1">
        <v>9.6799999999999997E-2</v>
      </c>
      <c r="U89" s="1">
        <v>0.43630000000000002</v>
      </c>
    </row>
    <row r="90" spans="1:21" x14ac:dyDescent="0.25">
      <c r="A90" t="s">
        <v>271</v>
      </c>
      <c r="B90" t="s">
        <v>272</v>
      </c>
      <c r="C90" t="s">
        <v>43</v>
      </c>
      <c r="D90" t="s">
        <v>169</v>
      </c>
      <c r="E90" t="s">
        <v>170</v>
      </c>
      <c r="F90" t="str">
        <f t="shared" si="1"/>
        <v>2018-05-20</v>
      </c>
      <c r="G90">
        <v>49.35</v>
      </c>
      <c r="H90" t="str">
        <f>"2016-11-06"</f>
        <v>2016-11-06</v>
      </c>
      <c r="I90" t="s">
        <v>26</v>
      </c>
      <c r="J90" t="str">
        <f>"2016-09-22"</f>
        <v>2016-09-22</v>
      </c>
      <c r="K90" t="s">
        <v>27</v>
      </c>
      <c r="L90">
        <v>2.54979947</v>
      </c>
      <c r="M90">
        <v>89</v>
      </c>
      <c r="N90" s="1">
        <v>1.2031000000000001</v>
      </c>
      <c r="O90" s="1">
        <v>2.2988</v>
      </c>
      <c r="P90" s="1">
        <v>0</v>
      </c>
      <c r="Q90" s="1">
        <v>3.3500000000000002E-2</v>
      </c>
      <c r="R90" s="1">
        <v>3.6799999999999999E-2</v>
      </c>
      <c r="S90" s="1">
        <v>0.44719999999999999</v>
      </c>
      <c r="T90" s="1">
        <v>0.45789999999999997</v>
      </c>
      <c r="U90" s="1">
        <v>1.6180000000000001</v>
      </c>
    </row>
    <row r="91" spans="1:21" x14ac:dyDescent="0.25">
      <c r="A91" t="s">
        <v>273</v>
      </c>
      <c r="B91" t="s">
        <v>274</v>
      </c>
      <c r="C91" t="s">
        <v>30</v>
      </c>
      <c r="D91" t="s">
        <v>31</v>
      </c>
      <c r="E91" t="s">
        <v>31</v>
      </c>
      <c r="F91" t="str">
        <f t="shared" si="1"/>
        <v>2018-05-20</v>
      </c>
      <c r="G91">
        <v>101.55</v>
      </c>
      <c r="H91" t="str">
        <f>"2016-07-14"</f>
        <v>2016-07-14</v>
      </c>
      <c r="I91" t="s">
        <v>26</v>
      </c>
      <c r="J91" t="str">
        <f>"2016-07-12"</f>
        <v>2016-07-12</v>
      </c>
      <c r="K91" t="s">
        <v>27</v>
      </c>
      <c r="L91">
        <v>2.54791195</v>
      </c>
      <c r="M91">
        <v>90</v>
      </c>
      <c r="N91" s="1">
        <v>1.0416000000000001</v>
      </c>
      <c r="O91" s="1">
        <v>2.2875000000000001</v>
      </c>
      <c r="P91" s="1">
        <v>-5.4000000000000003E-3</v>
      </c>
      <c r="Q91" s="1">
        <v>2.47E-2</v>
      </c>
      <c r="R91" s="1">
        <v>-3.8999999999999998E-3</v>
      </c>
      <c r="S91" s="1">
        <v>4.6399999999999997E-2</v>
      </c>
      <c r="T91" s="1">
        <v>7.9699999999999993E-2</v>
      </c>
      <c r="U91" s="1">
        <v>0.33789999999999998</v>
      </c>
    </row>
    <row r="92" spans="1:21" x14ac:dyDescent="0.25">
      <c r="A92" t="s">
        <v>275</v>
      </c>
      <c r="B92" t="s">
        <v>276</v>
      </c>
      <c r="C92" t="s">
        <v>109</v>
      </c>
      <c r="D92" t="s">
        <v>156</v>
      </c>
      <c r="E92" t="s">
        <v>277</v>
      </c>
      <c r="F92" t="str">
        <f t="shared" si="1"/>
        <v>2018-05-20</v>
      </c>
      <c r="G92">
        <v>34.799999999999997</v>
      </c>
      <c r="H92" t="str">
        <f>"2016-05-02"</f>
        <v>2016-05-02</v>
      </c>
      <c r="I92" t="s">
        <v>26</v>
      </c>
      <c r="J92" t="str">
        <f>"2016-03-03"</f>
        <v>2016-03-03</v>
      </c>
      <c r="K92" t="s">
        <v>27</v>
      </c>
      <c r="L92">
        <v>2.5471698100000002</v>
      </c>
      <c r="M92">
        <v>91</v>
      </c>
      <c r="N92" s="1">
        <v>1.5569</v>
      </c>
      <c r="O92" s="1">
        <v>2.2829999999999999</v>
      </c>
      <c r="P92" s="1">
        <v>-8.0600000000000005E-2</v>
      </c>
      <c r="Q92" s="1">
        <v>1.7500000000000002E-2</v>
      </c>
      <c r="R92" s="1">
        <v>-3.4700000000000002E-2</v>
      </c>
      <c r="S92" s="1">
        <v>3.73E-2</v>
      </c>
      <c r="T92" s="1">
        <v>1.3100000000000001E-2</v>
      </c>
      <c r="U92" s="1">
        <v>0.43209999999999998</v>
      </c>
    </row>
    <row r="93" spans="1:21" x14ac:dyDescent="0.25">
      <c r="A93" t="s">
        <v>278</v>
      </c>
      <c r="B93" t="s">
        <v>279</v>
      </c>
      <c r="C93" t="s">
        <v>30</v>
      </c>
      <c r="D93" t="s">
        <v>31</v>
      </c>
      <c r="E93" t="s">
        <v>31</v>
      </c>
      <c r="F93" t="str">
        <f t="shared" si="1"/>
        <v>2018-05-20</v>
      </c>
      <c r="G93">
        <v>42</v>
      </c>
      <c r="H93" t="str">
        <f>"2016-02-08"</f>
        <v>2016-02-08</v>
      </c>
      <c r="I93" t="s">
        <v>26</v>
      </c>
      <c r="J93" t="str">
        <f>"2015-12-06"</f>
        <v>2015-12-06</v>
      </c>
      <c r="K93" t="s">
        <v>40</v>
      </c>
      <c r="L93">
        <v>2.5466614600000002</v>
      </c>
      <c r="M93">
        <v>92</v>
      </c>
      <c r="N93" s="1">
        <v>2.0825999999999998</v>
      </c>
      <c r="O93" s="1">
        <v>2.2799999999999998</v>
      </c>
      <c r="P93" s="1">
        <v>-7.0800000000000002E-2</v>
      </c>
      <c r="Q93" s="1">
        <v>1.52E-2</v>
      </c>
      <c r="R93" s="1">
        <v>2.0999999999999999E-3</v>
      </c>
      <c r="S93" s="1">
        <v>-2.3999999999999998E-3</v>
      </c>
      <c r="T93" s="1">
        <v>5.6300000000000003E-2</v>
      </c>
      <c r="U93" s="1">
        <v>0.44829999999999998</v>
      </c>
    </row>
    <row r="94" spans="1:21" x14ac:dyDescent="0.25">
      <c r="A94" t="s">
        <v>280</v>
      </c>
      <c r="B94" t="s">
        <v>281</v>
      </c>
      <c r="C94" t="s">
        <v>100</v>
      </c>
      <c r="D94" t="s">
        <v>199</v>
      </c>
      <c r="E94" t="s">
        <v>200</v>
      </c>
      <c r="F94" t="str">
        <f t="shared" si="1"/>
        <v>2018-05-20</v>
      </c>
      <c r="G94">
        <v>68.66</v>
      </c>
      <c r="H94" t="str">
        <f>"2016-04-27"</f>
        <v>2016-04-27</v>
      </c>
      <c r="I94" t="s">
        <v>26</v>
      </c>
      <c r="J94" t="str">
        <f>"2016-04-04"</f>
        <v>2016-04-04</v>
      </c>
      <c r="K94" t="s">
        <v>40</v>
      </c>
      <c r="L94">
        <v>2.5459605600000002</v>
      </c>
      <c r="M94">
        <v>93</v>
      </c>
      <c r="N94" s="1">
        <v>1.8384</v>
      </c>
      <c r="O94" s="1">
        <v>2.2757999999999998</v>
      </c>
      <c r="P94" s="1">
        <v>-1.9699999999999999E-2</v>
      </c>
      <c r="Q94" s="1">
        <v>4.4000000000000003E-3</v>
      </c>
      <c r="R94" s="1">
        <v>7.2599999999999998E-2</v>
      </c>
      <c r="S94" s="1">
        <v>5.6500000000000002E-2</v>
      </c>
      <c r="T94" s="1">
        <v>0.11899999999999999</v>
      </c>
      <c r="U94" s="1">
        <v>0.2172</v>
      </c>
    </row>
    <row r="95" spans="1:21" x14ac:dyDescent="0.25">
      <c r="A95" t="s">
        <v>282</v>
      </c>
      <c r="B95" t="s">
        <v>283</v>
      </c>
      <c r="C95" t="s">
        <v>109</v>
      </c>
      <c r="D95" t="s">
        <v>156</v>
      </c>
      <c r="E95" t="s">
        <v>284</v>
      </c>
      <c r="F95" t="str">
        <f t="shared" si="1"/>
        <v>2018-05-20</v>
      </c>
      <c r="G95">
        <v>31.16</v>
      </c>
      <c r="H95" t="str">
        <f>"2017-04-03"</f>
        <v>2017-04-03</v>
      </c>
      <c r="I95" t="s">
        <v>26</v>
      </c>
      <c r="J95" t="str">
        <f>"2016-06-20"</f>
        <v>2016-06-20</v>
      </c>
      <c r="K95" t="s">
        <v>57</v>
      </c>
      <c r="L95">
        <v>2.54551821</v>
      </c>
      <c r="M95">
        <v>94</v>
      </c>
      <c r="N95" s="1">
        <v>1.1609</v>
      </c>
      <c r="O95" s="1">
        <v>2.2730999999999999</v>
      </c>
      <c r="P95" s="1">
        <v>-4.53E-2</v>
      </c>
      <c r="Q95" s="1">
        <v>6.4999999999999997E-3</v>
      </c>
      <c r="R95" s="1">
        <v>3.8699999999999998E-2</v>
      </c>
      <c r="S95" s="1">
        <v>4.4999999999999997E-3</v>
      </c>
      <c r="T95" s="1">
        <v>0.35539999999999999</v>
      </c>
      <c r="U95" s="1">
        <v>1.1959</v>
      </c>
    </row>
    <row r="96" spans="1:21" x14ac:dyDescent="0.25">
      <c r="A96" t="s">
        <v>285</v>
      </c>
      <c r="B96" t="s">
        <v>286</v>
      </c>
      <c r="C96" t="s">
        <v>87</v>
      </c>
      <c r="D96" t="s">
        <v>88</v>
      </c>
      <c r="E96" t="s">
        <v>89</v>
      </c>
      <c r="F96" t="str">
        <f t="shared" si="1"/>
        <v>2018-05-20</v>
      </c>
      <c r="G96">
        <v>35.880000000000003</v>
      </c>
      <c r="H96" t="str">
        <f>"2017-11-08"</f>
        <v>2017-11-08</v>
      </c>
      <c r="I96" t="s">
        <v>26</v>
      </c>
      <c r="J96" t="str">
        <f>"2016-10-16"</f>
        <v>2016-10-16</v>
      </c>
      <c r="K96" t="s">
        <v>34</v>
      </c>
      <c r="L96">
        <v>2.5411764699999999</v>
      </c>
      <c r="M96">
        <v>95</v>
      </c>
      <c r="N96" s="1">
        <v>0.80389999999999995</v>
      </c>
      <c r="O96" s="1">
        <v>2.2471000000000001</v>
      </c>
      <c r="P96" s="1">
        <v>0</v>
      </c>
      <c r="Q96" s="1">
        <v>1.7299999999999999E-2</v>
      </c>
      <c r="R96" s="1">
        <v>6.3700000000000007E-2</v>
      </c>
      <c r="S96" s="1">
        <v>8.7900000000000006E-2</v>
      </c>
      <c r="T96" s="1">
        <v>0.44330000000000003</v>
      </c>
      <c r="U96" s="1">
        <v>0.88839999999999997</v>
      </c>
    </row>
    <row r="97" spans="1:21" x14ac:dyDescent="0.25">
      <c r="A97" t="s">
        <v>287</v>
      </c>
      <c r="B97" t="s">
        <v>288</v>
      </c>
      <c r="C97" t="s">
        <v>37</v>
      </c>
      <c r="D97" t="s">
        <v>66</v>
      </c>
      <c r="E97" t="s">
        <v>67</v>
      </c>
      <c r="F97" t="str">
        <f t="shared" si="1"/>
        <v>2018-05-20</v>
      </c>
      <c r="G97">
        <v>90.92</v>
      </c>
      <c r="H97" t="str">
        <f>"2016-08-16"</f>
        <v>2016-08-16</v>
      </c>
      <c r="I97" t="s">
        <v>26</v>
      </c>
      <c r="J97" t="str">
        <f>"2016-08-02"</f>
        <v>2016-08-02</v>
      </c>
      <c r="K97" t="s">
        <v>27</v>
      </c>
      <c r="L97">
        <v>2.53697142</v>
      </c>
      <c r="M97">
        <v>96</v>
      </c>
      <c r="N97" s="1">
        <v>1.5547</v>
      </c>
      <c r="O97" s="1">
        <v>2.2218</v>
      </c>
      <c r="P97" s="1">
        <v>0</v>
      </c>
      <c r="Q97" s="1">
        <v>2.2599999999999999E-2</v>
      </c>
      <c r="R97" s="1">
        <v>4.0800000000000003E-2</v>
      </c>
      <c r="S97" s="1">
        <v>0.18959999999999999</v>
      </c>
      <c r="T97" s="1">
        <v>0.27710000000000001</v>
      </c>
      <c r="U97" s="1">
        <v>1.2572000000000001</v>
      </c>
    </row>
    <row r="98" spans="1:21" x14ac:dyDescent="0.25">
      <c r="A98" t="s">
        <v>289</v>
      </c>
      <c r="B98" t="s">
        <v>290</v>
      </c>
      <c r="C98" t="s">
        <v>37</v>
      </c>
      <c r="D98" t="s">
        <v>38</v>
      </c>
      <c r="E98" t="s">
        <v>39</v>
      </c>
      <c r="F98" t="str">
        <f t="shared" si="1"/>
        <v>2018-05-20</v>
      </c>
      <c r="G98">
        <v>6.5</v>
      </c>
      <c r="H98" t="str">
        <f>"2017-11-28"</f>
        <v>2017-11-28</v>
      </c>
      <c r="I98" t="s">
        <v>26</v>
      </c>
      <c r="J98" t="str">
        <f>"2017-10-02"</f>
        <v>2017-10-02</v>
      </c>
      <c r="K98" t="s">
        <v>27</v>
      </c>
      <c r="L98">
        <v>2.5363036299999999</v>
      </c>
      <c r="M98">
        <v>97</v>
      </c>
      <c r="N98" s="1">
        <v>0.65390000000000004</v>
      </c>
      <c r="O98" s="1">
        <v>2.2178</v>
      </c>
      <c r="P98" s="1">
        <v>-1.2200000000000001E-2</v>
      </c>
      <c r="Q98" s="1">
        <v>-9.1000000000000004E-3</v>
      </c>
      <c r="R98" s="1">
        <v>-1.2200000000000001E-2</v>
      </c>
      <c r="S98" s="1">
        <v>0.1883</v>
      </c>
      <c r="T98" s="1">
        <v>0.51519999999999999</v>
      </c>
      <c r="U98" s="1">
        <v>1.1667000000000001</v>
      </c>
    </row>
    <row r="99" spans="1:21" x14ac:dyDescent="0.25">
      <c r="A99" t="s">
        <v>291</v>
      </c>
      <c r="B99" t="s">
        <v>292</v>
      </c>
      <c r="C99" t="s">
        <v>37</v>
      </c>
      <c r="D99" t="s">
        <v>66</v>
      </c>
      <c r="E99" t="s">
        <v>67</v>
      </c>
      <c r="F99" t="str">
        <f t="shared" si="1"/>
        <v>2018-05-20</v>
      </c>
      <c r="G99">
        <v>276.89999999999998</v>
      </c>
      <c r="H99" t="str">
        <f>"2016-05-10"</f>
        <v>2016-05-10</v>
      </c>
      <c r="I99" t="s">
        <v>26</v>
      </c>
      <c r="J99" t="str">
        <f>"2016-01-21"</f>
        <v>2016-01-21</v>
      </c>
      <c r="K99" t="s">
        <v>40</v>
      </c>
      <c r="L99">
        <v>2.53371111</v>
      </c>
      <c r="M99">
        <v>98</v>
      </c>
      <c r="N99" s="1">
        <v>1.6234</v>
      </c>
      <c r="O99" s="1">
        <v>2.2023000000000001</v>
      </c>
      <c r="P99" s="1">
        <v>0</v>
      </c>
      <c r="Q99" s="1">
        <v>6.1999999999999998E-3</v>
      </c>
      <c r="R99" s="1">
        <v>2.4199999999999999E-2</v>
      </c>
      <c r="S99" s="1">
        <v>9.2700000000000005E-2</v>
      </c>
      <c r="T99" s="1">
        <v>0.18079999999999999</v>
      </c>
      <c r="U99" s="1">
        <v>0.70820000000000005</v>
      </c>
    </row>
    <row r="100" spans="1:21" x14ac:dyDescent="0.25">
      <c r="A100" t="s">
        <v>293</v>
      </c>
      <c r="B100" t="s">
        <v>294</v>
      </c>
      <c r="C100" t="s">
        <v>109</v>
      </c>
      <c r="D100" t="s">
        <v>110</v>
      </c>
      <c r="E100" t="s">
        <v>111</v>
      </c>
      <c r="F100" t="str">
        <f t="shared" si="1"/>
        <v>2018-05-20</v>
      </c>
      <c r="G100">
        <v>44.38</v>
      </c>
      <c r="H100" t="str">
        <f>"2017-10-01"</f>
        <v>2017-10-01</v>
      </c>
      <c r="I100" t="s">
        <v>26</v>
      </c>
      <c r="J100" t="str">
        <f>"2016-09-18"</f>
        <v>2016-09-18</v>
      </c>
      <c r="K100" t="s">
        <v>34</v>
      </c>
      <c r="L100">
        <v>2.5329010599999999</v>
      </c>
      <c r="M100">
        <v>99</v>
      </c>
      <c r="N100" s="1">
        <v>0.67979999999999996</v>
      </c>
      <c r="O100" s="1">
        <v>2.1974</v>
      </c>
      <c r="P100" s="1">
        <v>-7.6E-3</v>
      </c>
      <c r="Q100" s="1">
        <v>-7.6E-3</v>
      </c>
      <c r="R100" s="1">
        <v>5.9200000000000003E-2</v>
      </c>
      <c r="S100" s="1">
        <v>0.186</v>
      </c>
      <c r="T100" s="1">
        <v>0.3664</v>
      </c>
      <c r="U100" s="1">
        <v>0.76600000000000001</v>
      </c>
    </row>
    <row r="101" spans="1:21" x14ac:dyDescent="0.25">
      <c r="A101" t="s">
        <v>295</v>
      </c>
      <c r="B101" t="s">
        <v>296</v>
      </c>
      <c r="C101" t="s">
        <v>87</v>
      </c>
      <c r="D101" t="s">
        <v>144</v>
      </c>
      <c r="E101" t="s">
        <v>145</v>
      </c>
      <c r="F101" t="str">
        <f t="shared" si="1"/>
        <v>2018-05-20</v>
      </c>
      <c r="G101">
        <v>10.9</v>
      </c>
      <c r="H101" t="str">
        <f>"2016-07-12"</f>
        <v>2016-07-12</v>
      </c>
      <c r="I101" t="s">
        <v>26</v>
      </c>
      <c r="J101" t="str">
        <f>"2016-06-19"</f>
        <v>2016-06-19</v>
      </c>
      <c r="K101" t="s">
        <v>27</v>
      </c>
      <c r="L101">
        <v>2.5296404300000002</v>
      </c>
      <c r="M101">
        <v>100</v>
      </c>
      <c r="N101" s="1">
        <v>0.80459999999999998</v>
      </c>
      <c r="O101" s="1">
        <v>2.1778</v>
      </c>
      <c r="P101" s="1">
        <v>0</v>
      </c>
      <c r="Q101" s="1">
        <v>1.8700000000000001E-2</v>
      </c>
      <c r="R101" s="1">
        <v>5.8299999999999998E-2</v>
      </c>
      <c r="S101" s="1">
        <v>0.1295</v>
      </c>
      <c r="T101" s="1">
        <v>0.2601</v>
      </c>
      <c r="U101" s="1">
        <v>0.35399999999999998</v>
      </c>
    </row>
    <row r="102" spans="1:21" x14ac:dyDescent="0.25">
      <c r="A102" t="s">
        <v>297</v>
      </c>
      <c r="B102" t="s">
        <v>298</v>
      </c>
      <c r="C102" t="s">
        <v>30</v>
      </c>
      <c r="D102" t="s">
        <v>299</v>
      </c>
      <c r="E102" t="s">
        <v>300</v>
      </c>
      <c r="F102" t="str">
        <f t="shared" si="1"/>
        <v>2018-05-20</v>
      </c>
      <c r="G102">
        <v>36.369999999999997</v>
      </c>
      <c r="H102" t="str">
        <f>"2016-06-12"</f>
        <v>2016-06-12</v>
      </c>
      <c r="I102" t="s">
        <v>26</v>
      </c>
      <c r="J102" t="str">
        <f>"2016-04-10"</f>
        <v>2016-04-10</v>
      </c>
      <c r="K102" t="s">
        <v>27</v>
      </c>
      <c r="L102">
        <v>2.52710145</v>
      </c>
      <c r="M102">
        <v>101</v>
      </c>
      <c r="N102" s="1">
        <v>0.35</v>
      </c>
      <c r="O102" s="1">
        <v>2.1625999999999999</v>
      </c>
      <c r="P102" s="1">
        <v>-6.7000000000000004E-2</v>
      </c>
      <c r="Q102" s="1">
        <v>1.11E-2</v>
      </c>
      <c r="R102" s="1">
        <v>-1.49E-2</v>
      </c>
      <c r="S102" s="1">
        <v>-4.6899999999999997E-2</v>
      </c>
      <c r="T102" s="1">
        <v>-3.2199999999999999E-2</v>
      </c>
      <c r="U102" s="1">
        <v>-6.7999999999999996E-3</v>
      </c>
    </row>
    <row r="103" spans="1:21" x14ac:dyDescent="0.25">
      <c r="A103" t="s">
        <v>301</v>
      </c>
      <c r="B103" t="s">
        <v>302</v>
      </c>
      <c r="C103" t="s">
        <v>30</v>
      </c>
      <c r="D103" t="s">
        <v>31</v>
      </c>
      <c r="E103" t="s">
        <v>31</v>
      </c>
      <c r="F103" t="str">
        <f t="shared" si="1"/>
        <v>2018-05-20</v>
      </c>
      <c r="G103">
        <v>216.79</v>
      </c>
      <c r="H103" t="str">
        <f>"2014-06-30"</f>
        <v>2014-06-30</v>
      </c>
      <c r="I103" t="s">
        <v>26</v>
      </c>
      <c r="J103" t="str">
        <f>"2014-04-03"</f>
        <v>2014-04-03</v>
      </c>
      <c r="K103" t="s">
        <v>40</v>
      </c>
      <c r="L103">
        <v>2.5251695700000001</v>
      </c>
      <c r="M103">
        <v>102</v>
      </c>
      <c r="N103" s="1">
        <v>1.7303999999999999</v>
      </c>
      <c r="O103" s="1">
        <v>2.1509999999999998</v>
      </c>
      <c r="P103" s="1">
        <v>-7.85E-2</v>
      </c>
      <c r="Q103" s="1">
        <v>7.1999999999999998E-3</v>
      </c>
      <c r="R103" s="1">
        <v>3.2300000000000002E-2</v>
      </c>
      <c r="S103" s="1">
        <v>1.77E-2</v>
      </c>
      <c r="T103" s="1">
        <v>5.7500000000000002E-2</v>
      </c>
      <c r="U103" s="1">
        <v>0.2248</v>
      </c>
    </row>
    <row r="104" spans="1:21" x14ac:dyDescent="0.25">
      <c r="A104" t="s">
        <v>303</v>
      </c>
      <c r="B104" t="s">
        <v>304</v>
      </c>
      <c r="C104" t="s">
        <v>109</v>
      </c>
      <c r="D104" t="s">
        <v>110</v>
      </c>
      <c r="E104" t="s">
        <v>111</v>
      </c>
      <c r="F104" t="str">
        <f t="shared" si="1"/>
        <v>2018-05-20</v>
      </c>
      <c r="G104">
        <v>42.85</v>
      </c>
      <c r="H104" t="str">
        <f>"2017-03-06"</f>
        <v>2017-03-06</v>
      </c>
      <c r="I104" t="s">
        <v>26</v>
      </c>
      <c r="J104" t="str">
        <f>"2015-11-15"</f>
        <v>2015-11-15</v>
      </c>
      <c r="K104" t="s">
        <v>34</v>
      </c>
      <c r="L104">
        <v>2.51788736</v>
      </c>
      <c r="M104">
        <v>103</v>
      </c>
      <c r="N104" s="1">
        <v>0.85899999999999999</v>
      </c>
      <c r="O104" s="1">
        <v>2.1073</v>
      </c>
      <c r="P104" s="1">
        <v>-6.9500000000000006E-2</v>
      </c>
      <c r="Q104" s="1">
        <v>0</v>
      </c>
      <c r="R104" s="1">
        <v>-5.7999999999999996E-3</v>
      </c>
      <c r="S104" s="1">
        <v>3.5000000000000003E-2</v>
      </c>
      <c r="T104" s="1">
        <v>-2.7199999999999998E-2</v>
      </c>
      <c r="U104" s="1">
        <v>0.6139</v>
      </c>
    </row>
    <row r="105" spans="1:21" x14ac:dyDescent="0.25">
      <c r="A105" t="s">
        <v>305</v>
      </c>
      <c r="B105" t="s">
        <v>306</v>
      </c>
      <c r="C105" t="s">
        <v>23</v>
      </c>
      <c r="D105" t="s">
        <v>24</v>
      </c>
      <c r="E105" t="s">
        <v>307</v>
      </c>
      <c r="F105" t="str">
        <f t="shared" si="1"/>
        <v>2018-05-20</v>
      </c>
      <c r="G105">
        <v>33.83</v>
      </c>
      <c r="H105" t="str">
        <f>"2016-07-12"</f>
        <v>2016-07-12</v>
      </c>
      <c r="I105" t="s">
        <v>26</v>
      </c>
      <c r="J105" t="str">
        <f>"2016-07-07"</f>
        <v>2016-07-07</v>
      </c>
      <c r="K105" t="s">
        <v>27</v>
      </c>
      <c r="L105">
        <v>2.5116454899999998</v>
      </c>
      <c r="M105">
        <v>104</v>
      </c>
      <c r="N105" s="1">
        <v>0.97719999999999996</v>
      </c>
      <c r="O105" s="1">
        <v>2.0699000000000001</v>
      </c>
      <c r="P105" s="1">
        <v>-2.2800000000000001E-2</v>
      </c>
      <c r="Q105" s="1">
        <v>2.7000000000000001E-3</v>
      </c>
      <c r="R105" s="1">
        <v>3.3E-3</v>
      </c>
      <c r="S105" s="1">
        <v>3.9600000000000003E-2</v>
      </c>
      <c r="T105" s="1">
        <v>4.8000000000000001E-2</v>
      </c>
      <c r="U105" s="1">
        <v>0.25530000000000003</v>
      </c>
    </row>
    <row r="106" spans="1:21" x14ac:dyDescent="0.25">
      <c r="A106" t="s">
        <v>308</v>
      </c>
      <c r="B106" t="s">
        <v>309</v>
      </c>
      <c r="C106" t="s">
        <v>37</v>
      </c>
      <c r="D106" t="s">
        <v>38</v>
      </c>
      <c r="E106" t="s">
        <v>97</v>
      </c>
      <c r="F106" t="str">
        <f t="shared" si="1"/>
        <v>2018-05-20</v>
      </c>
      <c r="G106">
        <v>9.65</v>
      </c>
      <c r="H106" t="str">
        <f>"2016-07-21"</f>
        <v>2016-07-21</v>
      </c>
      <c r="I106" t="s">
        <v>26</v>
      </c>
      <c r="J106" t="str">
        <f>"2016-05-19"</f>
        <v>2016-05-19</v>
      </c>
      <c r="K106" t="s">
        <v>27</v>
      </c>
      <c r="L106">
        <v>2.5105820099999998</v>
      </c>
      <c r="M106">
        <v>105</v>
      </c>
      <c r="N106" s="1">
        <v>1.4307000000000001</v>
      </c>
      <c r="O106" s="1">
        <v>2.0634999999999999</v>
      </c>
      <c r="P106" s="1">
        <v>-3.0200000000000001E-2</v>
      </c>
      <c r="Q106" s="1">
        <v>1.0500000000000001E-2</v>
      </c>
      <c r="R106" s="1">
        <v>5.1999999999999998E-3</v>
      </c>
      <c r="S106" s="1">
        <v>5.4600000000000003E-2</v>
      </c>
      <c r="T106" s="1">
        <v>0.12870000000000001</v>
      </c>
      <c r="U106" s="1">
        <v>0.38850000000000001</v>
      </c>
    </row>
    <row r="107" spans="1:21" x14ac:dyDescent="0.25">
      <c r="A107" t="s">
        <v>310</v>
      </c>
      <c r="B107" t="s">
        <v>311</v>
      </c>
      <c r="C107" t="s">
        <v>109</v>
      </c>
      <c r="D107" t="s">
        <v>110</v>
      </c>
      <c r="E107" t="s">
        <v>111</v>
      </c>
      <c r="F107" t="str">
        <f t="shared" si="1"/>
        <v>2018-05-20</v>
      </c>
      <c r="G107">
        <v>94.36</v>
      </c>
      <c r="H107" t="str">
        <f>"2016-07-11"</f>
        <v>2016-07-11</v>
      </c>
      <c r="I107" t="s">
        <v>26</v>
      </c>
      <c r="J107" t="str">
        <f>"2016-04-27"</f>
        <v>2016-04-27</v>
      </c>
      <c r="K107" t="s">
        <v>27</v>
      </c>
      <c r="L107">
        <v>2.5104403300000002</v>
      </c>
      <c r="M107">
        <v>106</v>
      </c>
      <c r="N107" s="1">
        <v>1.252</v>
      </c>
      <c r="O107" s="1">
        <v>2.0626000000000002</v>
      </c>
      <c r="P107" s="1">
        <v>0</v>
      </c>
      <c r="Q107" s="1">
        <v>3.8999999999999998E-3</v>
      </c>
      <c r="R107" s="1">
        <v>1.66E-2</v>
      </c>
      <c r="S107" s="1">
        <v>9.3100000000000002E-2</v>
      </c>
      <c r="T107" s="1">
        <v>0.19969999999999999</v>
      </c>
      <c r="U107" s="1">
        <v>0.59660000000000002</v>
      </c>
    </row>
    <row r="108" spans="1:21" x14ac:dyDescent="0.25">
      <c r="A108" t="s">
        <v>312</v>
      </c>
      <c r="B108" t="s">
        <v>313</v>
      </c>
      <c r="C108" t="s">
        <v>37</v>
      </c>
      <c r="D108" t="s">
        <v>38</v>
      </c>
      <c r="E108" t="s">
        <v>97</v>
      </c>
      <c r="F108" t="str">
        <f t="shared" si="1"/>
        <v>2018-05-20</v>
      </c>
      <c r="G108">
        <v>15.75</v>
      </c>
      <c r="H108" t="str">
        <f>"2017-04-24"</f>
        <v>2017-04-24</v>
      </c>
      <c r="I108" t="s">
        <v>26</v>
      </c>
      <c r="J108" t="str">
        <f>"2017-03-01"</f>
        <v>2017-03-01</v>
      </c>
      <c r="K108" t="s">
        <v>27</v>
      </c>
      <c r="L108">
        <v>2.50773694</v>
      </c>
      <c r="M108">
        <v>107</v>
      </c>
      <c r="N108" s="1">
        <v>1.1141000000000001</v>
      </c>
      <c r="O108" s="1">
        <v>2.0464000000000002</v>
      </c>
      <c r="P108" s="1">
        <v>-0.08</v>
      </c>
      <c r="Q108" s="1">
        <v>-5.91E-2</v>
      </c>
      <c r="R108" s="1">
        <v>0.106</v>
      </c>
      <c r="S108" s="1">
        <v>0.125</v>
      </c>
      <c r="T108" s="1">
        <v>4.1000000000000002E-2</v>
      </c>
      <c r="U108" s="1">
        <v>0.87280000000000002</v>
      </c>
    </row>
    <row r="109" spans="1:21" x14ac:dyDescent="0.25">
      <c r="A109" t="s">
        <v>314</v>
      </c>
      <c r="B109" t="s">
        <v>315</v>
      </c>
      <c r="C109" t="s">
        <v>109</v>
      </c>
      <c r="D109" t="s">
        <v>156</v>
      </c>
      <c r="E109" t="s">
        <v>277</v>
      </c>
      <c r="F109" t="str">
        <f t="shared" si="1"/>
        <v>2018-05-20</v>
      </c>
      <c r="G109">
        <v>43.75</v>
      </c>
      <c r="H109" t="str">
        <f>"2016-02-01"</f>
        <v>2016-02-01</v>
      </c>
      <c r="I109" t="s">
        <v>26</v>
      </c>
      <c r="J109" t="str">
        <f>"2015-11-08"</f>
        <v>2015-11-08</v>
      </c>
      <c r="K109" t="s">
        <v>27</v>
      </c>
      <c r="L109">
        <v>2.5067176299999998</v>
      </c>
      <c r="M109">
        <v>108</v>
      </c>
      <c r="N109" s="1">
        <v>1.1196999999999999</v>
      </c>
      <c r="O109" s="1">
        <v>2.0402999999999998</v>
      </c>
      <c r="P109" s="1">
        <v>-7.9000000000000008E-3</v>
      </c>
      <c r="Q109" s="1">
        <v>6.8999999999999999E-3</v>
      </c>
      <c r="R109" s="1">
        <v>8.0999999999999996E-3</v>
      </c>
      <c r="S109" s="1">
        <v>3.7999999999999999E-2</v>
      </c>
      <c r="T109" s="1">
        <v>0.25719999999999998</v>
      </c>
      <c r="U109" s="1">
        <v>0.20030000000000001</v>
      </c>
    </row>
    <row r="110" spans="1:21" x14ac:dyDescent="0.25">
      <c r="A110" t="s">
        <v>316</v>
      </c>
      <c r="B110" t="s">
        <v>317</v>
      </c>
      <c r="C110" t="s">
        <v>23</v>
      </c>
      <c r="D110" t="s">
        <v>24</v>
      </c>
      <c r="E110" t="s">
        <v>164</v>
      </c>
      <c r="F110" t="str">
        <f t="shared" si="1"/>
        <v>2018-05-20</v>
      </c>
      <c r="G110">
        <v>40.270000000000003</v>
      </c>
      <c r="H110" t="str">
        <f>"2016-08-17"</f>
        <v>2016-08-17</v>
      </c>
      <c r="I110" t="s">
        <v>26</v>
      </c>
      <c r="J110" t="str">
        <f>"2015-08-06"</f>
        <v>2015-08-06</v>
      </c>
      <c r="K110" t="s">
        <v>34</v>
      </c>
      <c r="L110">
        <v>2.5061588700000001</v>
      </c>
      <c r="M110">
        <v>109</v>
      </c>
      <c r="N110" s="1">
        <v>0.85829999999999995</v>
      </c>
      <c r="O110" s="1">
        <v>2.0369999999999999</v>
      </c>
      <c r="P110" s="1">
        <v>-2.8500000000000001E-2</v>
      </c>
      <c r="Q110" s="1">
        <v>8.3000000000000001E-3</v>
      </c>
      <c r="R110" s="1">
        <v>2.5700000000000001E-2</v>
      </c>
      <c r="S110" s="1">
        <v>-6.8999999999999999E-3</v>
      </c>
      <c r="T110" s="1">
        <v>8.3099999999999993E-2</v>
      </c>
      <c r="U110" s="1">
        <v>0.92310000000000003</v>
      </c>
    </row>
    <row r="111" spans="1:21" x14ac:dyDescent="0.25">
      <c r="A111" t="s">
        <v>318</v>
      </c>
      <c r="B111" t="s">
        <v>319</v>
      </c>
      <c r="C111" t="s">
        <v>43</v>
      </c>
      <c r="D111" t="s">
        <v>44</v>
      </c>
      <c r="E111" t="s">
        <v>320</v>
      </c>
      <c r="F111" t="str">
        <f t="shared" si="1"/>
        <v>2018-05-20</v>
      </c>
      <c r="G111">
        <v>53.74</v>
      </c>
      <c r="H111" t="str">
        <f>"2016-11-15"</f>
        <v>2016-11-15</v>
      </c>
      <c r="I111" t="s">
        <v>26</v>
      </c>
      <c r="J111" t="str">
        <f>"2016-11-01"</f>
        <v>2016-11-01</v>
      </c>
      <c r="K111" t="s">
        <v>40</v>
      </c>
      <c r="L111">
        <v>2.5031835199999999</v>
      </c>
      <c r="M111">
        <v>110</v>
      </c>
      <c r="N111" s="1">
        <v>1.3508</v>
      </c>
      <c r="O111" s="1">
        <v>2.0190999999999999</v>
      </c>
      <c r="P111" s="1">
        <v>0</v>
      </c>
      <c r="Q111" s="1">
        <v>2.3999999999999998E-3</v>
      </c>
      <c r="R111" s="1">
        <v>2.1100000000000001E-2</v>
      </c>
      <c r="S111" s="1">
        <v>4.8000000000000001E-2</v>
      </c>
      <c r="T111" s="1">
        <v>0.28199999999999997</v>
      </c>
      <c r="U111" s="1">
        <v>0.74760000000000004</v>
      </c>
    </row>
    <row r="112" spans="1:21" x14ac:dyDescent="0.25">
      <c r="A112" t="s">
        <v>321</v>
      </c>
      <c r="B112" t="s">
        <v>322</v>
      </c>
      <c r="C112" t="s">
        <v>23</v>
      </c>
      <c r="D112" t="s">
        <v>24</v>
      </c>
      <c r="E112" t="s">
        <v>164</v>
      </c>
      <c r="F112" t="str">
        <f t="shared" si="1"/>
        <v>2018-05-20</v>
      </c>
      <c r="G112">
        <v>57.86</v>
      </c>
      <c r="H112" t="str">
        <f>"2017-08-10"</f>
        <v>2017-08-10</v>
      </c>
      <c r="I112" t="s">
        <v>26</v>
      </c>
      <c r="J112" t="str">
        <f>"2017-05-04"</f>
        <v>2017-05-04</v>
      </c>
      <c r="K112" t="s">
        <v>40</v>
      </c>
      <c r="L112">
        <v>2.5027806699999999</v>
      </c>
      <c r="M112">
        <v>111</v>
      </c>
      <c r="N112" s="1">
        <v>1.7177</v>
      </c>
      <c r="O112" s="1">
        <v>2.0167000000000002</v>
      </c>
      <c r="P112" s="1">
        <v>0</v>
      </c>
      <c r="Q112" s="1">
        <v>0.12520000000000001</v>
      </c>
      <c r="R112" s="1">
        <v>0.32800000000000001</v>
      </c>
      <c r="S112" s="1">
        <v>0.47789999999999999</v>
      </c>
      <c r="T112" s="1">
        <v>0.51149999999999995</v>
      </c>
      <c r="U112" s="1">
        <v>1.9221999999999999</v>
      </c>
    </row>
    <row r="113" spans="1:21" x14ac:dyDescent="0.25">
      <c r="A113" t="s">
        <v>323</v>
      </c>
      <c r="B113" t="s">
        <v>324</v>
      </c>
      <c r="C113" t="s">
        <v>37</v>
      </c>
      <c r="D113" t="s">
        <v>66</v>
      </c>
      <c r="E113" t="s">
        <v>72</v>
      </c>
      <c r="F113" t="str">
        <f t="shared" si="1"/>
        <v>2018-05-20</v>
      </c>
      <c r="G113">
        <v>69.47</v>
      </c>
      <c r="H113" t="str">
        <f>"2017-11-01"</f>
        <v>2017-11-01</v>
      </c>
      <c r="I113" t="s">
        <v>26</v>
      </c>
      <c r="J113" t="str">
        <f>"2016-10-20"</f>
        <v>2016-10-20</v>
      </c>
      <c r="K113" t="s">
        <v>34</v>
      </c>
      <c r="L113">
        <v>2.5016608900000001</v>
      </c>
      <c r="M113">
        <v>112</v>
      </c>
      <c r="N113" s="1">
        <v>0.36969999999999997</v>
      </c>
      <c r="O113" s="1">
        <v>2.0099999999999998</v>
      </c>
      <c r="P113" s="1">
        <v>-2.1299999999999999E-2</v>
      </c>
      <c r="Q113" s="1">
        <v>-2.1299999999999999E-2</v>
      </c>
      <c r="R113" s="1">
        <v>2.2499999999999999E-2</v>
      </c>
      <c r="S113" s="1">
        <v>0.12479999999999999</v>
      </c>
      <c r="T113" s="1">
        <v>7.6600000000000001E-2</v>
      </c>
      <c r="U113" s="1">
        <v>0.98319999999999996</v>
      </c>
    </row>
    <row r="114" spans="1:21" x14ac:dyDescent="0.25">
      <c r="A114" t="s">
        <v>325</v>
      </c>
      <c r="B114" t="s">
        <v>326</v>
      </c>
      <c r="C114" t="s">
        <v>114</v>
      </c>
      <c r="D114" t="s">
        <v>254</v>
      </c>
      <c r="E114" t="s">
        <v>327</v>
      </c>
      <c r="F114" t="str">
        <f t="shared" si="1"/>
        <v>2018-05-20</v>
      </c>
      <c r="G114">
        <v>5.5</v>
      </c>
      <c r="H114" t="str">
        <f>"2017-05-08"</f>
        <v>2017-05-08</v>
      </c>
      <c r="I114" t="s">
        <v>26</v>
      </c>
      <c r="J114" t="str">
        <f>"2017-01-24"</f>
        <v>2017-01-24</v>
      </c>
      <c r="K114" t="s">
        <v>27</v>
      </c>
      <c r="L114">
        <v>2.5009107500000001</v>
      </c>
      <c r="M114">
        <v>113</v>
      </c>
      <c r="N114" s="1">
        <v>1.1235999999999999</v>
      </c>
      <c r="O114" s="1">
        <v>2.0055000000000001</v>
      </c>
      <c r="P114" s="1">
        <v>-4.5100000000000001E-2</v>
      </c>
      <c r="Q114" s="1">
        <v>-4.5100000000000001E-2</v>
      </c>
      <c r="R114" s="1">
        <v>5.4999999999999997E-3</v>
      </c>
      <c r="S114" s="1">
        <v>0.28499999999999998</v>
      </c>
      <c r="T114" s="1">
        <v>0.41749999999999998</v>
      </c>
      <c r="U114" s="1">
        <v>1.0754999999999999</v>
      </c>
    </row>
    <row r="115" spans="1:21" x14ac:dyDescent="0.25">
      <c r="A115" t="s">
        <v>328</v>
      </c>
      <c r="B115" t="s">
        <v>329</v>
      </c>
      <c r="C115" t="s">
        <v>23</v>
      </c>
      <c r="D115" t="s">
        <v>52</v>
      </c>
      <c r="E115" t="s">
        <v>53</v>
      </c>
      <c r="F115" t="str">
        <f t="shared" si="1"/>
        <v>2018-05-20</v>
      </c>
      <c r="G115">
        <v>79.94</v>
      </c>
      <c r="H115" t="str">
        <f>"2017-05-24"</f>
        <v>2017-05-24</v>
      </c>
      <c r="I115" t="s">
        <v>26</v>
      </c>
      <c r="J115" t="str">
        <f>"2016-05-12"</f>
        <v>2016-05-12</v>
      </c>
      <c r="K115" t="s">
        <v>34</v>
      </c>
      <c r="L115">
        <v>2.4995625499999998</v>
      </c>
      <c r="M115">
        <v>114</v>
      </c>
      <c r="N115" s="1">
        <v>0.58799999999999997</v>
      </c>
      <c r="O115" s="1">
        <v>1.9974000000000001</v>
      </c>
      <c r="P115" s="1">
        <v>-1.06E-2</v>
      </c>
      <c r="Q115" s="1">
        <v>-1.06E-2</v>
      </c>
      <c r="R115" s="1">
        <v>3.1800000000000002E-2</v>
      </c>
      <c r="S115" s="1">
        <v>7.9000000000000001E-2</v>
      </c>
      <c r="T115" s="1">
        <v>7.3599999999999999E-2</v>
      </c>
      <c r="U115" s="1">
        <v>0.59750000000000003</v>
      </c>
    </row>
    <row r="116" spans="1:21" x14ac:dyDescent="0.25">
      <c r="A116" t="s">
        <v>330</v>
      </c>
      <c r="B116" t="s">
        <v>331</v>
      </c>
      <c r="C116" t="s">
        <v>43</v>
      </c>
      <c r="D116" t="s">
        <v>44</v>
      </c>
      <c r="E116" t="s">
        <v>246</v>
      </c>
      <c r="F116" t="str">
        <f t="shared" si="1"/>
        <v>2018-05-20</v>
      </c>
      <c r="G116">
        <v>34.75</v>
      </c>
      <c r="H116" t="str">
        <f>"2015-11-17"</f>
        <v>2015-11-17</v>
      </c>
      <c r="I116" t="s">
        <v>26</v>
      </c>
      <c r="J116" t="str">
        <f>"2015-10-12"</f>
        <v>2015-10-12</v>
      </c>
      <c r="K116" t="s">
        <v>27</v>
      </c>
      <c r="L116">
        <v>2.4992816100000002</v>
      </c>
      <c r="M116">
        <v>115</v>
      </c>
      <c r="N116" s="1">
        <v>1.2608999999999999</v>
      </c>
      <c r="O116" s="1">
        <v>1.9957</v>
      </c>
      <c r="P116" s="1">
        <v>-9.8599999999999993E-2</v>
      </c>
      <c r="Q116" s="1">
        <v>7.1999999999999998E-3</v>
      </c>
      <c r="R116" s="1">
        <v>8.6999999999999994E-3</v>
      </c>
      <c r="S116" s="1">
        <v>1.9099999999999999E-2</v>
      </c>
      <c r="T116" s="1">
        <v>0.14879999999999999</v>
      </c>
      <c r="U116" s="1">
        <v>0.45400000000000001</v>
      </c>
    </row>
    <row r="117" spans="1:21" x14ac:dyDescent="0.25">
      <c r="A117" t="s">
        <v>332</v>
      </c>
      <c r="B117" t="s">
        <v>333</v>
      </c>
      <c r="C117" t="s">
        <v>109</v>
      </c>
      <c r="D117" t="s">
        <v>110</v>
      </c>
      <c r="E117" t="s">
        <v>111</v>
      </c>
      <c r="F117" t="str">
        <f t="shared" si="1"/>
        <v>2018-05-20</v>
      </c>
      <c r="G117">
        <v>61.45</v>
      </c>
      <c r="H117" t="str">
        <f>"2016-05-08"</f>
        <v>2016-05-08</v>
      </c>
      <c r="I117" t="s">
        <v>26</v>
      </c>
      <c r="J117" t="str">
        <f>"2016-01-19"</f>
        <v>2016-01-19</v>
      </c>
      <c r="K117" t="s">
        <v>40</v>
      </c>
      <c r="L117">
        <v>2.49668607</v>
      </c>
      <c r="M117">
        <v>116</v>
      </c>
      <c r="N117" s="1">
        <v>1.3671</v>
      </c>
      <c r="O117" s="1">
        <v>1.9801</v>
      </c>
      <c r="P117" s="1">
        <v>-5.5300000000000002E-2</v>
      </c>
      <c r="Q117" s="1">
        <v>-1.6000000000000001E-3</v>
      </c>
      <c r="R117" s="1">
        <v>-6.4999999999999997E-3</v>
      </c>
      <c r="S117" s="1">
        <v>0</v>
      </c>
      <c r="T117" s="1">
        <v>8.2799999999999999E-2</v>
      </c>
      <c r="U117" s="1">
        <v>8.2799999999999999E-2</v>
      </c>
    </row>
    <row r="118" spans="1:21" x14ac:dyDescent="0.25">
      <c r="A118" t="s">
        <v>334</v>
      </c>
      <c r="B118" t="s">
        <v>335</v>
      </c>
      <c r="C118" t="s">
        <v>43</v>
      </c>
      <c r="D118" t="s">
        <v>44</v>
      </c>
      <c r="E118" t="s">
        <v>45</v>
      </c>
      <c r="F118" t="str">
        <f t="shared" si="1"/>
        <v>2018-05-20</v>
      </c>
      <c r="G118">
        <v>55.98</v>
      </c>
      <c r="H118" t="str">
        <f>"2016-12-25"</f>
        <v>2016-12-25</v>
      </c>
      <c r="I118" t="s">
        <v>26</v>
      </c>
      <c r="J118" t="str">
        <f>"2016-11-22"</f>
        <v>2016-11-22</v>
      </c>
      <c r="K118" t="s">
        <v>27</v>
      </c>
      <c r="L118">
        <v>2.4954859300000001</v>
      </c>
      <c r="M118">
        <v>117</v>
      </c>
      <c r="N118" s="1">
        <v>0.87350000000000005</v>
      </c>
      <c r="O118" s="1">
        <v>1.9729000000000001</v>
      </c>
      <c r="P118" s="1">
        <v>0</v>
      </c>
      <c r="Q118" s="1">
        <v>2.6200000000000001E-2</v>
      </c>
      <c r="R118" s="1">
        <v>3.2300000000000002E-2</v>
      </c>
      <c r="S118" s="1">
        <v>3.9699999999999999E-2</v>
      </c>
      <c r="T118" s="1">
        <v>0.31719999999999998</v>
      </c>
      <c r="U118" s="1">
        <v>0.74280000000000002</v>
      </c>
    </row>
    <row r="119" spans="1:21" x14ac:dyDescent="0.25">
      <c r="A119" t="s">
        <v>336</v>
      </c>
      <c r="B119" t="s">
        <v>337</v>
      </c>
      <c r="C119" t="s">
        <v>23</v>
      </c>
      <c r="D119" t="s">
        <v>52</v>
      </c>
      <c r="E119" t="s">
        <v>56</v>
      </c>
      <c r="F119" t="str">
        <f t="shared" si="1"/>
        <v>2018-05-20</v>
      </c>
      <c r="G119">
        <v>46.95</v>
      </c>
      <c r="H119" t="str">
        <f>"2016-08-11"</f>
        <v>2016-08-11</v>
      </c>
      <c r="I119" t="s">
        <v>26</v>
      </c>
      <c r="J119" t="str">
        <f>"2016-07-13"</f>
        <v>2016-07-13</v>
      </c>
      <c r="K119" t="s">
        <v>27</v>
      </c>
      <c r="L119">
        <v>2.4940025299999999</v>
      </c>
      <c r="M119">
        <v>118</v>
      </c>
      <c r="N119" s="1">
        <v>1.0857000000000001</v>
      </c>
      <c r="O119" s="1">
        <v>1.964</v>
      </c>
      <c r="P119" s="1">
        <v>-5.91E-2</v>
      </c>
      <c r="Q119" s="1">
        <v>8.6E-3</v>
      </c>
      <c r="R119" s="1">
        <v>3.8699999999999998E-2</v>
      </c>
      <c r="S119" s="1">
        <v>-2.8000000000000001E-2</v>
      </c>
      <c r="T119" s="1">
        <v>-1.8800000000000001E-2</v>
      </c>
      <c r="U119" s="1">
        <v>0.27060000000000001</v>
      </c>
    </row>
    <row r="120" spans="1:21" x14ac:dyDescent="0.25">
      <c r="A120" t="s">
        <v>338</v>
      </c>
      <c r="B120" t="s">
        <v>339</v>
      </c>
      <c r="C120" t="s">
        <v>109</v>
      </c>
      <c r="D120" t="s">
        <v>156</v>
      </c>
      <c r="E120" t="s">
        <v>277</v>
      </c>
      <c r="F120" t="str">
        <f t="shared" si="1"/>
        <v>2018-05-20</v>
      </c>
      <c r="G120">
        <v>32.450000000000003</v>
      </c>
      <c r="H120" t="str">
        <f>"2015-08-10"</f>
        <v>2015-08-10</v>
      </c>
      <c r="I120" t="s">
        <v>26</v>
      </c>
      <c r="J120" t="str">
        <f>"2015-07-26"</f>
        <v>2015-07-26</v>
      </c>
      <c r="K120" t="s">
        <v>40</v>
      </c>
      <c r="L120">
        <v>2.4939117199999998</v>
      </c>
      <c r="M120">
        <v>119</v>
      </c>
      <c r="N120" s="1">
        <v>1.4073</v>
      </c>
      <c r="O120" s="1">
        <v>1.9635</v>
      </c>
      <c r="P120" s="1">
        <v>-3.0999999999999999E-3</v>
      </c>
      <c r="Q120" s="1">
        <v>2.0400000000000001E-2</v>
      </c>
      <c r="R120" s="1">
        <v>1.2500000000000001E-2</v>
      </c>
      <c r="S120" s="1">
        <v>0.21079999999999999</v>
      </c>
      <c r="T120" s="1">
        <v>0.1694</v>
      </c>
      <c r="U120" s="1">
        <v>0.32179999999999997</v>
      </c>
    </row>
    <row r="121" spans="1:21" x14ac:dyDescent="0.25">
      <c r="A121" t="s">
        <v>340</v>
      </c>
      <c r="B121" t="s">
        <v>341</v>
      </c>
      <c r="C121" t="s">
        <v>83</v>
      </c>
      <c r="D121" t="s">
        <v>342</v>
      </c>
      <c r="E121" t="s">
        <v>342</v>
      </c>
      <c r="F121" t="str">
        <f t="shared" si="1"/>
        <v>2018-05-20</v>
      </c>
      <c r="G121">
        <v>11.53</v>
      </c>
      <c r="H121" t="str">
        <f>"2016-07-21"</f>
        <v>2016-07-21</v>
      </c>
      <c r="I121" t="s">
        <v>26</v>
      </c>
      <c r="J121" t="str">
        <f>"2016-06-14"</f>
        <v>2016-06-14</v>
      </c>
      <c r="K121" t="s">
        <v>27</v>
      </c>
      <c r="L121">
        <v>2.4927350399999999</v>
      </c>
      <c r="M121">
        <v>120</v>
      </c>
      <c r="N121" s="1">
        <v>1.0407</v>
      </c>
      <c r="O121" s="1">
        <v>1.9563999999999999</v>
      </c>
      <c r="P121" s="1">
        <v>-1.37E-2</v>
      </c>
      <c r="Q121" s="1">
        <v>1.5900000000000001E-2</v>
      </c>
      <c r="R121" s="1">
        <v>3.1300000000000001E-2</v>
      </c>
      <c r="S121" s="1">
        <v>3.5900000000000001E-2</v>
      </c>
      <c r="T121" s="1">
        <v>0.13819999999999999</v>
      </c>
      <c r="U121" s="1">
        <v>0.77929999999999999</v>
      </c>
    </row>
    <row r="122" spans="1:21" x14ac:dyDescent="0.25">
      <c r="A122" t="s">
        <v>343</v>
      </c>
      <c r="B122" t="s">
        <v>344</v>
      </c>
      <c r="C122" t="s">
        <v>23</v>
      </c>
      <c r="D122" t="s">
        <v>24</v>
      </c>
      <c r="E122" t="s">
        <v>25</v>
      </c>
      <c r="F122" t="str">
        <f t="shared" si="1"/>
        <v>2018-05-20</v>
      </c>
      <c r="G122">
        <v>35.18</v>
      </c>
      <c r="H122" t="str">
        <f>"2017-03-15"</f>
        <v>2017-03-15</v>
      </c>
      <c r="I122" t="s">
        <v>26</v>
      </c>
      <c r="J122" t="str">
        <f>"2016-12-11"</f>
        <v>2016-12-11</v>
      </c>
      <c r="K122" t="s">
        <v>27</v>
      </c>
      <c r="L122">
        <v>2.4894268199999998</v>
      </c>
      <c r="M122">
        <v>121</v>
      </c>
      <c r="N122" s="1">
        <v>1.3069</v>
      </c>
      <c r="O122" s="1">
        <v>1.9366000000000001</v>
      </c>
      <c r="P122" s="1">
        <v>-7.6E-3</v>
      </c>
      <c r="Q122" s="1">
        <v>9.4999999999999998E-3</v>
      </c>
      <c r="R122" s="1">
        <v>4.24E-2</v>
      </c>
      <c r="S122" s="1">
        <v>0.27879999999999999</v>
      </c>
      <c r="T122" s="1">
        <v>0.29430000000000001</v>
      </c>
      <c r="U122" s="1">
        <v>0.78849999999999998</v>
      </c>
    </row>
    <row r="123" spans="1:21" x14ac:dyDescent="0.25">
      <c r="A123" t="s">
        <v>345</v>
      </c>
      <c r="B123" t="s">
        <v>346</v>
      </c>
      <c r="C123" t="s">
        <v>30</v>
      </c>
      <c r="D123" t="s">
        <v>347</v>
      </c>
      <c r="E123" t="s">
        <v>348</v>
      </c>
      <c r="F123" t="str">
        <f t="shared" si="1"/>
        <v>2018-05-20</v>
      </c>
      <c r="G123">
        <v>53.48</v>
      </c>
      <c r="H123" t="str">
        <f>"2017-08-09"</f>
        <v>2017-08-09</v>
      </c>
      <c r="I123" t="s">
        <v>26</v>
      </c>
      <c r="J123" t="str">
        <f>"2016-07-28"</f>
        <v>2016-07-28</v>
      </c>
      <c r="K123" t="s">
        <v>34</v>
      </c>
      <c r="L123">
        <v>2.4884018299999999</v>
      </c>
      <c r="M123">
        <v>122</v>
      </c>
      <c r="N123" s="1">
        <v>0.30380000000000001</v>
      </c>
      <c r="O123" s="1">
        <v>1.9303999999999999</v>
      </c>
      <c r="P123" s="1">
        <v>-9.1000000000000004E-3</v>
      </c>
      <c r="Q123" s="1">
        <v>-4.7000000000000002E-3</v>
      </c>
      <c r="R123" s="1">
        <v>4.7E-2</v>
      </c>
      <c r="S123" s="1">
        <v>-9.1000000000000004E-3</v>
      </c>
      <c r="T123" s="1">
        <v>6.4699999999999994E-2</v>
      </c>
      <c r="U123" s="1">
        <v>0.52229999999999999</v>
      </c>
    </row>
    <row r="124" spans="1:21" x14ac:dyDescent="0.25">
      <c r="A124" t="s">
        <v>349</v>
      </c>
      <c r="B124" t="s">
        <v>350</v>
      </c>
      <c r="C124" t="s">
        <v>37</v>
      </c>
      <c r="D124" t="s">
        <v>66</v>
      </c>
      <c r="E124" t="s">
        <v>94</v>
      </c>
      <c r="F124" t="str">
        <f t="shared" si="1"/>
        <v>2018-05-20</v>
      </c>
      <c r="G124">
        <v>1.99</v>
      </c>
      <c r="H124" t="str">
        <f>"2018-03-13"</f>
        <v>2018-03-13</v>
      </c>
      <c r="I124" t="s">
        <v>26</v>
      </c>
      <c r="J124" t="str">
        <f>"2018-02-20"</f>
        <v>2018-02-20</v>
      </c>
      <c r="K124" t="s">
        <v>27</v>
      </c>
      <c r="L124">
        <v>2.48088541</v>
      </c>
      <c r="M124">
        <v>123</v>
      </c>
      <c r="N124" s="1">
        <v>0.26750000000000002</v>
      </c>
      <c r="O124" s="1">
        <v>1.8853</v>
      </c>
      <c r="P124" s="1">
        <v>0</v>
      </c>
      <c r="Q124" s="1">
        <v>9.3399999999999997E-2</v>
      </c>
      <c r="R124" s="1">
        <v>0.17749999999999999</v>
      </c>
      <c r="S124" s="1">
        <v>0.34460000000000002</v>
      </c>
      <c r="T124" s="1">
        <v>0.64459999999999995</v>
      </c>
      <c r="U124" s="1">
        <v>-4.7800000000000002E-2</v>
      </c>
    </row>
    <row r="125" spans="1:21" x14ac:dyDescent="0.25">
      <c r="A125" t="s">
        <v>351</v>
      </c>
      <c r="B125" t="s">
        <v>352</v>
      </c>
      <c r="C125" t="s">
        <v>109</v>
      </c>
      <c r="D125" t="s">
        <v>110</v>
      </c>
      <c r="E125" t="s">
        <v>111</v>
      </c>
      <c r="F125" t="str">
        <f t="shared" si="1"/>
        <v>2018-05-20</v>
      </c>
      <c r="G125">
        <v>113.95</v>
      </c>
      <c r="H125" t="str">
        <f>"2016-08-01"</f>
        <v>2016-08-01</v>
      </c>
      <c r="I125" t="s">
        <v>26</v>
      </c>
      <c r="J125" t="str">
        <f>"2016-05-29"</f>
        <v>2016-05-29</v>
      </c>
      <c r="K125" t="s">
        <v>27</v>
      </c>
      <c r="L125">
        <v>2.4799511399999998</v>
      </c>
      <c r="M125">
        <v>124</v>
      </c>
      <c r="N125" s="1">
        <v>1.1153</v>
      </c>
      <c r="O125" s="1">
        <v>1.8796999999999999</v>
      </c>
      <c r="P125" s="1">
        <v>-5.4399999999999997E-2</v>
      </c>
      <c r="Q125" s="1">
        <v>3.5000000000000001E-3</v>
      </c>
      <c r="R125" s="1">
        <v>3.5900000000000001E-2</v>
      </c>
      <c r="S125" s="1">
        <v>3.73E-2</v>
      </c>
      <c r="T125" s="1">
        <v>1.7899999999999999E-2</v>
      </c>
      <c r="U125" s="1">
        <v>0.64070000000000005</v>
      </c>
    </row>
    <row r="126" spans="1:21" x14ac:dyDescent="0.25">
      <c r="A126" t="s">
        <v>353</v>
      </c>
      <c r="B126" t="s">
        <v>354</v>
      </c>
      <c r="C126" t="s">
        <v>114</v>
      </c>
      <c r="D126" t="s">
        <v>225</v>
      </c>
      <c r="E126" t="s">
        <v>355</v>
      </c>
      <c r="F126" t="str">
        <f t="shared" si="1"/>
        <v>2018-05-20</v>
      </c>
      <c r="G126">
        <v>17.09</v>
      </c>
      <c r="H126" t="str">
        <f>"2017-07-12"</f>
        <v>2017-07-12</v>
      </c>
      <c r="I126" t="s">
        <v>26</v>
      </c>
      <c r="J126" t="str">
        <f>"2016-09-22"</f>
        <v>2016-09-22</v>
      </c>
      <c r="K126" t="s">
        <v>57</v>
      </c>
      <c r="L126">
        <v>2.4795174000000002</v>
      </c>
      <c r="M126">
        <v>125</v>
      </c>
      <c r="N126" s="1">
        <v>1.2786999999999999</v>
      </c>
      <c r="O126" s="1">
        <v>1.8771</v>
      </c>
      <c r="P126" s="1">
        <v>-1.3299999999999999E-2</v>
      </c>
      <c r="Q126" s="1">
        <v>4.0800000000000003E-2</v>
      </c>
      <c r="R126" s="1">
        <v>0.11550000000000001</v>
      </c>
      <c r="S126" s="1">
        <v>8.8499999999999995E-2</v>
      </c>
      <c r="T126" s="1">
        <v>0.16500000000000001</v>
      </c>
      <c r="U126" s="1">
        <v>1.6172</v>
      </c>
    </row>
    <row r="127" spans="1:21" x14ac:dyDescent="0.25">
      <c r="A127" t="s">
        <v>356</v>
      </c>
      <c r="B127" t="s">
        <v>357</v>
      </c>
      <c r="C127" t="s">
        <v>87</v>
      </c>
      <c r="D127" t="s">
        <v>144</v>
      </c>
      <c r="E127" t="s">
        <v>145</v>
      </c>
      <c r="F127" t="str">
        <f t="shared" si="1"/>
        <v>2018-05-20</v>
      </c>
      <c r="G127">
        <v>18.649999999999999</v>
      </c>
      <c r="H127" t="str">
        <f>"2017-11-30"</f>
        <v>2017-11-30</v>
      </c>
      <c r="I127" t="s">
        <v>26</v>
      </c>
      <c r="J127" t="str">
        <f>"2017-09-25"</f>
        <v>2017-09-25</v>
      </c>
      <c r="K127" t="s">
        <v>27</v>
      </c>
      <c r="L127">
        <v>2.4782051300000001</v>
      </c>
      <c r="M127">
        <v>126</v>
      </c>
      <c r="N127" s="1">
        <v>0.28089999999999998</v>
      </c>
      <c r="O127" s="1">
        <v>1.8692</v>
      </c>
      <c r="P127" s="1">
        <v>-3.7000000000000002E-3</v>
      </c>
      <c r="Q127" s="1">
        <v>4.3E-3</v>
      </c>
      <c r="R127" s="1">
        <v>4.07E-2</v>
      </c>
      <c r="S127" s="1">
        <v>0.15909999999999999</v>
      </c>
      <c r="T127" s="1">
        <v>0.1767</v>
      </c>
      <c r="U127" s="1">
        <v>0.32179999999999997</v>
      </c>
    </row>
    <row r="128" spans="1:21" x14ac:dyDescent="0.25">
      <c r="A128" t="s">
        <v>358</v>
      </c>
      <c r="B128" t="s">
        <v>359</v>
      </c>
      <c r="C128" t="s">
        <v>109</v>
      </c>
      <c r="D128" t="s">
        <v>156</v>
      </c>
      <c r="E128" t="s">
        <v>277</v>
      </c>
      <c r="F128" t="str">
        <f t="shared" si="1"/>
        <v>2018-05-20</v>
      </c>
      <c r="G128">
        <v>129.77000000000001</v>
      </c>
      <c r="H128" t="str">
        <f>"2015-10-07"</f>
        <v>2015-10-07</v>
      </c>
      <c r="I128" t="s">
        <v>26</v>
      </c>
      <c r="J128" t="str">
        <f>"2015-07-08"</f>
        <v>2015-07-08</v>
      </c>
      <c r="K128" t="s">
        <v>40</v>
      </c>
      <c r="L128">
        <v>2.47765754</v>
      </c>
      <c r="M128">
        <v>127</v>
      </c>
      <c r="N128" s="1">
        <v>1.3594999999999999</v>
      </c>
      <c r="O128" s="1">
        <v>1.8658999999999999</v>
      </c>
      <c r="P128" s="1">
        <v>0</v>
      </c>
      <c r="Q128" s="1">
        <v>6.4000000000000003E-3</v>
      </c>
      <c r="R128" s="1">
        <v>2.8500000000000001E-2</v>
      </c>
      <c r="S128" s="1">
        <v>9.0499999999999997E-2</v>
      </c>
      <c r="T128" s="1">
        <v>8.3000000000000004E-2</v>
      </c>
      <c r="U128" s="1">
        <v>0.36280000000000001</v>
      </c>
    </row>
    <row r="129" spans="1:21" x14ac:dyDescent="0.25">
      <c r="A129" t="s">
        <v>360</v>
      </c>
      <c r="B129" t="s">
        <v>361</v>
      </c>
      <c r="C129" t="s">
        <v>23</v>
      </c>
      <c r="D129" t="s">
        <v>52</v>
      </c>
      <c r="E129" t="s">
        <v>190</v>
      </c>
      <c r="F129" t="str">
        <f t="shared" si="1"/>
        <v>2018-05-20</v>
      </c>
      <c r="G129">
        <v>26.21</v>
      </c>
      <c r="H129" t="str">
        <f>"2017-09-25"</f>
        <v>2017-09-25</v>
      </c>
      <c r="I129" t="s">
        <v>26</v>
      </c>
      <c r="J129" t="str">
        <f>"2017-09-12"</f>
        <v>2017-09-12</v>
      </c>
      <c r="K129" t="s">
        <v>27</v>
      </c>
      <c r="L129">
        <v>2.4774134800000001</v>
      </c>
      <c r="M129">
        <v>128</v>
      </c>
      <c r="N129" s="1">
        <v>0.83289999999999997</v>
      </c>
      <c r="O129" s="1">
        <v>1.8645</v>
      </c>
      <c r="P129" s="1">
        <v>-8.48E-2</v>
      </c>
      <c r="Q129" s="1">
        <v>-3.1399999999999997E-2</v>
      </c>
      <c r="R129" s="1">
        <v>3.56E-2</v>
      </c>
      <c r="S129" s="1">
        <v>-2.06E-2</v>
      </c>
      <c r="T129" s="1">
        <v>0.24099999999999999</v>
      </c>
      <c r="U129" s="1">
        <v>1.0968</v>
      </c>
    </row>
    <row r="130" spans="1:21" x14ac:dyDescent="0.25">
      <c r="A130" t="s">
        <v>362</v>
      </c>
      <c r="B130" t="s">
        <v>363</v>
      </c>
      <c r="C130" t="s">
        <v>114</v>
      </c>
      <c r="D130" t="s">
        <v>254</v>
      </c>
      <c r="E130" t="s">
        <v>255</v>
      </c>
      <c r="F130" t="str">
        <f t="shared" ref="F130:F193" si="2">"2018-05-20"</f>
        <v>2018-05-20</v>
      </c>
      <c r="G130">
        <v>30.73</v>
      </c>
      <c r="H130" t="str">
        <f>"2016-12-19"</f>
        <v>2016-12-19</v>
      </c>
      <c r="I130" t="s">
        <v>26</v>
      </c>
      <c r="J130" t="str">
        <f>"2016-11-08"</f>
        <v>2016-11-08</v>
      </c>
      <c r="K130" t="s">
        <v>27</v>
      </c>
      <c r="L130">
        <v>2.47732215</v>
      </c>
      <c r="M130">
        <v>129</v>
      </c>
      <c r="N130" s="1">
        <v>1.1980999999999999</v>
      </c>
      <c r="O130" s="1">
        <v>1.8638999999999999</v>
      </c>
      <c r="P130" s="1">
        <v>-6.7999999999999996E-3</v>
      </c>
      <c r="Q130" s="1">
        <v>0</v>
      </c>
      <c r="R130" s="1">
        <v>9.9099999999999994E-2</v>
      </c>
      <c r="S130" s="1">
        <v>0.24970000000000001</v>
      </c>
      <c r="T130" s="1">
        <v>0.23169999999999999</v>
      </c>
      <c r="U130" s="1">
        <v>0.61739999999999995</v>
      </c>
    </row>
    <row r="131" spans="1:21" x14ac:dyDescent="0.25">
      <c r="A131" t="s">
        <v>364</v>
      </c>
      <c r="B131" t="s">
        <v>365</v>
      </c>
      <c r="C131" t="s">
        <v>109</v>
      </c>
      <c r="D131" t="s">
        <v>110</v>
      </c>
      <c r="E131" t="s">
        <v>111</v>
      </c>
      <c r="F131" t="str">
        <f t="shared" si="2"/>
        <v>2018-05-20</v>
      </c>
      <c r="G131">
        <v>31.5</v>
      </c>
      <c r="H131" t="str">
        <f>"2017-10-05"</f>
        <v>2017-10-05</v>
      </c>
      <c r="I131" t="s">
        <v>26</v>
      </c>
      <c r="J131" t="str">
        <f>"2016-09-25"</f>
        <v>2016-09-25</v>
      </c>
      <c r="K131" t="s">
        <v>34</v>
      </c>
      <c r="L131">
        <v>2.4764065300000002</v>
      </c>
      <c r="M131">
        <v>130</v>
      </c>
      <c r="N131" s="1">
        <v>0.68810000000000004</v>
      </c>
      <c r="O131" s="1">
        <v>1.8584000000000001</v>
      </c>
      <c r="P131" s="1">
        <v>-3.7900000000000003E-2</v>
      </c>
      <c r="Q131" s="1">
        <v>-7.1999999999999998E-3</v>
      </c>
      <c r="R131" s="1">
        <v>2.7699999999999999E-2</v>
      </c>
      <c r="S131" s="1">
        <v>4.1300000000000003E-2</v>
      </c>
      <c r="T131" s="1">
        <v>0.10100000000000001</v>
      </c>
      <c r="U131" s="1">
        <v>1.0076000000000001</v>
      </c>
    </row>
    <row r="132" spans="1:21" x14ac:dyDescent="0.25">
      <c r="A132" t="s">
        <v>366</v>
      </c>
      <c r="B132" t="s">
        <v>367</v>
      </c>
      <c r="C132" t="s">
        <v>30</v>
      </c>
      <c r="D132" t="s">
        <v>31</v>
      </c>
      <c r="E132" t="s">
        <v>31</v>
      </c>
      <c r="F132" t="str">
        <f t="shared" si="2"/>
        <v>2018-05-20</v>
      </c>
      <c r="G132">
        <v>23.1</v>
      </c>
      <c r="H132" t="str">
        <f>"2015-06-16"</f>
        <v>2015-06-16</v>
      </c>
      <c r="I132" t="s">
        <v>26</v>
      </c>
      <c r="J132" t="str">
        <f>"2015-03-03"</f>
        <v>2015-03-03</v>
      </c>
      <c r="K132" t="s">
        <v>40</v>
      </c>
      <c r="L132">
        <v>2.4763779499999998</v>
      </c>
      <c r="M132">
        <v>131</v>
      </c>
      <c r="N132" s="1">
        <v>1.5875999999999999</v>
      </c>
      <c r="O132" s="1">
        <v>1.8583000000000001</v>
      </c>
      <c r="P132" s="1">
        <v>-2.12E-2</v>
      </c>
      <c r="Q132" s="1">
        <v>4.3E-3</v>
      </c>
      <c r="R132" s="1">
        <v>-4.3E-3</v>
      </c>
      <c r="S132" s="1">
        <v>4.5199999999999997E-2</v>
      </c>
      <c r="T132" s="1">
        <v>0.1053</v>
      </c>
      <c r="U132" s="1">
        <v>0.42149999999999999</v>
      </c>
    </row>
    <row r="133" spans="1:21" x14ac:dyDescent="0.25">
      <c r="A133" t="s">
        <v>368</v>
      </c>
      <c r="B133" t="s">
        <v>369</v>
      </c>
      <c r="C133" t="s">
        <v>109</v>
      </c>
      <c r="D133" t="s">
        <v>156</v>
      </c>
      <c r="E133" t="s">
        <v>277</v>
      </c>
      <c r="F133" t="str">
        <f t="shared" si="2"/>
        <v>2018-05-20</v>
      </c>
      <c r="G133">
        <v>111.85</v>
      </c>
      <c r="H133" t="str">
        <f>"2016-07-10"</f>
        <v>2016-07-10</v>
      </c>
      <c r="I133" t="s">
        <v>26</v>
      </c>
      <c r="J133" t="str">
        <f>"2016-06-09"</f>
        <v>2016-06-09</v>
      </c>
      <c r="K133" t="s">
        <v>27</v>
      </c>
      <c r="L133">
        <v>2.4744633899999999</v>
      </c>
      <c r="M133">
        <v>132</v>
      </c>
      <c r="N133" s="1">
        <v>1.4669000000000001</v>
      </c>
      <c r="O133" s="1">
        <v>1.8468</v>
      </c>
      <c r="P133" s="1">
        <v>-3.2399999999999998E-2</v>
      </c>
      <c r="Q133" s="1">
        <v>1.6199999999999999E-2</v>
      </c>
      <c r="R133" s="1">
        <v>-2.3E-3</v>
      </c>
      <c r="S133" s="1">
        <v>8.7300000000000003E-2</v>
      </c>
      <c r="T133" s="1">
        <v>6.6199999999999995E-2</v>
      </c>
      <c r="U133" s="1">
        <v>0.47439999999999999</v>
      </c>
    </row>
    <row r="134" spans="1:21" x14ac:dyDescent="0.25">
      <c r="A134" t="s">
        <v>370</v>
      </c>
      <c r="B134" t="s">
        <v>371</v>
      </c>
      <c r="C134" t="s">
        <v>23</v>
      </c>
      <c r="D134" t="s">
        <v>52</v>
      </c>
      <c r="E134" t="s">
        <v>139</v>
      </c>
      <c r="F134" t="str">
        <f t="shared" si="2"/>
        <v>2018-05-20</v>
      </c>
      <c r="G134">
        <v>17.3</v>
      </c>
      <c r="H134" t="str">
        <f>"2016-11-16"</f>
        <v>2016-11-16</v>
      </c>
      <c r="I134" t="s">
        <v>26</v>
      </c>
      <c r="J134" t="str">
        <f>"2016-10-20"</f>
        <v>2016-10-20</v>
      </c>
      <c r="K134" t="s">
        <v>40</v>
      </c>
      <c r="L134">
        <v>2.4726775999999999</v>
      </c>
      <c r="M134">
        <v>133</v>
      </c>
      <c r="N134" s="1">
        <v>1.0472999999999999</v>
      </c>
      <c r="O134" s="1">
        <v>1.8361000000000001</v>
      </c>
      <c r="P134" s="1">
        <v>-2.8999999999999998E-3</v>
      </c>
      <c r="Q134" s="1">
        <v>2.8999999999999998E-3</v>
      </c>
      <c r="R134" s="1">
        <v>1.7600000000000001E-2</v>
      </c>
      <c r="S134" s="1">
        <v>0.13070000000000001</v>
      </c>
      <c r="T134" s="1">
        <v>0.2959</v>
      </c>
      <c r="U134" s="1">
        <v>0.60189999999999999</v>
      </c>
    </row>
    <row r="135" spans="1:21" x14ac:dyDescent="0.25">
      <c r="A135" t="s">
        <v>372</v>
      </c>
      <c r="B135" t="s">
        <v>373</v>
      </c>
      <c r="C135" t="s">
        <v>43</v>
      </c>
      <c r="D135" t="s">
        <v>374</v>
      </c>
      <c r="E135" t="s">
        <v>375</v>
      </c>
      <c r="F135" t="str">
        <f t="shared" si="2"/>
        <v>2018-05-20</v>
      </c>
      <c r="G135">
        <v>59.65</v>
      </c>
      <c r="H135" t="str">
        <f>"2018-01-08"</f>
        <v>2018-01-08</v>
      </c>
      <c r="I135" t="s">
        <v>26</v>
      </c>
      <c r="J135" t="str">
        <f>"2017-11-27"</f>
        <v>2017-11-27</v>
      </c>
      <c r="K135" t="s">
        <v>27</v>
      </c>
      <c r="L135">
        <v>2.47072285</v>
      </c>
      <c r="M135">
        <v>134</v>
      </c>
      <c r="N135" s="1">
        <v>1.2282</v>
      </c>
      <c r="O135" s="1">
        <v>1.8243</v>
      </c>
      <c r="P135" s="1">
        <v>0</v>
      </c>
      <c r="Q135" s="1">
        <v>2.93E-2</v>
      </c>
      <c r="R135" s="1">
        <v>4.6699999999999998E-2</v>
      </c>
      <c r="S135" s="1">
        <v>0.39560000000000001</v>
      </c>
      <c r="T135" s="1">
        <v>1.1183000000000001</v>
      </c>
      <c r="U135" s="1">
        <v>1.4120999999999999</v>
      </c>
    </row>
    <row r="136" spans="1:21" x14ac:dyDescent="0.25">
      <c r="A136" t="s">
        <v>376</v>
      </c>
      <c r="B136" t="s">
        <v>377</v>
      </c>
      <c r="C136" t="s">
        <v>43</v>
      </c>
      <c r="D136" t="s">
        <v>374</v>
      </c>
      <c r="E136" t="s">
        <v>378</v>
      </c>
      <c r="F136" t="str">
        <f t="shared" si="2"/>
        <v>2018-05-20</v>
      </c>
      <c r="G136">
        <v>74.19</v>
      </c>
      <c r="H136" t="str">
        <f>"2016-06-22"</f>
        <v>2016-06-22</v>
      </c>
      <c r="I136" t="s">
        <v>26</v>
      </c>
      <c r="J136" t="str">
        <f>"2016-04-13"</f>
        <v>2016-04-13</v>
      </c>
      <c r="K136" t="s">
        <v>27</v>
      </c>
      <c r="L136">
        <v>2.4706890000000001</v>
      </c>
      <c r="M136">
        <v>135</v>
      </c>
      <c r="N136" s="1">
        <v>1.2447999999999999</v>
      </c>
      <c r="O136" s="1">
        <v>1.8241000000000001</v>
      </c>
      <c r="P136" s="1">
        <v>-7.3200000000000001E-2</v>
      </c>
      <c r="Q136" s="1">
        <v>1.4999999999999999E-2</v>
      </c>
      <c r="R136" s="1">
        <v>1.49E-2</v>
      </c>
      <c r="S136" s="1">
        <v>0</v>
      </c>
      <c r="T136" s="1">
        <v>6.3500000000000001E-2</v>
      </c>
      <c r="U136" s="1">
        <v>0.53129999999999999</v>
      </c>
    </row>
    <row r="137" spans="1:21" x14ac:dyDescent="0.25">
      <c r="A137" t="s">
        <v>379</v>
      </c>
      <c r="B137" t="s">
        <v>380</v>
      </c>
      <c r="C137" t="s">
        <v>43</v>
      </c>
      <c r="D137" t="s">
        <v>193</v>
      </c>
      <c r="E137" t="s">
        <v>239</v>
      </c>
      <c r="F137" t="str">
        <f t="shared" si="2"/>
        <v>2018-05-20</v>
      </c>
      <c r="G137">
        <v>82.99</v>
      </c>
      <c r="H137" t="str">
        <f>"2016-12-04"</f>
        <v>2016-12-04</v>
      </c>
      <c r="I137" t="s">
        <v>26</v>
      </c>
      <c r="J137" t="str">
        <f>"2016-10-23"</f>
        <v>2016-10-23</v>
      </c>
      <c r="K137" t="s">
        <v>40</v>
      </c>
      <c r="L137">
        <v>2.4685523900000002</v>
      </c>
      <c r="M137">
        <v>136</v>
      </c>
      <c r="N137" s="1">
        <v>1.2587999999999999</v>
      </c>
      <c r="O137" s="1">
        <v>1.8112999999999999</v>
      </c>
      <c r="P137" s="1">
        <v>0</v>
      </c>
      <c r="Q137" s="1">
        <v>7.3000000000000001E-3</v>
      </c>
      <c r="R137" s="1">
        <v>2.0299999999999999E-2</v>
      </c>
      <c r="S137" s="1">
        <v>5.04E-2</v>
      </c>
      <c r="T137" s="1">
        <v>0.13159999999999999</v>
      </c>
      <c r="U137" s="1">
        <v>0.6018</v>
      </c>
    </row>
    <row r="138" spans="1:21" x14ac:dyDescent="0.25">
      <c r="A138" t="s">
        <v>381</v>
      </c>
      <c r="B138" t="s">
        <v>382</v>
      </c>
      <c r="C138" t="s">
        <v>109</v>
      </c>
      <c r="D138" t="s">
        <v>110</v>
      </c>
      <c r="E138" t="s">
        <v>111</v>
      </c>
      <c r="F138" t="str">
        <f t="shared" si="2"/>
        <v>2018-05-20</v>
      </c>
      <c r="G138">
        <v>18.8</v>
      </c>
      <c r="H138" t="str">
        <f>"2016-10-23"</f>
        <v>2016-10-23</v>
      </c>
      <c r="I138" t="s">
        <v>26</v>
      </c>
      <c r="J138" t="str">
        <f>"2016-06-01"</f>
        <v>2016-06-01</v>
      </c>
      <c r="K138" t="s">
        <v>40</v>
      </c>
      <c r="L138">
        <v>2.4628261899999999</v>
      </c>
      <c r="M138">
        <v>137</v>
      </c>
      <c r="N138" s="1">
        <v>1.1572</v>
      </c>
      <c r="O138" s="1">
        <v>1.7769999999999999</v>
      </c>
      <c r="P138" s="1">
        <v>-3.09E-2</v>
      </c>
      <c r="Q138" s="1">
        <v>-1.0500000000000001E-2</v>
      </c>
      <c r="R138" s="1">
        <v>-1.0500000000000001E-2</v>
      </c>
      <c r="S138" s="1">
        <v>6.5199999999999994E-2</v>
      </c>
      <c r="T138" s="1">
        <v>0.13600000000000001</v>
      </c>
      <c r="U138" s="1">
        <v>0.60340000000000005</v>
      </c>
    </row>
    <row r="139" spans="1:21" x14ac:dyDescent="0.25">
      <c r="A139" t="s">
        <v>383</v>
      </c>
      <c r="B139" t="s">
        <v>384</v>
      </c>
      <c r="C139" t="s">
        <v>109</v>
      </c>
      <c r="D139" t="s">
        <v>110</v>
      </c>
      <c r="E139" t="s">
        <v>251</v>
      </c>
      <c r="F139" t="str">
        <f t="shared" si="2"/>
        <v>2018-05-20</v>
      </c>
      <c r="G139">
        <v>27.83</v>
      </c>
      <c r="H139" t="str">
        <f>"2016-08-23"</f>
        <v>2016-08-23</v>
      </c>
      <c r="I139" t="s">
        <v>26</v>
      </c>
      <c r="J139" t="str">
        <f>"2016-08-07"</f>
        <v>2016-08-07</v>
      </c>
      <c r="K139" t="s">
        <v>27</v>
      </c>
      <c r="L139">
        <v>2.4624459999999999</v>
      </c>
      <c r="M139">
        <v>138</v>
      </c>
      <c r="N139" s="1">
        <v>1.0925</v>
      </c>
      <c r="O139" s="1">
        <v>1.7746999999999999</v>
      </c>
      <c r="P139" s="1">
        <v>-2.4199999999999999E-2</v>
      </c>
      <c r="Q139" s="1">
        <v>-1.03E-2</v>
      </c>
      <c r="R139" s="1">
        <v>2.5399999999999999E-2</v>
      </c>
      <c r="S139" s="1">
        <v>0.21479999999999999</v>
      </c>
      <c r="T139" s="1">
        <v>0.16439999999999999</v>
      </c>
      <c r="U139" s="1">
        <v>0.53080000000000005</v>
      </c>
    </row>
    <row r="140" spans="1:21" x14ac:dyDescent="0.25">
      <c r="A140" t="s">
        <v>385</v>
      </c>
      <c r="B140" t="s">
        <v>386</v>
      </c>
      <c r="C140" t="s">
        <v>30</v>
      </c>
      <c r="D140" t="s">
        <v>48</v>
      </c>
      <c r="E140" t="s">
        <v>387</v>
      </c>
      <c r="F140" t="str">
        <f t="shared" si="2"/>
        <v>2018-05-20</v>
      </c>
      <c r="G140">
        <v>55.58</v>
      </c>
      <c r="H140" t="str">
        <f>"2016-10-05"</f>
        <v>2016-10-05</v>
      </c>
      <c r="I140" t="s">
        <v>26</v>
      </c>
      <c r="J140" t="str">
        <f>"2015-09-22"</f>
        <v>2015-09-22</v>
      </c>
      <c r="K140" t="s">
        <v>34</v>
      </c>
      <c r="L140">
        <v>2.4615512399999999</v>
      </c>
      <c r="M140">
        <v>139</v>
      </c>
      <c r="N140" s="1">
        <v>1.0778000000000001</v>
      </c>
      <c r="O140" s="1">
        <v>1.7693000000000001</v>
      </c>
      <c r="P140" s="1">
        <v>0</v>
      </c>
      <c r="Q140" s="1">
        <v>1.4800000000000001E-2</v>
      </c>
      <c r="R140" s="1">
        <v>3.1600000000000003E-2</v>
      </c>
      <c r="S140" s="1">
        <v>1.9400000000000001E-2</v>
      </c>
      <c r="T140" s="1">
        <v>0.1462</v>
      </c>
      <c r="U140" s="1">
        <v>0.44209999999999999</v>
      </c>
    </row>
    <row r="141" spans="1:21" x14ac:dyDescent="0.25">
      <c r="A141" t="s">
        <v>388</v>
      </c>
      <c r="B141" t="s">
        <v>389</v>
      </c>
      <c r="C141" t="s">
        <v>43</v>
      </c>
      <c r="D141" t="s">
        <v>150</v>
      </c>
      <c r="E141" t="s">
        <v>151</v>
      </c>
      <c r="F141" t="str">
        <f t="shared" si="2"/>
        <v>2018-05-20</v>
      </c>
      <c r="G141">
        <v>121.9</v>
      </c>
      <c r="H141" t="str">
        <f>"2017-05-09"</f>
        <v>2017-05-09</v>
      </c>
      <c r="I141" t="s">
        <v>26</v>
      </c>
      <c r="J141" t="str">
        <f>"2017-04-06"</f>
        <v>2017-04-06</v>
      </c>
      <c r="K141" t="s">
        <v>27</v>
      </c>
      <c r="L141">
        <v>2.4591337100000001</v>
      </c>
      <c r="M141">
        <v>140</v>
      </c>
      <c r="N141" s="1">
        <v>0.97570000000000001</v>
      </c>
      <c r="O141" s="1">
        <v>1.7547999999999999</v>
      </c>
      <c r="P141" s="1">
        <v>-3.9E-2</v>
      </c>
      <c r="Q141" s="1">
        <v>1.37E-2</v>
      </c>
      <c r="R141" s="1">
        <v>3.04E-2</v>
      </c>
      <c r="S141" s="1">
        <v>-2.1700000000000001E-2</v>
      </c>
      <c r="T141" s="1">
        <v>4.3700000000000003E-2</v>
      </c>
      <c r="U141" s="1">
        <v>0.89880000000000004</v>
      </c>
    </row>
    <row r="142" spans="1:21" x14ac:dyDescent="0.25">
      <c r="A142" t="s">
        <v>390</v>
      </c>
      <c r="B142" t="s">
        <v>391</v>
      </c>
      <c r="C142" t="s">
        <v>30</v>
      </c>
      <c r="D142" t="s">
        <v>31</v>
      </c>
      <c r="E142" t="s">
        <v>31</v>
      </c>
      <c r="F142" t="str">
        <f t="shared" si="2"/>
        <v>2018-05-20</v>
      </c>
      <c r="G142">
        <v>41.95</v>
      </c>
      <c r="H142" t="str">
        <f>"2016-08-23"</f>
        <v>2016-08-23</v>
      </c>
      <c r="I142" t="s">
        <v>26</v>
      </c>
      <c r="J142" t="str">
        <f>"2016-08-18"</f>
        <v>2016-08-18</v>
      </c>
      <c r="K142" t="s">
        <v>27</v>
      </c>
      <c r="L142">
        <v>2.4557801000000001</v>
      </c>
      <c r="M142">
        <v>141</v>
      </c>
      <c r="N142" s="1">
        <v>1.0325</v>
      </c>
      <c r="O142" s="1">
        <v>1.7346999999999999</v>
      </c>
      <c r="P142" s="1">
        <v>-2.12E-2</v>
      </c>
      <c r="Q142" s="1">
        <v>6.1999999999999998E-3</v>
      </c>
      <c r="R142" s="1">
        <v>3.3500000000000002E-2</v>
      </c>
      <c r="S142" s="1">
        <v>4.1000000000000003E-3</v>
      </c>
      <c r="T142" s="1">
        <v>8.8200000000000001E-2</v>
      </c>
      <c r="U142" s="1">
        <v>0.83350000000000002</v>
      </c>
    </row>
    <row r="143" spans="1:21" x14ac:dyDescent="0.25">
      <c r="A143" t="s">
        <v>392</v>
      </c>
      <c r="B143" t="s">
        <v>393</v>
      </c>
      <c r="C143" t="s">
        <v>23</v>
      </c>
      <c r="D143" t="s">
        <v>24</v>
      </c>
      <c r="E143" t="s">
        <v>164</v>
      </c>
      <c r="F143" t="str">
        <f t="shared" si="2"/>
        <v>2018-05-20</v>
      </c>
      <c r="G143">
        <v>6.77</v>
      </c>
      <c r="H143" t="str">
        <f>"2017-11-19"</f>
        <v>2017-11-19</v>
      </c>
      <c r="I143" t="s">
        <v>26</v>
      </c>
      <c r="J143" t="str">
        <f>"2017-09-27"</f>
        <v>2017-09-27</v>
      </c>
      <c r="K143" t="s">
        <v>27</v>
      </c>
      <c r="L143">
        <v>2.45497312</v>
      </c>
      <c r="M143">
        <v>142</v>
      </c>
      <c r="N143" s="1">
        <v>0.31709999999999999</v>
      </c>
      <c r="O143" s="1">
        <v>1.7298</v>
      </c>
      <c r="P143" s="1">
        <v>0</v>
      </c>
      <c r="Q143" s="1">
        <v>3.0000000000000001E-3</v>
      </c>
      <c r="R143" s="1">
        <v>0.27979999999999999</v>
      </c>
      <c r="S143" s="1">
        <v>0.29449999999999998</v>
      </c>
      <c r="T143" s="1">
        <v>0.28949999999999998</v>
      </c>
      <c r="U143" s="1">
        <v>0.95660000000000001</v>
      </c>
    </row>
    <row r="144" spans="1:21" x14ac:dyDescent="0.25">
      <c r="A144" t="s">
        <v>394</v>
      </c>
      <c r="B144" t="s">
        <v>395</v>
      </c>
      <c r="C144" t="s">
        <v>37</v>
      </c>
      <c r="D144" t="s">
        <v>38</v>
      </c>
      <c r="E144" t="s">
        <v>39</v>
      </c>
      <c r="F144" t="str">
        <f t="shared" si="2"/>
        <v>2018-05-20</v>
      </c>
      <c r="G144">
        <v>38.340000000000003</v>
      </c>
      <c r="H144" t="str">
        <f>"2017-08-01"</f>
        <v>2017-08-01</v>
      </c>
      <c r="I144" t="s">
        <v>26</v>
      </c>
      <c r="J144" t="str">
        <f>"2016-07-20"</f>
        <v>2016-07-20</v>
      </c>
      <c r="K144" t="s">
        <v>34</v>
      </c>
      <c r="L144">
        <v>2.4528702999999998</v>
      </c>
      <c r="M144">
        <v>143</v>
      </c>
      <c r="N144" s="1">
        <v>0.85580000000000001</v>
      </c>
      <c r="O144" s="1">
        <v>1.7172000000000001</v>
      </c>
      <c r="P144" s="1">
        <v>-7.3700000000000002E-2</v>
      </c>
      <c r="Q144" s="1">
        <v>2.5999999999999999E-3</v>
      </c>
      <c r="R144" s="1">
        <v>9.6100000000000005E-2</v>
      </c>
      <c r="S144" s="1">
        <v>1.21E-2</v>
      </c>
      <c r="T144" s="1">
        <v>0.1149</v>
      </c>
      <c r="U144" s="1">
        <v>1.2685999999999999</v>
      </c>
    </row>
    <row r="145" spans="1:21" x14ac:dyDescent="0.25">
      <c r="A145" t="s">
        <v>396</v>
      </c>
      <c r="B145" t="s">
        <v>397</v>
      </c>
      <c r="C145" t="s">
        <v>30</v>
      </c>
      <c r="D145" t="s">
        <v>48</v>
      </c>
      <c r="E145" t="s">
        <v>387</v>
      </c>
      <c r="F145" t="str">
        <f t="shared" si="2"/>
        <v>2018-05-20</v>
      </c>
      <c r="G145">
        <v>110.3</v>
      </c>
      <c r="H145" t="str">
        <f>"2016-08-03"</f>
        <v>2016-08-03</v>
      </c>
      <c r="I145" t="s">
        <v>26</v>
      </c>
      <c r="J145" t="str">
        <f>"2016-07-11"</f>
        <v>2016-07-11</v>
      </c>
      <c r="K145" t="s">
        <v>27</v>
      </c>
      <c r="L145">
        <v>2.4526799600000002</v>
      </c>
      <c r="M145">
        <v>144</v>
      </c>
      <c r="N145" s="1">
        <v>1.1823999999999999</v>
      </c>
      <c r="O145" s="1">
        <v>1.7161</v>
      </c>
      <c r="P145" s="1">
        <v>0</v>
      </c>
      <c r="Q145" s="1">
        <v>1.89E-2</v>
      </c>
      <c r="R145" s="1">
        <v>2.8000000000000001E-2</v>
      </c>
      <c r="S145" s="1">
        <v>0.18790000000000001</v>
      </c>
      <c r="T145" s="1">
        <v>0.15740000000000001</v>
      </c>
      <c r="U145" s="1">
        <v>0.55569999999999997</v>
      </c>
    </row>
    <row r="146" spans="1:21" x14ac:dyDescent="0.25">
      <c r="A146" t="s">
        <v>398</v>
      </c>
      <c r="B146" t="s">
        <v>399</v>
      </c>
      <c r="C146" t="s">
        <v>109</v>
      </c>
      <c r="D146" t="s">
        <v>110</v>
      </c>
      <c r="E146" t="s">
        <v>111</v>
      </c>
      <c r="F146" t="str">
        <f t="shared" si="2"/>
        <v>2018-05-20</v>
      </c>
      <c r="G146">
        <v>55.77</v>
      </c>
      <c r="H146" t="str">
        <f>"2017-02-12"</f>
        <v>2017-02-12</v>
      </c>
      <c r="I146" t="s">
        <v>26</v>
      </c>
      <c r="J146" t="str">
        <f>"2016-11-28"</f>
        <v>2016-11-28</v>
      </c>
      <c r="K146" t="s">
        <v>40</v>
      </c>
      <c r="L146">
        <v>2.4462313999999998</v>
      </c>
      <c r="M146">
        <v>145</v>
      </c>
      <c r="N146" s="1">
        <v>1.0163</v>
      </c>
      <c r="O146" s="1">
        <v>1.6774</v>
      </c>
      <c r="P146" s="1">
        <v>-0.02</v>
      </c>
      <c r="Q146" s="1">
        <v>-1.01E-2</v>
      </c>
      <c r="R146" s="1">
        <v>1.4E-2</v>
      </c>
      <c r="S146" s="1">
        <v>0.1449</v>
      </c>
      <c r="T146" s="1">
        <v>0.29099999999999998</v>
      </c>
      <c r="U146" s="1">
        <v>1.2470000000000001</v>
      </c>
    </row>
    <row r="147" spans="1:21" x14ac:dyDescent="0.25">
      <c r="A147" t="s">
        <v>400</v>
      </c>
      <c r="B147" t="s">
        <v>401</v>
      </c>
      <c r="C147" t="s">
        <v>37</v>
      </c>
      <c r="D147" t="s">
        <v>66</v>
      </c>
      <c r="E147" t="s">
        <v>94</v>
      </c>
      <c r="F147" t="str">
        <f t="shared" si="2"/>
        <v>2018-05-20</v>
      </c>
      <c r="G147">
        <v>33.799999999999997</v>
      </c>
      <c r="H147" t="str">
        <f>"2018-02-15"</f>
        <v>2018-02-15</v>
      </c>
      <c r="I147" t="s">
        <v>26</v>
      </c>
      <c r="J147" t="str">
        <f>"2018-01-30"</f>
        <v>2018-01-30</v>
      </c>
      <c r="K147" t="s">
        <v>27</v>
      </c>
      <c r="L147">
        <v>2.4453227900000001</v>
      </c>
      <c r="M147">
        <v>146</v>
      </c>
      <c r="N147" s="1">
        <v>0.73419999999999996</v>
      </c>
      <c r="O147" s="1">
        <v>1.6718999999999999</v>
      </c>
      <c r="P147" s="1">
        <v>0</v>
      </c>
      <c r="Q147" s="1">
        <v>1.41E-2</v>
      </c>
      <c r="R147" s="1">
        <v>2.58E-2</v>
      </c>
      <c r="S147" s="1">
        <v>0.40539999999999998</v>
      </c>
      <c r="T147" s="1">
        <v>0.77239999999999998</v>
      </c>
      <c r="U147" s="1">
        <v>0.95150000000000001</v>
      </c>
    </row>
    <row r="148" spans="1:21" x14ac:dyDescent="0.25">
      <c r="A148" t="s">
        <v>402</v>
      </c>
      <c r="B148" t="s">
        <v>403</v>
      </c>
      <c r="C148" t="s">
        <v>23</v>
      </c>
      <c r="D148" t="s">
        <v>52</v>
      </c>
      <c r="E148" t="s">
        <v>190</v>
      </c>
      <c r="F148" t="str">
        <f t="shared" si="2"/>
        <v>2018-05-20</v>
      </c>
      <c r="G148">
        <v>25.85</v>
      </c>
      <c r="H148" t="str">
        <f>"2017-08-10"</f>
        <v>2017-08-10</v>
      </c>
      <c r="I148" t="s">
        <v>26</v>
      </c>
      <c r="J148" t="str">
        <f>"2017-07-20"</f>
        <v>2017-07-20</v>
      </c>
      <c r="K148" t="s">
        <v>27</v>
      </c>
      <c r="L148">
        <v>2.4441580799999998</v>
      </c>
      <c r="M148">
        <v>147</v>
      </c>
      <c r="N148" s="1">
        <v>0.93489999999999995</v>
      </c>
      <c r="O148" s="1">
        <v>1.6649</v>
      </c>
      <c r="P148" s="1">
        <v>0</v>
      </c>
      <c r="Q148" s="1">
        <v>1.5699999999999999E-2</v>
      </c>
      <c r="R148" s="1">
        <v>5.4199999999999998E-2</v>
      </c>
      <c r="S148" s="1">
        <v>0.13780000000000001</v>
      </c>
      <c r="T148" s="1">
        <v>0.62890000000000001</v>
      </c>
      <c r="U148" s="1">
        <v>1.5518000000000001</v>
      </c>
    </row>
    <row r="149" spans="1:21" x14ac:dyDescent="0.25">
      <c r="A149" t="s">
        <v>404</v>
      </c>
      <c r="B149" t="s">
        <v>405</v>
      </c>
      <c r="C149" t="s">
        <v>109</v>
      </c>
      <c r="D149" t="s">
        <v>110</v>
      </c>
      <c r="E149" t="s">
        <v>111</v>
      </c>
      <c r="F149" t="str">
        <f t="shared" si="2"/>
        <v>2018-05-20</v>
      </c>
      <c r="G149">
        <v>46.3</v>
      </c>
      <c r="H149" t="str">
        <f>"2016-08-25"</f>
        <v>2016-08-25</v>
      </c>
      <c r="I149" t="s">
        <v>26</v>
      </c>
      <c r="J149" t="str">
        <f>"2016-08-24"</f>
        <v>2016-08-24</v>
      </c>
      <c r="K149" t="s">
        <v>27</v>
      </c>
      <c r="L149">
        <v>2.44323186</v>
      </c>
      <c r="M149">
        <v>148</v>
      </c>
      <c r="N149" s="1">
        <v>1.2476</v>
      </c>
      <c r="O149" s="1">
        <v>1.6594</v>
      </c>
      <c r="P149" s="1">
        <v>-9.5999999999999992E-3</v>
      </c>
      <c r="Q149" s="1">
        <v>4.3E-3</v>
      </c>
      <c r="R149" s="1">
        <v>0</v>
      </c>
      <c r="S149" s="1">
        <v>2.4299999999999999E-2</v>
      </c>
      <c r="T149" s="1">
        <v>-1.1000000000000001E-3</v>
      </c>
      <c r="U149" s="1">
        <v>0.50080000000000002</v>
      </c>
    </row>
    <row r="150" spans="1:21" x14ac:dyDescent="0.25">
      <c r="A150" t="s">
        <v>406</v>
      </c>
      <c r="B150" t="s">
        <v>407</v>
      </c>
      <c r="C150" t="s">
        <v>43</v>
      </c>
      <c r="D150" t="s">
        <v>150</v>
      </c>
      <c r="E150" t="s">
        <v>408</v>
      </c>
      <c r="F150" t="str">
        <f t="shared" si="2"/>
        <v>2018-05-20</v>
      </c>
      <c r="G150">
        <v>46.65</v>
      </c>
      <c r="H150" t="str">
        <f>"2016-04-06"</f>
        <v>2016-04-06</v>
      </c>
      <c r="I150" t="s">
        <v>26</v>
      </c>
      <c r="J150" t="str">
        <f>"2016-03-14"</f>
        <v>2016-03-14</v>
      </c>
      <c r="K150" t="s">
        <v>27</v>
      </c>
      <c r="L150">
        <v>2.4410096399999999</v>
      </c>
      <c r="M150">
        <v>149</v>
      </c>
      <c r="N150" s="1">
        <v>1.0826</v>
      </c>
      <c r="O150" s="1">
        <v>1.6460999999999999</v>
      </c>
      <c r="P150" s="1">
        <v>-5.3E-3</v>
      </c>
      <c r="Q150" s="1">
        <v>1.2999999999999999E-2</v>
      </c>
      <c r="R150" s="1">
        <v>6.6299999999999998E-2</v>
      </c>
      <c r="S150" s="1">
        <v>4.48E-2</v>
      </c>
      <c r="T150" s="1">
        <v>0.23250000000000001</v>
      </c>
      <c r="U150" s="1">
        <v>0.61980000000000002</v>
      </c>
    </row>
    <row r="151" spans="1:21" x14ac:dyDescent="0.25">
      <c r="A151" t="s">
        <v>409</v>
      </c>
      <c r="B151" t="s">
        <v>410</v>
      </c>
      <c r="C151" t="s">
        <v>23</v>
      </c>
      <c r="D151" t="s">
        <v>411</v>
      </c>
      <c r="E151" t="s">
        <v>412</v>
      </c>
      <c r="F151" t="str">
        <f t="shared" si="2"/>
        <v>2018-05-20</v>
      </c>
      <c r="G151">
        <v>27.5</v>
      </c>
      <c r="H151" t="str">
        <f>"2017-01-30"</f>
        <v>2017-01-30</v>
      </c>
      <c r="I151" t="s">
        <v>26</v>
      </c>
      <c r="J151" t="str">
        <f>"2016-12-04"</f>
        <v>2016-12-04</v>
      </c>
      <c r="K151" t="s">
        <v>27</v>
      </c>
      <c r="L151">
        <v>2.43692405</v>
      </c>
      <c r="M151">
        <v>150</v>
      </c>
      <c r="N151" s="1">
        <v>0.64180000000000004</v>
      </c>
      <c r="O151" s="1">
        <v>1.6214999999999999</v>
      </c>
      <c r="P151" s="1">
        <v>-0.03</v>
      </c>
      <c r="Q151" s="1">
        <v>-8.9999999999999993E-3</v>
      </c>
      <c r="R151" s="1">
        <v>0</v>
      </c>
      <c r="S151" s="1">
        <v>0.1777</v>
      </c>
      <c r="T151" s="1">
        <v>0.21679999999999999</v>
      </c>
      <c r="U151" s="1">
        <v>0.72409999999999997</v>
      </c>
    </row>
    <row r="152" spans="1:21" x14ac:dyDescent="0.25">
      <c r="A152" t="s">
        <v>413</v>
      </c>
      <c r="B152" t="s">
        <v>414</v>
      </c>
      <c r="C152" t="s">
        <v>23</v>
      </c>
      <c r="D152" t="s">
        <v>52</v>
      </c>
      <c r="E152" t="s">
        <v>53</v>
      </c>
      <c r="F152" t="str">
        <f t="shared" si="2"/>
        <v>2018-05-20</v>
      </c>
      <c r="G152">
        <v>28.4</v>
      </c>
      <c r="H152" t="str">
        <f>"2018-01-16"</f>
        <v>2018-01-16</v>
      </c>
      <c r="I152" t="s">
        <v>26</v>
      </c>
      <c r="J152" t="str">
        <f>"2017-11-20"</f>
        <v>2017-11-20</v>
      </c>
      <c r="K152" t="s">
        <v>27</v>
      </c>
      <c r="L152">
        <v>2.4362519200000001</v>
      </c>
      <c r="M152">
        <v>151</v>
      </c>
      <c r="N152" s="1">
        <v>0.14749999999999999</v>
      </c>
      <c r="O152" s="1">
        <v>1.6174999999999999</v>
      </c>
      <c r="P152" s="1">
        <v>-1.8E-3</v>
      </c>
      <c r="Q152" s="1">
        <v>1.9699999999999999E-2</v>
      </c>
      <c r="R152" s="1">
        <v>2.53E-2</v>
      </c>
      <c r="S152" s="1">
        <v>6.9699999999999998E-2</v>
      </c>
      <c r="T152" s="1">
        <v>0.14979999999999999</v>
      </c>
      <c r="U152" s="1">
        <v>0.1711</v>
      </c>
    </row>
    <row r="153" spans="1:21" x14ac:dyDescent="0.25">
      <c r="A153" t="s">
        <v>415</v>
      </c>
      <c r="B153" t="s">
        <v>416</v>
      </c>
      <c r="C153" t="s">
        <v>43</v>
      </c>
      <c r="D153" t="s">
        <v>119</v>
      </c>
      <c r="E153" t="s">
        <v>120</v>
      </c>
      <c r="F153" t="str">
        <f t="shared" si="2"/>
        <v>2018-05-20</v>
      </c>
      <c r="G153">
        <v>47.37</v>
      </c>
      <c r="H153" t="str">
        <f>"2016-12-12"</f>
        <v>2016-12-12</v>
      </c>
      <c r="I153" t="s">
        <v>26</v>
      </c>
      <c r="J153" t="str">
        <f>"2016-11-17"</f>
        <v>2016-11-17</v>
      </c>
      <c r="K153" t="s">
        <v>27</v>
      </c>
      <c r="L153">
        <v>2.43618785</v>
      </c>
      <c r="M153">
        <v>152</v>
      </c>
      <c r="N153" s="1">
        <v>1.0148999999999999</v>
      </c>
      <c r="O153" s="1">
        <v>1.6171</v>
      </c>
      <c r="P153" s="1">
        <v>-7.4999999999999997E-3</v>
      </c>
      <c r="Q153" s="1">
        <v>-3.5999999999999999E-3</v>
      </c>
      <c r="R153" s="1">
        <v>1.78E-2</v>
      </c>
      <c r="S153" s="1">
        <v>0.1484</v>
      </c>
      <c r="T153" s="1">
        <v>0.46700000000000003</v>
      </c>
      <c r="U153" s="1">
        <v>0.91239999999999999</v>
      </c>
    </row>
    <row r="154" spans="1:21" x14ac:dyDescent="0.25">
      <c r="A154" t="s">
        <v>417</v>
      </c>
      <c r="B154" t="s">
        <v>418</v>
      </c>
      <c r="C154" t="s">
        <v>109</v>
      </c>
      <c r="D154" t="s">
        <v>110</v>
      </c>
      <c r="E154" t="s">
        <v>111</v>
      </c>
      <c r="F154" t="str">
        <f t="shared" si="2"/>
        <v>2018-05-20</v>
      </c>
      <c r="G154">
        <v>122.57</v>
      </c>
      <c r="H154" t="str">
        <f>"2016-07-19"</f>
        <v>2016-07-19</v>
      </c>
      <c r="I154" t="s">
        <v>26</v>
      </c>
      <c r="J154" t="str">
        <f>"2016-06-02"</f>
        <v>2016-06-02</v>
      </c>
      <c r="K154" t="s">
        <v>27</v>
      </c>
      <c r="L154">
        <v>2.4361300899999998</v>
      </c>
      <c r="M154">
        <v>153</v>
      </c>
      <c r="N154" s="1">
        <v>0.84960000000000002</v>
      </c>
      <c r="O154" s="1">
        <v>1.6168</v>
      </c>
      <c r="P154" s="1">
        <v>-4.7800000000000002E-2</v>
      </c>
      <c r="Q154" s="1">
        <v>8.9999999999999998E-4</v>
      </c>
      <c r="R154" s="1">
        <v>-2.3E-3</v>
      </c>
      <c r="S154" s="1">
        <v>4.1999999999999997E-3</v>
      </c>
      <c r="T154" s="1">
        <v>0.12989999999999999</v>
      </c>
      <c r="U154" s="1">
        <v>0.45450000000000002</v>
      </c>
    </row>
    <row r="155" spans="1:21" x14ac:dyDescent="0.25">
      <c r="A155" t="s">
        <v>419</v>
      </c>
      <c r="B155" t="s">
        <v>420</v>
      </c>
      <c r="C155" t="s">
        <v>87</v>
      </c>
      <c r="D155" t="s">
        <v>88</v>
      </c>
      <c r="E155" t="s">
        <v>89</v>
      </c>
      <c r="F155" t="str">
        <f t="shared" si="2"/>
        <v>2018-05-20</v>
      </c>
      <c r="G155">
        <v>46.15</v>
      </c>
      <c r="H155" t="str">
        <f>"2017-07-02"</f>
        <v>2017-07-02</v>
      </c>
      <c r="I155" t="s">
        <v>26</v>
      </c>
      <c r="J155" t="str">
        <f>"2017-04-09"</f>
        <v>2017-04-09</v>
      </c>
      <c r="K155" t="s">
        <v>40</v>
      </c>
      <c r="L155">
        <v>2.4352952299999999</v>
      </c>
      <c r="M155">
        <v>154</v>
      </c>
      <c r="N155" s="1">
        <v>1.1209</v>
      </c>
      <c r="O155" s="1">
        <v>1.6117999999999999</v>
      </c>
      <c r="P155" s="1">
        <v>0</v>
      </c>
      <c r="Q155" s="1">
        <v>3.0800000000000001E-2</v>
      </c>
      <c r="R155" s="1">
        <v>0.1091</v>
      </c>
      <c r="S155" s="1">
        <v>0.29020000000000001</v>
      </c>
      <c r="T155" s="1">
        <v>0.48060000000000003</v>
      </c>
      <c r="U155" s="1">
        <v>1.1515</v>
      </c>
    </row>
    <row r="156" spans="1:21" x14ac:dyDescent="0.25">
      <c r="A156" t="s">
        <v>421</v>
      </c>
      <c r="B156" t="s">
        <v>422</v>
      </c>
      <c r="C156" t="s">
        <v>109</v>
      </c>
      <c r="D156" t="s">
        <v>110</v>
      </c>
      <c r="E156" t="s">
        <v>111</v>
      </c>
      <c r="F156" t="str">
        <f t="shared" si="2"/>
        <v>2018-05-20</v>
      </c>
      <c r="G156">
        <v>57.3</v>
      </c>
      <c r="H156" t="str">
        <f>"2016-07-10"</f>
        <v>2016-07-10</v>
      </c>
      <c r="I156" t="s">
        <v>26</v>
      </c>
      <c r="J156" t="str">
        <f>"2016-06-05"</f>
        <v>2016-06-05</v>
      </c>
      <c r="K156" t="s">
        <v>27</v>
      </c>
      <c r="L156">
        <v>2.43507973</v>
      </c>
      <c r="M156">
        <v>155</v>
      </c>
      <c r="N156" s="1">
        <v>1.0538000000000001</v>
      </c>
      <c r="O156" s="1">
        <v>1.6105</v>
      </c>
      <c r="P156" s="1">
        <v>-1.9699999999999999E-2</v>
      </c>
      <c r="Q156" s="1">
        <v>-3.5000000000000001E-3</v>
      </c>
      <c r="R156" s="1">
        <v>1.8700000000000001E-2</v>
      </c>
      <c r="S156" s="1">
        <v>0.17180000000000001</v>
      </c>
      <c r="T156" s="1">
        <v>0.22309999999999999</v>
      </c>
      <c r="U156" s="1">
        <v>0.4506</v>
      </c>
    </row>
    <row r="157" spans="1:21" x14ac:dyDescent="0.25">
      <c r="A157" t="s">
        <v>423</v>
      </c>
      <c r="B157" t="s">
        <v>424</v>
      </c>
      <c r="C157" t="s">
        <v>109</v>
      </c>
      <c r="D157" t="s">
        <v>156</v>
      </c>
      <c r="E157" t="s">
        <v>277</v>
      </c>
      <c r="F157" t="str">
        <f t="shared" si="2"/>
        <v>2018-05-20</v>
      </c>
      <c r="G157">
        <v>104.25</v>
      </c>
      <c r="H157" t="str">
        <f>"2016-07-03"</f>
        <v>2016-07-03</v>
      </c>
      <c r="I157" t="s">
        <v>26</v>
      </c>
      <c r="J157" t="str">
        <f>"2016-02-18"</f>
        <v>2016-02-18</v>
      </c>
      <c r="K157" t="s">
        <v>57</v>
      </c>
      <c r="L157">
        <v>2.4345922999999998</v>
      </c>
      <c r="M157">
        <v>156</v>
      </c>
      <c r="N157" s="1">
        <v>1.1687000000000001</v>
      </c>
      <c r="O157" s="1">
        <v>1.6075999999999999</v>
      </c>
      <c r="P157" s="1">
        <v>0</v>
      </c>
      <c r="Q157" s="1">
        <v>1.3599999999999999E-2</v>
      </c>
      <c r="R157" s="1">
        <v>1.5599999999999999E-2</v>
      </c>
      <c r="S157" s="1">
        <v>0.18870000000000001</v>
      </c>
      <c r="T157" s="1">
        <v>9.6199999999999994E-2</v>
      </c>
      <c r="U157" s="1">
        <v>0.41070000000000001</v>
      </c>
    </row>
    <row r="158" spans="1:21" x14ac:dyDescent="0.25">
      <c r="A158" t="s">
        <v>425</v>
      </c>
      <c r="B158" t="s">
        <v>426</v>
      </c>
      <c r="C158" t="s">
        <v>30</v>
      </c>
      <c r="D158" t="s">
        <v>48</v>
      </c>
      <c r="E158" t="s">
        <v>387</v>
      </c>
      <c r="F158" t="str">
        <f t="shared" si="2"/>
        <v>2018-05-20</v>
      </c>
      <c r="G158">
        <v>46.74</v>
      </c>
      <c r="H158" t="str">
        <f>"2018-03-13"</f>
        <v>2018-03-13</v>
      </c>
      <c r="I158" t="s">
        <v>26</v>
      </c>
      <c r="J158" t="str">
        <f>"2017-03-01"</f>
        <v>2017-03-01</v>
      </c>
      <c r="K158" t="s">
        <v>34</v>
      </c>
      <c r="L158">
        <v>2.4322974500000001</v>
      </c>
      <c r="M158">
        <v>157</v>
      </c>
      <c r="N158" s="1">
        <v>0.22770000000000001</v>
      </c>
      <c r="O158" s="1">
        <v>1.5938000000000001</v>
      </c>
      <c r="P158" s="1">
        <v>0</v>
      </c>
      <c r="Q158" s="1">
        <v>1.2800000000000001E-2</v>
      </c>
      <c r="R158" s="1">
        <v>3.4299999999999997E-2</v>
      </c>
      <c r="S158" s="1">
        <v>0.14560000000000001</v>
      </c>
      <c r="T158" s="1">
        <v>0.24440000000000001</v>
      </c>
      <c r="U158" s="1">
        <v>1.3382000000000001</v>
      </c>
    </row>
    <row r="159" spans="1:21" x14ac:dyDescent="0.25">
      <c r="A159" t="s">
        <v>427</v>
      </c>
      <c r="B159" t="s">
        <v>428</v>
      </c>
      <c r="C159" t="s">
        <v>109</v>
      </c>
      <c r="D159" t="s">
        <v>110</v>
      </c>
      <c r="E159" t="s">
        <v>251</v>
      </c>
      <c r="F159" t="str">
        <f t="shared" si="2"/>
        <v>2018-05-20</v>
      </c>
      <c r="G159">
        <v>47.73</v>
      </c>
      <c r="H159" t="str">
        <f>"2017-02-13"</f>
        <v>2017-02-13</v>
      </c>
      <c r="I159" t="s">
        <v>26</v>
      </c>
      <c r="J159" t="str">
        <f>"2016-03-03"</f>
        <v>2016-03-03</v>
      </c>
      <c r="K159" t="s">
        <v>57</v>
      </c>
      <c r="L159">
        <v>2.4302325599999999</v>
      </c>
      <c r="M159">
        <v>158</v>
      </c>
      <c r="N159" s="1">
        <v>0.67359999999999998</v>
      </c>
      <c r="O159" s="1">
        <v>1.5813999999999999</v>
      </c>
      <c r="P159" s="1">
        <v>-7.3200000000000001E-2</v>
      </c>
      <c r="Q159" s="1">
        <v>2.8999999999999998E-3</v>
      </c>
      <c r="R159" s="1">
        <v>-3.8699999999999998E-2</v>
      </c>
      <c r="S159" s="1">
        <v>4.0000000000000002E-4</v>
      </c>
      <c r="T159" s="1">
        <v>-2.93E-2</v>
      </c>
      <c r="U159" s="1">
        <v>0.63629999999999998</v>
      </c>
    </row>
    <row r="160" spans="1:21" x14ac:dyDescent="0.25">
      <c r="A160" t="s">
        <v>429</v>
      </c>
      <c r="B160" t="s">
        <v>430</v>
      </c>
      <c r="C160" t="s">
        <v>23</v>
      </c>
      <c r="D160" t="s">
        <v>52</v>
      </c>
      <c r="E160" t="s">
        <v>56</v>
      </c>
      <c r="F160" t="str">
        <f t="shared" si="2"/>
        <v>2018-05-20</v>
      </c>
      <c r="G160">
        <v>332.01</v>
      </c>
      <c r="H160" t="str">
        <f>"2016-08-09"</f>
        <v>2016-08-09</v>
      </c>
      <c r="I160" t="s">
        <v>26</v>
      </c>
      <c r="J160" t="str">
        <f>"2016-07-12"</f>
        <v>2016-07-12</v>
      </c>
      <c r="K160" t="s">
        <v>27</v>
      </c>
      <c r="L160">
        <v>2.4282894700000002</v>
      </c>
      <c r="M160">
        <v>159</v>
      </c>
      <c r="N160" s="1">
        <v>1.3048</v>
      </c>
      <c r="O160" s="1">
        <v>1.5697000000000001</v>
      </c>
      <c r="P160" s="1">
        <v>-3.8E-3</v>
      </c>
      <c r="Q160" s="1">
        <v>-3.8E-3</v>
      </c>
      <c r="R160" s="1">
        <v>1.2200000000000001E-2</v>
      </c>
      <c r="S160" s="1">
        <v>9.6799999999999997E-2</v>
      </c>
      <c r="T160" s="1">
        <v>0.2717</v>
      </c>
      <c r="U160" s="1">
        <v>0.66469999999999996</v>
      </c>
    </row>
    <row r="161" spans="1:21" x14ac:dyDescent="0.25">
      <c r="A161" t="s">
        <v>431</v>
      </c>
      <c r="B161" t="s">
        <v>432</v>
      </c>
      <c r="C161" t="s">
        <v>43</v>
      </c>
      <c r="D161" t="s">
        <v>193</v>
      </c>
      <c r="E161" t="s">
        <v>239</v>
      </c>
      <c r="F161" t="str">
        <f t="shared" si="2"/>
        <v>2018-05-20</v>
      </c>
      <c r="G161">
        <v>71.739999999999995</v>
      </c>
      <c r="H161" t="str">
        <f>"2016-06-13"</f>
        <v>2016-06-13</v>
      </c>
      <c r="I161" t="s">
        <v>26</v>
      </c>
      <c r="J161" t="str">
        <f>"2016-01-17"</f>
        <v>2016-01-17</v>
      </c>
      <c r="K161" t="s">
        <v>40</v>
      </c>
      <c r="L161">
        <v>2.4255041500000001</v>
      </c>
      <c r="M161">
        <v>160</v>
      </c>
      <c r="N161" s="1">
        <v>0.95209999999999995</v>
      </c>
      <c r="O161" s="1">
        <v>1.5529999999999999</v>
      </c>
      <c r="P161" s="1">
        <v>-3.5200000000000002E-2</v>
      </c>
      <c r="Q161" s="1">
        <v>3.3999999999999998E-3</v>
      </c>
      <c r="R161" s="1">
        <v>-1.4E-2</v>
      </c>
      <c r="S161" s="1">
        <v>0.10299999999999999</v>
      </c>
      <c r="T161" s="1">
        <v>0.20979999999999999</v>
      </c>
      <c r="U161" s="1">
        <v>0.21079999999999999</v>
      </c>
    </row>
    <row r="162" spans="1:21" x14ac:dyDescent="0.25">
      <c r="A162" t="s">
        <v>433</v>
      </c>
      <c r="B162" t="s">
        <v>434</v>
      </c>
      <c r="C162" t="s">
        <v>109</v>
      </c>
      <c r="D162" t="s">
        <v>110</v>
      </c>
      <c r="E162" t="s">
        <v>111</v>
      </c>
      <c r="F162" t="str">
        <f t="shared" si="2"/>
        <v>2018-05-20</v>
      </c>
      <c r="G162">
        <v>32.81</v>
      </c>
      <c r="H162" t="str">
        <f>"2017-01-10"</f>
        <v>2017-01-10</v>
      </c>
      <c r="I162" t="s">
        <v>26</v>
      </c>
      <c r="J162" t="str">
        <f>"2016-12-06"</f>
        <v>2016-12-06</v>
      </c>
      <c r="K162" t="s">
        <v>40</v>
      </c>
      <c r="L162">
        <v>2.42488992</v>
      </c>
      <c r="M162">
        <v>161</v>
      </c>
      <c r="N162" s="1">
        <v>1.0253000000000001</v>
      </c>
      <c r="O162" s="1">
        <v>1.5492999999999999</v>
      </c>
      <c r="P162" s="1">
        <v>0</v>
      </c>
      <c r="Q162" s="1">
        <v>3.1399999999999997E-2</v>
      </c>
      <c r="R162" s="1">
        <v>8.2500000000000004E-2</v>
      </c>
      <c r="S162" s="1">
        <v>0.16350000000000001</v>
      </c>
      <c r="T162" s="1">
        <v>9.7699999999999995E-2</v>
      </c>
      <c r="U162" s="1">
        <v>0.50160000000000005</v>
      </c>
    </row>
    <row r="163" spans="1:21" x14ac:dyDescent="0.25">
      <c r="A163" t="s">
        <v>435</v>
      </c>
      <c r="B163" t="s">
        <v>436</v>
      </c>
      <c r="C163" t="s">
        <v>87</v>
      </c>
      <c r="D163" t="s">
        <v>88</v>
      </c>
      <c r="E163" t="s">
        <v>89</v>
      </c>
      <c r="F163" t="str">
        <f t="shared" si="2"/>
        <v>2018-05-20</v>
      </c>
      <c r="G163">
        <v>26.97</v>
      </c>
      <c r="H163" t="str">
        <f>"2017-12-27"</f>
        <v>2017-12-27</v>
      </c>
      <c r="I163" t="s">
        <v>26</v>
      </c>
      <c r="J163" t="str">
        <f>"2016-12-14"</f>
        <v>2016-12-14</v>
      </c>
      <c r="K163" t="s">
        <v>34</v>
      </c>
      <c r="L163">
        <v>2.4228598300000002</v>
      </c>
      <c r="M163">
        <v>162</v>
      </c>
      <c r="N163" s="1">
        <v>0.50249999999999995</v>
      </c>
      <c r="O163" s="1">
        <v>1.5371999999999999</v>
      </c>
      <c r="P163" s="1">
        <v>-5.2999999999999999E-2</v>
      </c>
      <c r="Q163" s="1">
        <v>1.1000000000000001E-3</v>
      </c>
      <c r="R163" s="1">
        <v>8.8400000000000006E-2</v>
      </c>
      <c r="S163" s="1">
        <v>8.7499999999999994E-2</v>
      </c>
      <c r="T163" s="1">
        <v>0.5</v>
      </c>
      <c r="U163" s="1">
        <v>0.9758</v>
      </c>
    </row>
    <row r="164" spans="1:21" x14ac:dyDescent="0.25">
      <c r="A164" t="s">
        <v>437</v>
      </c>
      <c r="B164" t="s">
        <v>438</v>
      </c>
      <c r="C164" t="s">
        <v>37</v>
      </c>
      <c r="D164" t="s">
        <v>66</v>
      </c>
      <c r="E164" t="s">
        <v>72</v>
      </c>
      <c r="F164" t="str">
        <f t="shared" si="2"/>
        <v>2018-05-20</v>
      </c>
      <c r="G164">
        <v>52.33</v>
      </c>
      <c r="H164" t="str">
        <f>"2017-01-22"</f>
        <v>2017-01-22</v>
      </c>
      <c r="I164" t="s">
        <v>26</v>
      </c>
      <c r="J164" t="str">
        <f>"2016-12-07"</f>
        <v>2016-12-07</v>
      </c>
      <c r="K164" t="s">
        <v>27</v>
      </c>
      <c r="L164">
        <v>2.4223567400000001</v>
      </c>
      <c r="M164">
        <v>163</v>
      </c>
      <c r="N164" s="1">
        <v>0.99960000000000004</v>
      </c>
      <c r="O164" s="1">
        <v>1.5341</v>
      </c>
      <c r="P164" s="1">
        <v>0</v>
      </c>
      <c r="Q164" s="1">
        <v>2.23E-2</v>
      </c>
      <c r="R164" s="1">
        <v>6.6000000000000003E-2</v>
      </c>
      <c r="S164" s="1">
        <v>5.9999999999999995E-4</v>
      </c>
      <c r="T164" s="1">
        <v>0.1024</v>
      </c>
      <c r="U164" s="1">
        <v>0.72540000000000004</v>
      </c>
    </row>
    <row r="165" spans="1:21" x14ac:dyDescent="0.25">
      <c r="A165" t="s">
        <v>439</v>
      </c>
      <c r="B165" t="s">
        <v>440</v>
      </c>
      <c r="C165" t="s">
        <v>23</v>
      </c>
      <c r="D165" t="s">
        <v>24</v>
      </c>
      <c r="E165" t="s">
        <v>25</v>
      </c>
      <c r="F165" t="str">
        <f t="shared" si="2"/>
        <v>2018-05-20</v>
      </c>
      <c r="G165">
        <v>310.55</v>
      </c>
      <c r="H165" t="str">
        <f>"2016-08-18"</f>
        <v>2016-08-18</v>
      </c>
      <c r="I165" t="s">
        <v>26</v>
      </c>
      <c r="J165" t="str">
        <f>"2016-08-10"</f>
        <v>2016-08-10</v>
      </c>
      <c r="K165" t="s">
        <v>27</v>
      </c>
      <c r="L165">
        <v>2.4220690999999999</v>
      </c>
      <c r="M165">
        <v>164</v>
      </c>
      <c r="N165" s="1">
        <v>1.0983000000000001</v>
      </c>
      <c r="O165" s="1">
        <v>1.5324</v>
      </c>
      <c r="P165" s="1">
        <v>0</v>
      </c>
      <c r="Q165" s="1">
        <v>2.8999999999999998E-3</v>
      </c>
      <c r="R165" s="1">
        <v>6.13E-2</v>
      </c>
      <c r="S165" s="1">
        <v>0.22140000000000001</v>
      </c>
      <c r="T165" s="1">
        <v>0.19789999999999999</v>
      </c>
      <c r="U165" s="1">
        <v>0.85509999999999997</v>
      </c>
    </row>
    <row r="166" spans="1:21" x14ac:dyDescent="0.25">
      <c r="A166" t="s">
        <v>441</v>
      </c>
      <c r="B166" t="s">
        <v>442</v>
      </c>
      <c r="C166" t="s">
        <v>109</v>
      </c>
      <c r="D166" t="s">
        <v>156</v>
      </c>
      <c r="E166" t="s">
        <v>277</v>
      </c>
      <c r="F166" t="str">
        <f t="shared" si="2"/>
        <v>2018-05-20</v>
      </c>
      <c r="G166">
        <v>13.7</v>
      </c>
      <c r="H166" t="str">
        <f>"2016-11-22"</f>
        <v>2016-11-22</v>
      </c>
      <c r="I166" t="s">
        <v>26</v>
      </c>
      <c r="J166" t="str">
        <f>"2016-10-13"</f>
        <v>2016-10-13</v>
      </c>
      <c r="K166" t="s">
        <v>57</v>
      </c>
      <c r="L166">
        <v>2.4220579199999999</v>
      </c>
      <c r="M166">
        <v>165</v>
      </c>
      <c r="N166" s="1">
        <v>1.0387</v>
      </c>
      <c r="O166" s="1">
        <v>1.5323</v>
      </c>
      <c r="P166" s="1">
        <v>-1.5E-3</v>
      </c>
      <c r="Q166" s="1">
        <v>8.0999999999999996E-3</v>
      </c>
      <c r="R166" s="1">
        <v>-1.5E-3</v>
      </c>
      <c r="S166" s="1">
        <v>0.13600000000000001</v>
      </c>
      <c r="T166" s="1">
        <v>0.37690000000000001</v>
      </c>
      <c r="U166" s="1">
        <v>0.4451</v>
      </c>
    </row>
    <row r="167" spans="1:21" x14ac:dyDescent="0.25">
      <c r="A167" t="s">
        <v>443</v>
      </c>
      <c r="B167" t="s">
        <v>444</v>
      </c>
      <c r="C167" t="s">
        <v>30</v>
      </c>
      <c r="D167" t="s">
        <v>31</v>
      </c>
      <c r="E167" t="s">
        <v>31</v>
      </c>
      <c r="F167" t="str">
        <f t="shared" si="2"/>
        <v>2018-05-20</v>
      </c>
      <c r="G167">
        <v>97.56</v>
      </c>
      <c r="H167" t="str">
        <f>"2016-06-06"</f>
        <v>2016-06-06</v>
      </c>
      <c r="I167" t="s">
        <v>26</v>
      </c>
      <c r="J167" t="str">
        <f>"2016-04-19"</f>
        <v>2016-04-19</v>
      </c>
      <c r="K167" t="s">
        <v>27</v>
      </c>
      <c r="L167">
        <v>2.4214619000000002</v>
      </c>
      <c r="M167">
        <v>166</v>
      </c>
      <c r="N167" s="1">
        <v>0.81710000000000005</v>
      </c>
      <c r="O167" s="1">
        <v>1.5287999999999999</v>
      </c>
      <c r="P167" s="1">
        <v>0</v>
      </c>
      <c r="Q167" s="1">
        <v>3.73E-2</v>
      </c>
      <c r="R167" s="1">
        <v>5.4899999999999997E-2</v>
      </c>
      <c r="S167" s="1">
        <v>6.0199999999999997E-2</v>
      </c>
      <c r="T167" s="1">
        <v>0.126</v>
      </c>
      <c r="U167" s="1">
        <v>0.41389999999999999</v>
      </c>
    </row>
    <row r="168" spans="1:21" x14ac:dyDescent="0.25">
      <c r="A168" t="s">
        <v>445</v>
      </c>
      <c r="B168" t="s">
        <v>446</v>
      </c>
      <c r="C168" t="s">
        <v>109</v>
      </c>
      <c r="D168" t="s">
        <v>110</v>
      </c>
      <c r="E168" t="s">
        <v>111</v>
      </c>
      <c r="F168" t="str">
        <f t="shared" si="2"/>
        <v>2018-05-20</v>
      </c>
      <c r="G168">
        <v>30.58</v>
      </c>
      <c r="H168" t="str">
        <f>"2017-02-26"</f>
        <v>2017-02-26</v>
      </c>
      <c r="I168" t="s">
        <v>26</v>
      </c>
      <c r="J168" t="str">
        <f>"2016-12-25"</f>
        <v>2016-12-25</v>
      </c>
      <c r="K168" t="s">
        <v>57</v>
      </c>
      <c r="L168">
        <v>2.4212121199999999</v>
      </c>
      <c r="M168">
        <v>167</v>
      </c>
      <c r="N168" s="1">
        <v>0.98440000000000005</v>
      </c>
      <c r="O168" s="1">
        <v>1.5273000000000001</v>
      </c>
      <c r="P168" s="1">
        <v>-4.82E-2</v>
      </c>
      <c r="Q168" s="1">
        <v>-6.7999999999999996E-3</v>
      </c>
      <c r="R168" s="1">
        <v>1.8700000000000001E-2</v>
      </c>
      <c r="S168" s="1">
        <v>0.1056</v>
      </c>
      <c r="T168" s="1">
        <v>0.22570000000000001</v>
      </c>
      <c r="U168" s="1">
        <v>0.69510000000000005</v>
      </c>
    </row>
    <row r="169" spans="1:21" x14ac:dyDescent="0.25">
      <c r="A169" t="s">
        <v>447</v>
      </c>
      <c r="B169" t="s">
        <v>448</v>
      </c>
      <c r="C169" t="s">
        <v>114</v>
      </c>
      <c r="D169" t="s">
        <v>115</v>
      </c>
      <c r="E169" t="s">
        <v>116</v>
      </c>
      <c r="F169" t="str">
        <f t="shared" si="2"/>
        <v>2018-05-20</v>
      </c>
      <c r="G169">
        <v>86.87</v>
      </c>
      <c r="H169" t="str">
        <f>"2016-11-14"</f>
        <v>2016-11-14</v>
      </c>
      <c r="I169" t="s">
        <v>26</v>
      </c>
      <c r="J169" t="str">
        <f>"2016-10-30"</f>
        <v>2016-10-30</v>
      </c>
      <c r="K169" t="s">
        <v>40</v>
      </c>
      <c r="L169">
        <v>2.4182071999999999</v>
      </c>
      <c r="M169">
        <v>168</v>
      </c>
      <c r="N169" s="1">
        <v>0.97970000000000002</v>
      </c>
      <c r="O169" s="1">
        <v>1.5092000000000001</v>
      </c>
      <c r="P169" s="1">
        <v>-9.3100000000000002E-2</v>
      </c>
      <c r="Q169" s="1">
        <v>3.3E-3</v>
      </c>
      <c r="R169" s="1">
        <v>9.9000000000000008E-3</v>
      </c>
      <c r="S169" s="1">
        <v>-5.9200000000000003E-2</v>
      </c>
      <c r="T169" s="1">
        <v>1.5800000000000002E-2</v>
      </c>
      <c r="U169" s="1">
        <v>0.60629999999999995</v>
      </c>
    </row>
    <row r="170" spans="1:21" x14ac:dyDescent="0.25">
      <c r="A170" t="s">
        <v>449</v>
      </c>
      <c r="B170" t="s">
        <v>450</v>
      </c>
      <c r="C170" t="s">
        <v>109</v>
      </c>
      <c r="D170" t="s">
        <v>156</v>
      </c>
      <c r="E170" t="s">
        <v>157</v>
      </c>
      <c r="F170" t="str">
        <f t="shared" si="2"/>
        <v>2018-05-20</v>
      </c>
      <c r="G170">
        <v>23.58</v>
      </c>
      <c r="H170" t="str">
        <f>"2017-07-05"</f>
        <v>2017-07-05</v>
      </c>
      <c r="I170" t="s">
        <v>26</v>
      </c>
      <c r="J170" t="str">
        <f>"2017-05-28"</f>
        <v>2017-05-28</v>
      </c>
      <c r="K170" t="s">
        <v>27</v>
      </c>
      <c r="L170">
        <v>2.4180851099999998</v>
      </c>
      <c r="M170">
        <v>169</v>
      </c>
      <c r="N170" s="1">
        <v>0.81379999999999997</v>
      </c>
      <c r="O170" s="1">
        <v>1.5085</v>
      </c>
      <c r="P170" s="1">
        <v>-1.26E-2</v>
      </c>
      <c r="Q170" s="1">
        <v>-3.8E-3</v>
      </c>
      <c r="R170" s="1">
        <v>3.15E-2</v>
      </c>
      <c r="S170" s="1">
        <v>0.1452</v>
      </c>
      <c r="T170" s="1">
        <v>5.3100000000000001E-2</v>
      </c>
      <c r="U170" s="1">
        <v>1.2982</v>
      </c>
    </row>
    <row r="171" spans="1:21" x14ac:dyDescent="0.25">
      <c r="A171" t="s">
        <v>451</v>
      </c>
      <c r="B171" t="s">
        <v>452</v>
      </c>
      <c r="C171" t="s">
        <v>30</v>
      </c>
      <c r="D171" t="s">
        <v>31</v>
      </c>
      <c r="E171" t="s">
        <v>31</v>
      </c>
      <c r="F171" t="str">
        <f t="shared" si="2"/>
        <v>2018-05-20</v>
      </c>
      <c r="G171">
        <v>11.35</v>
      </c>
      <c r="H171" t="str">
        <f>"2015-08-31"</f>
        <v>2015-08-31</v>
      </c>
      <c r="I171" t="s">
        <v>26</v>
      </c>
      <c r="J171" t="str">
        <f>"2015-08-17"</f>
        <v>2015-08-17</v>
      </c>
      <c r="K171" t="s">
        <v>27</v>
      </c>
      <c r="L171">
        <v>2.4180416199999999</v>
      </c>
      <c r="M171">
        <v>170</v>
      </c>
      <c r="N171" s="1">
        <v>1.3721000000000001</v>
      </c>
      <c r="O171" s="1">
        <v>1.5082</v>
      </c>
      <c r="P171" s="1">
        <v>-2.1600000000000001E-2</v>
      </c>
      <c r="Q171" s="1">
        <v>8.8999999999999999E-3</v>
      </c>
      <c r="R171" s="1">
        <v>1.7899999999999999E-2</v>
      </c>
      <c r="S171" s="1">
        <v>-8.6999999999999994E-3</v>
      </c>
      <c r="T171" s="1">
        <v>8.1000000000000003E-2</v>
      </c>
      <c r="U171" s="1">
        <v>0.22040000000000001</v>
      </c>
    </row>
    <row r="172" spans="1:21" x14ac:dyDescent="0.25">
      <c r="A172" t="s">
        <v>453</v>
      </c>
      <c r="B172" t="s">
        <v>454</v>
      </c>
      <c r="C172" t="s">
        <v>30</v>
      </c>
      <c r="D172" t="s">
        <v>31</v>
      </c>
      <c r="E172" t="s">
        <v>31</v>
      </c>
      <c r="F172" t="str">
        <f t="shared" si="2"/>
        <v>2018-05-20</v>
      </c>
      <c r="G172">
        <v>41.25</v>
      </c>
      <c r="H172" t="str">
        <f>"2015-10-19"</f>
        <v>2015-10-19</v>
      </c>
      <c r="I172" t="s">
        <v>26</v>
      </c>
      <c r="J172" t="str">
        <f>"2015-07-12"</f>
        <v>2015-07-12</v>
      </c>
      <c r="K172" t="s">
        <v>27</v>
      </c>
      <c r="L172">
        <v>2.4176792200000001</v>
      </c>
      <c r="M172">
        <v>171</v>
      </c>
      <c r="N172" s="1">
        <v>1.2627999999999999</v>
      </c>
      <c r="O172" s="1">
        <v>1.5061</v>
      </c>
      <c r="P172" s="1">
        <v>0</v>
      </c>
      <c r="Q172" s="1">
        <v>1.2999999999999999E-2</v>
      </c>
      <c r="R172" s="1">
        <v>3.3099999999999997E-2</v>
      </c>
      <c r="S172" s="1">
        <v>0.1191</v>
      </c>
      <c r="T172" s="1">
        <v>0.15509999999999999</v>
      </c>
      <c r="U172" s="1">
        <v>0.4612</v>
      </c>
    </row>
    <row r="173" spans="1:21" x14ac:dyDescent="0.25">
      <c r="A173" t="s">
        <v>455</v>
      </c>
      <c r="B173" t="s">
        <v>456</v>
      </c>
      <c r="C173" t="s">
        <v>87</v>
      </c>
      <c r="D173" t="s">
        <v>88</v>
      </c>
      <c r="E173" t="s">
        <v>89</v>
      </c>
      <c r="F173" t="str">
        <f t="shared" si="2"/>
        <v>2018-05-20</v>
      </c>
      <c r="G173">
        <v>33.119999999999997</v>
      </c>
      <c r="H173" t="str">
        <f>"2016-07-12"</f>
        <v>2016-07-12</v>
      </c>
      <c r="I173" t="s">
        <v>26</v>
      </c>
      <c r="J173" t="str">
        <f>"2016-06-01"</f>
        <v>2016-06-01</v>
      </c>
      <c r="K173" t="s">
        <v>27</v>
      </c>
      <c r="L173">
        <v>2.41754917</v>
      </c>
      <c r="M173">
        <v>172</v>
      </c>
      <c r="N173" s="1">
        <v>0.48120000000000002</v>
      </c>
      <c r="O173" s="1">
        <v>1.5053000000000001</v>
      </c>
      <c r="P173" s="1">
        <v>-3.3799999999999997E-2</v>
      </c>
      <c r="Q173" s="1">
        <v>-2.7000000000000001E-3</v>
      </c>
      <c r="R173" s="1">
        <v>-2.0400000000000001E-2</v>
      </c>
      <c r="S173" s="1">
        <v>-1.78E-2</v>
      </c>
      <c r="T173" s="1">
        <v>9.5200000000000007E-2</v>
      </c>
      <c r="U173" s="1">
        <v>0.38519999999999999</v>
      </c>
    </row>
    <row r="174" spans="1:21" x14ac:dyDescent="0.25">
      <c r="A174" t="s">
        <v>457</v>
      </c>
      <c r="B174" t="s">
        <v>458</v>
      </c>
      <c r="C174" t="s">
        <v>43</v>
      </c>
      <c r="D174" t="s">
        <v>44</v>
      </c>
      <c r="E174" t="s">
        <v>45</v>
      </c>
      <c r="F174" t="str">
        <f t="shared" si="2"/>
        <v>2018-05-20</v>
      </c>
      <c r="G174">
        <v>85.07</v>
      </c>
      <c r="H174" t="str">
        <f>"2016-11-20"</f>
        <v>2016-11-20</v>
      </c>
      <c r="I174" t="s">
        <v>26</v>
      </c>
      <c r="J174" t="str">
        <f>"2016-11-16"</f>
        <v>2016-11-16</v>
      </c>
      <c r="K174" t="s">
        <v>27</v>
      </c>
      <c r="L174">
        <v>2.4139659400000002</v>
      </c>
      <c r="M174">
        <v>173</v>
      </c>
      <c r="N174" s="1">
        <v>1.0468999999999999</v>
      </c>
      <c r="O174" s="1">
        <v>1.4838</v>
      </c>
      <c r="P174" s="1">
        <v>-5.4000000000000003E-3</v>
      </c>
      <c r="Q174" s="1">
        <v>1.54E-2</v>
      </c>
      <c r="R174" s="1">
        <v>3.1899999999999998E-2</v>
      </c>
      <c r="S174" s="1">
        <v>2.52E-2</v>
      </c>
      <c r="T174" s="1">
        <v>8.4199999999999997E-2</v>
      </c>
      <c r="U174" s="1">
        <v>0.63160000000000005</v>
      </c>
    </row>
    <row r="175" spans="1:21" x14ac:dyDescent="0.25">
      <c r="A175" t="s">
        <v>459</v>
      </c>
      <c r="B175" t="s">
        <v>460</v>
      </c>
      <c r="C175" t="s">
        <v>109</v>
      </c>
      <c r="D175" t="s">
        <v>110</v>
      </c>
      <c r="E175" t="s">
        <v>111</v>
      </c>
      <c r="F175" t="str">
        <f t="shared" si="2"/>
        <v>2018-05-20</v>
      </c>
      <c r="G175">
        <v>46.25</v>
      </c>
      <c r="H175" t="str">
        <f>"2016-12-20"</f>
        <v>2016-12-20</v>
      </c>
      <c r="I175" t="s">
        <v>26</v>
      </c>
      <c r="J175" t="str">
        <f>"2016-06-14"</f>
        <v>2016-06-14</v>
      </c>
      <c r="K175" t="s">
        <v>57</v>
      </c>
      <c r="L175">
        <v>2.4100177299999999</v>
      </c>
      <c r="M175">
        <v>174</v>
      </c>
      <c r="N175" s="1">
        <v>0.84189999999999998</v>
      </c>
      <c r="O175" s="1">
        <v>1.4601</v>
      </c>
      <c r="P175" s="1">
        <v>0</v>
      </c>
      <c r="Q175" s="1">
        <v>8.9999999999999998E-4</v>
      </c>
      <c r="R175" s="1">
        <v>3.7199999999999997E-2</v>
      </c>
      <c r="S175" s="1">
        <v>0.1525</v>
      </c>
      <c r="T175" s="1">
        <v>0.22</v>
      </c>
      <c r="U175" s="1">
        <v>0.85740000000000005</v>
      </c>
    </row>
    <row r="176" spans="1:21" x14ac:dyDescent="0.25">
      <c r="A176" t="s">
        <v>461</v>
      </c>
      <c r="B176" t="s">
        <v>462</v>
      </c>
      <c r="C176" t="s">
        <v>87</v>
      </c>
      <c r="D176" t="s">
        <v>144</v>
      </c>
      <c r="E176" t="s">
        <v>145</v>
      </c>
      <c r="F176" t="str">
        <f t="shared" si="2"/>
        <v>2018-05-20</v>
      </c>
      <c r="G176">
        <v>4.59</v>
      </c>
      <c r="H176" t="str">
        <f>"2017-12-04"</f>
        <v>2017-12-04</v>
      </c>
      <c r="I176" t="s">
        <v>26</v>
      </c>
      <c r="J176" t="str">
        <f>"2016-10-30"</f>
        <v>2016-10-30</v>
      </c>
      <c r="K176" t="s">
        <v>57</v>
      </c>
      <c r="L176">
        <v>2.4090909100000002</v>
      </c>
      <c r="M176">
        <v>175</v>
      </c>
      <c r="N176" s="1">
        <v>0.1168</v>
      </c>
      <c r="O176" s="1">
        <v>1.4544999999999999</v>
      </c>
      <c r="P176" s="1">
        <v>-4.3799999999999999E-2</v>
      </c>
      <c r="Q176" s="1">
        <v>-1.9199999999999998E-2</v>
      </c>
      <c r="R176" s="1">
        <v>-2.2000000000000001E-3</v>
      </c>
      <c r="S176" s="1">
        <v>0.23719999999999999</v>
      </c>
      <c r="T176" s="1">
        <v>0.14460000000000001</v>
      </c>
      <c r="U176" s="1">
        <v>0.33429999999999999</v>
      </c>
    </row>
    <row r="177" spans="1:21" x14ac:dyDescent="0.25">
      <c r="A177" t="s">
        <v>463</v>
      </c>
      <c r="B177" t="s">
        <v>464</v>
      </c>
      <c r="C177" t="s">
        <v>87</v>
      </c>
      <c r="D177" t="s">
        <v>88</v>
      </c>
      <c r="E177" t="s">
        <v>89</v>
      </c>
      <c r="F177" t="str">
        <f t="shared" si="2"/>
        <v>2018-05-20</v>
      </c>
      <c r="G177">
        <v>27.91</v>
      </c>
      <c r="H177" t="str">
        <f>"2017-12-28"</f>
        <v>2017-12-28</v>
      </c>
      <c r="I177" t="s">
        <v>26</v>
      </c>
      <c r="J177" t="str">
        <f>"2017-11-22"</f>
        <v>2017-11-22</v>
      </c>
      <c r="K177" t="s">
        <v>27</v>
      </c>
      <c r="L177">
        <v>2.4087580599999998</v>
      </c>
      <c r="M177">
        <v>176</v>
      </c>
      <c r="N177" s="1">
        <v>0.28620000000000001</v>
      </c>
      <c r="O177" s="1">
        <v>1.4524999999999999</v>
      </c>
      <c r="P177" s="1">
        <v>0</v>
      </c>
      <c r="Q177" s="1">
        <v>3.9899999999999998E-2</v>
      </c>
      <c r="R177" s="1">
        <v>8.1799999999999998E-2</v>
      </c>
      <c r="S177" s="1">
        <v>0.46200000000000002</v>
      </c>
      <c r="T177" s="1">
        <v>0.58220000000000005</v>
      </c>
      <c r="U177" s="1">
        <v>0.14899999999999999</v>
      </c>
    </row>
    <row r="178" spans="1:21" x14ac:dyDescent="0.25">
      <c r="A178" t="s">
        <v>465</v>
      </c>
      <c r="B178" t="s">
        <v>466</v>
      </c>
      <c r="C178" t="s">
        <v>109</v>
      </c>
      <c r="D178" t="s">
        <v>110</v>
      </c>
      <c r="E178" t="s">
        <v>111</v>
      </c>
      <c r="F178" t="str">
        <f t="shared" si="2"/>
        <v>2018-05-20</v>
      </c>
      <c r="G178">
        <v>17.95</v>
      </c>
      <c r="H178" t="str">
        <f>"2017-05-03"</f>
        <v>2017-05-03</v>
      </c>
      <c r="I178" t="s">
        <v>26</v>
      </c>
      <c r="J178" t="str">
        <f>"2017-02-15"</f>
        <v>2017-02-15</v>
      </c>
      <c r="K178" t="s">
        <v>27</v>
      </c>
      <c r="L178">
        <v>2.4070294799999998</v>
      </c>
      <c r="M178">
        <v>177</v>
      </c>
      <c r="N178" s="1">
        <v>0.66200000000000003</v>
      </c>
      <c r="O178" s="1">
        <v>1.4421999999999999</v>
      </c>
      <c r="P178" s="1">
        <v>-4.5199999999999997E-2</v>
      </c>
      <c r="Q178" s="1">
        <v>-2.8E-3</v>
      </c>
      <c r="R178" s="1">
        <v>4.36E-2</v>
      </c>
      <c r="S178" s="1">
        <v>2.87E-2</v>
      </c>
      <c r="T178" s="1">
        <v>5.8999999999999997E-2</v>
      </c>
      <c r="U178" s="1">
        <v>0.44180000000000003</v>
      </c>
    </row>
    <row r="179" spans="1:21" x14ac:dyDescent="0.25">
      <c r="A179" t="s">
        <v>467</v>
      </c>
      <c r="B179" t="s">
        <v>468</v>
      </c>
      <c r="C179" t="s">
        <v>114</v>
      </c>
      <c r="D179" t="s">
        <v>225</v>
      </c>
      <c r="E179" t="s">
        <v>469</v>
      </c>
      <c r="F179" t="str">
        <f t="shared" si="2"/>
        <v>2018-05-20</v>
      </c>
      <c r="G179">
        <v>51.45</v>
      </c>
      <c r="H179" t="str">
        <f>"2016-03-17"</f>
        <v>2016-03-17</v>
      </c>
      <c r="I179" t="s">
        <v>26</v>
      </c>
      <c r="J179" t="str">
        <f>"2015-10-12"</f>
        <v>2015-10-12</v>
      </c>
      <c r="K179" t="s">
        <v>57</v>
      </c>
      <c r="L179">
        <v>2.4058211100000002</v>
      </c>
      <c r="M179">
        <v>178</v>
      </c>
      <c r="N179" s="1">
        <v>0.7399</v>
      </c>
      <c r="O179" s="1">
        <v>1.4349000000000001</v>
      </c>
      <c r="P179" s="1">
        <v>-8.6999999999999994E-3</v>
      </c>
      <c r="Q179" s="1">
        <v>-1E-3</v>
      </c>
      <c r="R179" s="1">
        <v>6.5199999999999994E-2</v>
      </c>
      <c r="S179" s="1">
        <v>0.1053</v>
      </c>
      <c r="T179" s="1">
        <v>0.1575</v>
      </c>
      <c r="U179" s="1">
        <v>0.49130000000000001</v>
      </c>
    </row>
    <row r="180" spans="1:21" x14ac:dyDescent="0.25">
      <c r="A180" t="s">
        <v>470</v>
      </c>
      <c r="B180" t="s">
        <v>471</v>
      </c>
      <c r="C180" t="s">
        <v>30</v>
      </c>
      <c r="D180" t="s">
        <v>31</v>
      </c>
      <c r="E180" t="s">
        <v>31</v>
      </c>
      <c r="F180" t="str">
        <f t="shared" si="2"/>
        <v>2018-05-20</v>
      </c>
      <c r="G180">
        <v>11.53</v>
      </c>
      <c r="H180" t="str">
        <f>"2017-06-19"</f>
        <v>2017-06-19</v>
      </c>
      <c r="I180" t="s">
        <v>26</v>
      </c>
      <c r="J180" t="str">
        <f>"2017-05-04"</f>
        <v>2017-05-04</v>
      </c>
      <c r="K180" t="s">
        <v>27</v>
      </c>
      <c r="L180">
        <v>2.4045614</v>
      </c>
      <c r="M180">
        <v>179</v>
      </c>
      <c r="N180" s="1">
        <v>0.57950000000000002</v>
      </c>
      <c r="O180" s="1">
        <v>1.4274</v>
      </c>
      <c r="P180" s="1">
        <v>-2.0400000000000001E-2</v>
      </c>
      <c r="Q180" s="1">
        <v>-1.11E-2</v>
      </c>
      <c r="R180" s="1">
        <v>5.2999999999999999E-2</v>
      </c>
      <c r="S180" s="1">
        <v>4.0599999999999997E-2</v>
      </c>
      <c r="T180" s="1">
        <v>6.9599999999999995E-2</v>
      </c>
      <c r="U180" s="1">
        <v>0.87790000000000001</v>
      </c>
    </row>
    <row r="181" spans="1:21" x14ac:dyDescent="0.25">
      <c r="A181" t="s">
        <v>472</v>
      </c>
      <c r="B181" t="s">
        <v>473</v>
      </c>
      <c r="C181" t="s">
        <v>30</v>
      </c>
      <c r="D181" t="s">
        <v>31</v>
      </c>
      <c r="E181" t="s">
        <v>31</v>
      </c>
      <c r="F181" t="str">
        <f t="shared" si="2"/>
        <v>2018-05-20</v>
      </c>
      <c r="G181">
        <v>29.4</v>
      </c>
      <c r="H181" t="str">
        <f>"2016-11-01"</f>
        <v>2016-11-01</v>
      </c>
      <c r="I181" t="s">
        <v>26</v>
      </c>
      <c r="J181" t="str">
        <f>"2015-07-23"</f>
        <v>2015-07-23</v>
      </c>
      <c r="K181" t="s">
        <v>34</v>
      </c>
      <c r="L181">
        <v>2.4036243800000001</v>
      </c>
      <c r="M181">
        <v>180</v>
      </c>
      <c r="N181" s="1">
        <v>0.84330000000000005</v>
      </c>
      <c r="O181" s="1">
        <v>1.4217</v>
      </c>
      <c r="P181" s="1">
        <v>-6.7999999999999996E-3</v>
      </c>
      <c r="Q181" s="1">
        <v>5.1000000000000004E-3</v>
      </c>
      <c r="R181" s="1">
        <v>2.4400000000000002E-2</v>
      </c>
      <c r="S181" s="1">
        <v>2.2599999999999999E-2</v>
      </c>
      <c r="T181" s="1">
        <v>0.1115</v>
      </c>
      <c r="U181" s="1">
        <v>0.1951</v>
      </c>
    </row>
    <row r="182" spans="1:21" x14ac:dyDescent="0.25">
      <c r="A182" t="s">
        <v>474</v>
      </c>
      <c r="B182" t="s">
        <v>475</v>
      </c>
      <c r="C182" t="s">
        <v>30</v>
      </c>
      <c r="D182" t="s">
        <v>31</v>
      </c>
      <c r="E182" t="s">
        <v>31</v>
      </c>
      <c r="F182" t="str">
        <f t="shared" si="2"/>
        <v>2018-05-20</v>
      </c>
      <c r="G182">
        <v>34.6</v>
      </c>
      <c r="H182" t="str">
        <f>"2016-07-07"</f>
        <v>2016-07-07</v>
      </c>
      <c r="I182" t="s">
        <v>26</v>
      </c>
      <c r="J182" t="str">
        <f>"2015-06-11"</f>
        <v>2015-06-11</v>
      </c>
      <c r="K182" t="s">
        <v>34</v>
      </c>
      <c r="L182">
        <v>2.4024191699999999</v>
      </c>
      <c r="M182">
        <v>181</v>
      </c>
      <c r="N182" s="1">
        <v>1.0657000000000001</v>
      </c>
      <c r="O182" s="1">
        <v>1.4145000000000001</v>
      </c>
      <c r="P182" s="1">
        <v>0</v>
      </c>
      <c r="Q182" s="1">
        <v>1.6199999999999999E-2</v>
      </c>
      <c r="R182" s="1">
        <v>5.1700000000000003E-2</v>
      </c>
      <c r="S182" s="1">
        <v>5.4899999999999997E-2</v>
      </c>
      <c r="T182" s="1">
        <v>0.1234</v>
      </c>
      <c r="U182" s="1">
        <v>0.3463</v>
      </c>
    </row>
    <row r="183" spans="1:21" x14ac:dyDescent="0.25">
      <c r="A183" t="s">
        <v>476</v>
      </c>
      <c r="B183" t="s">
        <v>477</v>
      </c>
      <c r="C183" t="s">
        <v>43</v>
      </c>
      <c r="D183" t="s">
        <v>150</v>
      </c>
      <c r="E183" t="s">
        <v>151</v>
      </c>
      <c r="F183" t="str">
        <f t="shared" si="2"/>
        <v>2018-05-20</v>
      </c>
      <c r="G183">
        <v>91.97</v>
      </c>
      <c r="H183" t="str">
        <f>"2016-03-28"</f>
        <v>2016-03-28</v>
      </c>
      <c r="I183" t="s">
        <v>26</v>
      </c>
      <c r="J183" t="str">
        <f>"2016-03-06"</f>
        <v>2016-03-06</v>
      </c>
      <c r="K183" t="s">
        <v>27</v>
      </c>
      <c r="L183">
        <v>2.4001131099999999</v>
      </c>
      <c r="M183">
        <v>182</v>
      </c>
      <c r="N183" s="1">
        <v>0.93989999999999996</v>
      </c>
      <c r="O183" s="1">
        <v>1.4007000000000001</v>
      </c>
      <c r="P183" s="1">
        <v>0</v>
      </c>
      <c r="Q183" s="1">
        <v>9.2999999999999992E-3</v>
      </c>
      <c r="R183" s="1">
        <v>2.1899999999999999E-2</v>
      </c>
      <c r="S183" s="1">
        <v>4.9799999999999997E-2</v>
      </c>
      <c r="T183" s="1">
        <v>8.5300000000000001E-2</v>
      </c>
      <c r="U183" s="1">
        <v>0.154</v>
      </c>
    </row>
    <row r="184" spans="1:21" x14ac:dyDescent="0.25">
      <c r="A184" t="s">
        <v>478</v>
      </c>
      <c r="B184" t="s">
        <v>479</v>
      </c>
      <c r="C184" t="s">
        <v>30</v>
      </c>
      <c r="D184" t="s">
        <v>31</v>
      </c>
      <c r="E184" t="s">
        <v>31</v>
      </c>
      <c r="F184" t="str">
        <f t="shared" si="2"/>
        <v>2018-05-20</v>
      </c>
      <c r="G184">
        <v>34.49</v>
      </c>
      <c r="H184" t="str">
        <f>"2015-04-15"</f>
        <v>2015-04-15</v>
      </c>
      <c r="I184" t="s">
        <v>26</v>
      </c>
      <c r="J184" t="str">
        <f>"2015-03-11"</f>
        <v>2015-03-11</v>
      </c>
      <c r="K184" t="s">
        <v>27</v>
      </c>
      <c r="L184">
        <v>2.3997450200000001</v>
      </c>
      <c r="M184">
        <v>183</v>
      </c>
      <c r="N184" s="1">
        <v>1.161</v>
      </c>
      <c r="O184" s="1">
        <v>1.3985000000000001</v>
      </c>
      <c r="P184" s="1">
        <v>-1.77E-2</v>
      </c>
      <c r="Q184" s="1">
        <v>-1.6999999999999999E-3</v>
      </c>
      <c r="R184" s="1">
        <v>-4.0000000000000001E-3</v>
      </c>
      <c r="S184" s="1">
        <v>0</v>
      </c>
      <c r="T184" s="1">
        <v>7.7799999999999994E-2</v>
      </c>
      <c r="U184" s="1">
        <v>0.25919999999999999</v>
      </c>
    </row>
    <row r="185" spans="1:21" x14ac:dyDescent="0.25">
      <c r="A185" t="s">
        <v>480</v>
      </c>
      <c r="B185" t="s">
        <v>481</v>
      </c>
      <c r="C185" t="s">
        <v>30</v>
      </c>
      <c r="D185" t="s">
        <v>482</v>
      </c>
      <c r="E185" t="s">
        <v>482</v>
      </c>
      <c r="F185" t="str">
        <f t="shared" si="2"/>
        <v>2018-05-20</v>
      </c>
      <c r="G185">
        <v>98.6</v>
      </c>
      <c r="H185" t="str">
        <f>"2016-05-10"</f>
        <v>2016-05-10</v>
      </c>
      <c r="I185" t="s">
        <v>26</v>
      </c>
      <c r="J185" t="str">
        <f>"2016-04-21"</f>
        <v>2016-04-21</v>
      </c>
      <c r="K185" t="s">
        <v>27</v>
      </c>
      <c r="L185">
        <v>2.3965572700000002</v>
      </c>
      <c r="M185">
        <v>184</v>
      </c>
      <c r="N185" s="1">
        <v>0.93640000000000001</v>
      </c>
      <c r="O185" s="1">
        <v>1.3793</v>
      </c>
      <c r="P185" s="1">
        <v>-7.3700000000000002E-2</v>
      </c>
      <c r="Q185" s="1">
        <v>9.7000000000000003E-3</v>
      </c>
      <c r="R185" s="1">
        <v>4.9500000000000002E-2</v>
      </c>
      <c r="S185" s="1">
        <v>1.23E-2</v>
      </c>
      <c r="T185" s="1">
        <v>-3.1E-2</v>
      </c>
      <c r="U185" s="1">
        <v>0.27639999999999998</v>
      </c>
    </row>
    <row r="186" spans="1:21" x14ac:dyDescent="0.25">
      <c r="A186" t="s">
        <v>483</v>
      </c>
      <c r="B186" t="s">
        <v>484</v>
      </c>
      <c r="C186" t="s">
        <v>30</v>
      </c>
      <c r="D186" t="s">
        <v>48</v>
      </c>
      <c r="E186" t="s">
        <v>485</v>
      </c>
      <c r="F186" t="str">
        <f t="shared" si="2"/>
        <v>2018-05-20</v>
      </c>
      <c r="G186">
        <v>59</v>
      </c>
      <c r="H186" t="str">
        <f>"2016-12-06"</f>
        <v>2016-12-06</v>
      </c>
      <c r="I186" t="s">
        <v>26</v>
      </c>
      <c r="J186" t="str">
        <f>"2016-11-14"</f>
        <v>2016-11-14</v>
      </c>
      <c r="K186" t="s">
        <v>27</v>
      </c>
      <c r="L186">
        <v>2.3957075799999998</v>
      </c>
      <c r="M186">
        <v>185</v>
      </c>
      <c r="N186" s="1">
        <v>1.0309999999999999</v>
      </c>
      <c r="O186" s="1">
        <v>1.3742000000000001</v>
      </c>
      <c r="P186" s="1">
        <v>0</v>
      </c>
      <c r="Q186" s="1">
        <v>7.7000000000000002E-3</v>
      </c>
      <c r="R186" s="1">
        <v>4.0599999999999997E-2</v>
      </c>
      <c r="S186" s="1">
        <v>9.1600000000000001E-2</v>
      </c>
      <c r="T186" s="1">
        <v>0.1479</v>
      </c>
      <c r="U186" s="1">
        <v>0.62529999999999997</v>
      </c>
    </row>
    <row r="187" spans="1:21" x14ac:dyDescent="0.25">
      <c r="A187" t="s">
        <v>486</v>
      </c>
      <c r="B187" t="s">
        <v>487</v>
      </c>
      <c r="C187" t="s">
        <v>37</v>
      </c>
      <c r="D187" t="s">
        <v>66</v>
      </c>
      <c r="E187" t="s">
        <v>94</v>
      </c>
      <c r="F187" t="str">
        <f t="shared" si="2"/>
        <v>2018-05-20</v>
      </c>
      <c r="G187">
        <v>18.149999999999999</v>
      </c>
      <c r="H187" t="str">
        <f>"2018-02-27"</f>
        <v>2018-02-27</v>
      </c>
      <c r="I187" t="s">
        <v>26</v>
      </c>
      <c r="J187" t="str">
        <f>"2018-02-21"</f>
        <v>2018-02-21</v>
      </c>
      <c r="K187" t="s">
        <v>27</v>
      </c>
      <c r="L187">
        <v>2.39542484</v>
      </c>
      <c r="M187">
        <v>186</v>
      </c>
      <c r="N187" s="1">
        <v>0.15240000000000001</v>
      </c>
      <c r="O187" s="1">
        <v>1.3725000000000001</v>
      </c>
      <c r="P187" s="1">
        <v>-8.3299999999999999E-2</v>
      </c>
      <c r="Q187" s="1">
        <v>-2.9399999999999999E-2</v>
      </c>
      <c r="R187" s="1">
        <v>-8.3299999999999999E-2</v>
      </c>
      <c r="S187" s="1">
        <v>8.3599999999999994E-2</v>
      </c>
      <c r="T187" s="1">
        <v>0.14149999999999999</v>
      </c>
      <c r="U187" s="1">
        <v>-0.16170000000000001</v>
      </c>
    </row>
    <row r="188" spans="1:21" x14ac:dyDescent="0.25">
      <c r="A188" t="s">
        <v>488</v>
      </c>
      <c r="B188" t="s">
        <v>489</v>
      </c>
      <c r="C188" t="s">
        <v>37</v>
      </c>
      <c r="D188" t="s">
        <v>66</v>
      </c>
      <c r="E188" t="s">
        <v>94</v>
      </c>
      <c r="F188" t="str">
        <f t="shared" si="2"/>
        <v>2018-05-20</v>
      </c>
      <c r="G188">
        <v>35.86</v>
      </c>
      <c r="H188" t="str">
        <f>"2017-08-29"</f>
        <v>2017-08-29</v>
      </c>
      <c r="I188" t="s">
        <v>26</v>
      </c>
      <c r="J188" t="str">
        <f>"2017-02-27"</f>
        <v>2017-02-27</v>
      </c>
      <c r="K188" t="s">
        <v>57</v>
      </c>
      <c r="L188">
        <v>2.3942392300000002</v>
      </c>
      <c r="M188">
        <v>187</v>
      </c>
      <c r="N188" s="1">
        <v>0.45240000000000002</v>
      </c>
      <c r="O188" s="1">
        <v>1.3653999999999999</v>
      </c>
      <c r="P188" s="1">
        <v>-2.2000000000000001E-3</v>
      </c>
      <c r="Q188" s="1">
        <v>-1.4E-3</v>
      </c>
      <c r="R188" s="1">
        <v>9.2299999999999993E-2</v>
      </c>
      <c r="S188" s="1">
        <v>0.25650000000000001</v>
      </c>
      <c r="T188" s="1">
        <v>0.41799999999999998</v>
      </c>
      <c r="U188" s="1">
        <v>1.2286999999999999</v>
      </c>
    </row>
    <row r="189" spans="1:21" x14ac:dyDescent="0.25">
      <c r="A189" t="s">
        <v>490</v>
      </c>
      <c r="B189" t="s">
        <v>491</v>
      </c>
      <c r="C189" t="s">
        <v>37</v>
      </c>
      <c r="D189" t="s">
        <v>38</v>
      </c>
      <c r="E189" t="s">
        <v>39</v>
      </c>
      <c r="F189" t="str">
        <f t="shared" si="2"/>
        <v>2018-05-20</v>
      </c>
      <c r="G189">
        <v>13.17</v>
      </c>
      <c r="H189" t="str">
        <f>"2018-03-13"</f>
        <v>2018-03-13</v>
      </c>
      <c r="I189" t="s">
        <v>26</v>
      </c>
      <c r="J189" t="str">
        <f>"2018-03-06"</f>
        <v>2018-03-06</v>
      </c>
      <c r="K189" t="s">
        <v>27</v>
      </c>
      <c r="L189">
        <v>2.3940754000000002</v>
      </c>
      <c r="M189">
        <v>188</v>
      </c>
      <c r="N189" s="1">
        <v>5.9499999999999997E-2</v>
      </c>
      <c r="O189" s="1">
        <v>1.3645</v>
      </c>
      <c r="P189" s="1">
        <v>-7.7700000000000005E-2</v>
      </c>
      <c r="Q189" s="1">
        <v>1.15E-2</v>
      </c>
      <c r="R189" s="1">
        <v>9.1999999999999998E-2</v>
      </c>
      <c r="S189" s="1">
        <v>0.17480000000000001</v>
      </c>
      <c r="T189" s="1">
        <v>1.1140000000000001</v>
      </c>
      <c r="U189" s="1">
        <v>0.7631</v>
      </c>
    </row>
    <row r="190" spans="1:21" x14ac:dyDescent="0.25">
      <c r="A190" t="s">
        <v>492</v>
      </c>
      <c r="B190" t="s">
        <v>493</v>
      </c>
      <c r="C190" t="s">
        <v>23</v>
      </c>
      <c r="D190" t="s">
        <v>24</v>
      </c>
      <c r="E190" t="s">
        <v>494</v>
      </c>
      <c r="F190" t="str">
        <f t="shared" si="2"/>
        <v>2018-05-20</v>
      </c>
      <c r="G190">
        <v>9.4499999999999993</v>
      </c>
      <c r="H190" t="str">
        <f>"2017-11-20"</f>
        <v>2017-11-20</v>
      </c>
      <c r="I190" t="s">
        <v>26</v>
      </c>
      <c r="J190" t="str">
        <f>"2017-10-09"</f>
        <v>2017-10-09</v>
      </c>
      <c r="K190" t="s">
        <v>27</v>
      </c>
      <c r="L190">
        <v>2.3937499999999998</v>
      </c>
      <c r="M190">
        <v>189</v>
      </c>
      <c r="N190" s="1">
        <v>0.85289999999999999</v>
      </c>
      <c r="O190" s="1">
        <v>1.3625</v>
      </c>
      <c r="P190" s="1">
        <v>-3.5700000000000003E-2</v>
      </c>
      <c r="Q190" s="1">
        <v>1.61E-2</v>
      </c>
      <c r="R190" s="1">
        <v>0</v>
      </c>
      <c r="S190" s="1">
        <v>0.26850000000000002</v>
      </c>
      <c r="T190" s="1">
        <v>0.41039999999999999</v>
      </c>
      <c r="U190" s="1">
        <v>0.94850000000000001</v>
      </c>
    </row>
    <row r="191" spans="1:21" x14ac:dyDescent="0.25">
      <c r="A191" t="s">
        <v>495</v>
      </c>
      <c r="B191" t="s">
        <v>496</v>
      </c>
      <c r="C191" t="s">
        <v>23</v>
      </c>
      <c r="D191" t="s">
        <v>52</v>
      </c>
      <c r="E191" t="s">
        <v>53</v>
      </c>
      <c r="F191" t="str">
        <f t="shared" si="2"/>
        <v>2018-05-20</v>
      </c>
      <c r="G191">
        <v>95.08</v>
      </c>
      <c r="H191" t="str">
        <f>"2018-01-18"</f>
        <v>2018-01-18</v>
      </c>
      <c r="I191" t="s">
        <v>26</v>
      </c>
      <c r="J191" t="str">
        <f>"2017-12-12"</f>
        <v>2017-12-12</v>
      </c>
      <c r="K191" t="s">
        <v>27</v>
      </c>
      <c r="L191">
        <v>2.39360821</v>
      </c>
      <c r="M191">
        <v>190</v>
      </c>
      <c r="N191" s="1">
        <v>0.84840000000000004</v>
      </c>
      <c r="O191" s="1">
        <v>1.3615999999999999</v>
      </c>
      <c r="P191" s="1">
        <v>0</v>
      </c>
      <c r="Q191" s="1">
        <v>5.1000000000000004E-3</v>
      </c>
      <c r="R191" s="1">
        <v>2.9600000000000001E-2</v>
      </c>
      <c r="S191" s="1">
        <v>0.15490000000000001</v>
      </c>
      <c r="T191" s="1">
        <v>0.2525</v>
      </c>
      <c r="U191" s="1">
        <v>0.88280000000000003</v>
      </c>
    </row>
    <row r="192" spans="1:21" x14ac:dyDescent="0.25">
      <c r="A192" t="s">
        <v>497</v>
      </c>
      <c r="B192" t="s">
        <v>498</v>
      </c>
      <c r="C192" t="s">
        <v>30</v>
      </c>
      <c r="D192" t="s">
        <v>31</v>
      </c>
      <c r="E192" t="s">
        <v>31</v>
      </c>
      <c r="F192" t="str">
        <f t="shared" si="2"/>
        <v>2018-05-20</v>
      </c>
      <c r="G192">
        <v>49.4</v>
      </c>
      <c r="H192" t="str">
        <f>"2016-08-24"</f>
        <v>2016-08-24</v>
      </c>
      <c r="I192" t="s">
        <v>26</v>
      </c>
      <c r="J192" t="str">
        <f>"2015-08-13"</f>
        <v>2015-08-13</v>
      </c>
      <c r="K192" t="s">
        <v>34</v>
      </c>
      <c r="L192">
        <v>2.3933747400000001</v>
      </c>
      <c r="M192">
        <v>191</v>
      </c>
      <c r="N192" s="1">
        <v>0.98229999999999995</v>
      </c>
      <c r="O192" s="1">
        <v>1.3602000000000001</v>
      </c>
      <c r="P192" s="1">
        <v>-4.1700000000000001E-2</v>
      </c>
      <c r="Q192" s="1">
        <v>1.8800000000000001E-2</v>
      </c>
      <c r="R192" s="1">
        <v>1.6500000000000001E-2</v>
      </c>
      <c r="S192" s="1">
        <v>9.4100000000000003E-2</v>
      </c>
      <c r="T192" s="1">
        <v>4.3099999999999999E-2</v>
      </c>
      <c r="U192" s="1">
        <v>0.44109999999999999</v>
      </c>
    </row>
    <row r="193" spans="1:21" x14ac:dyDescent="0.25">
      <c r="A193" t="s">
        <v>499</v>
      </c>
      <c r="B193" t="s">
        <v>500</v>
      </c>
      <c r="C193" t="s">
        <v>43</v>
      </c>
      <c r="D193" t="s">
        <v>119</v>
      </c>
      <c r="E193" t="s">
        <v>205</v>
      </c>
      <c r="F193" t="str">
        <f t="shared" si="2"/>
        <v>2018-05-20</v>
      </c>
      <c r="G193">
        <v>36.1</v>
      </c>
      <c r="H193" t="str">
        <f>"2017-05-16"</f>
        <v>2017-05-16</v>
      </c>
      <c r="I193" t="s">
        <v>26</v>
      </c>
      <c r="J193" t="str">
        <f>"2017-03-19"</f>
        <v>2017-03-19</v>
      </c>
      <c r="K193" t="s">
        <v>40</v>
      </c>
      <c r="L193">
        <v>2.3919652600000001</v>
      </c>
      <c r="M193">
        <v>192</v>
      </c>
      <c r="N193" s="1">
        <v>1.0111000000000001</v>
      </c>
      <c r="O193" s="1">
        <v>1.3517999999999999</v>
      </c>
      <c r="P193" s="1">
        <v>-2.8E-3</v>
      </c>
      <c r="Q193" s="1">
        <v>-2.8E-3</v>
      </c>
      <c r="R193" s="1">
        <v>9.7999999999999997E-3</v>
      </c>
      <c r="S193" s="1">
        <v>0.2321</v>
      </c>
      <c r="T193" s="1">
        <v>0.14599999999999999</v>
      </c>
      <c r="U193" s="1">
        <v>1.0111000000000001</v>
      </c>
    </row>
    <row r="194" spans="1:21" x14ac:dyDescent="0.25">
      <c r="A194" t="s">
        <v>501</v>
      </c>
      <c r="B194" t="s">
        <v>502</v>
      </c>
      <c r="C194" t="s">
        <v>109</v>
      </c>
      <c r="D194" t="s">
        <v>110</v>
      </c>
      <c r="E194" t="s">
        <v>111</v>
      </c>
      <c r="F194" t="str">
        <f t="shared" ref="F194:F257" si="3">"2018-05-20"</f>
        <v>2018-05-20</v>
      </c>
      <c r="G194">
        <v>55.24</v>
      </c>
      <c r="H194" t="str">
        <f>"2018-03-11"</f>
        <v>2018-03-11</v>
      </c>
      <c r="I194" t="s">
        <v>26</v>
      </c>
      <c r="J194" t="str">
        <f>"2018-03-04"</f>
        <v>2018-03-04</v>
      </c>
      <c r="K194" t="s">
        <v>27</v>
      </c>
      <c r="L194">
        <v>2.39011299</v>
      </c>
      <c r="M194">
        <v>193</v>
      </c>
      <c r="N194" s="1">
        <v>0.39810000000000001</v>
      </c>
      <c r="O194" s="1">
        <v>1.3407</v>
      </c>
      <c r="P194" s="1">
        <v>0</v>
      </c>
      <c r="Q194" s="1">
        <v>1.8E-3</v>
      </c>
      <c r="R194" s="1">
        <v>5.1799999999999999E-2</v>
      </c>
      <c r="S194" s="1">
        <v>0.33429999999999999</v>
      </c>
      <c r="T194" s="1">
        <v>0.63049999999999995</v>
      </c>
      <c r="U194" s="1">
        <v>1.2131000000000001</v>
      </c>
    </row>
    <row r="195" spans="1:21" x14ac:dyDescent="0.25">
      <c r="A195" t="s">
        <v>503</v>
      </c>
      <c r="B195" t="s">
        <v>504</v>
      </c>
      <c r="C195" t="s">
        <v>30</v>
      </c>
      <c r="D195" t="s">
        <v>48</v>
      </c>
      <c r="E195" t="s">
        <v>505</v>
      </c>
      <c r="F195" t="str">
        <f t="shared" si="3"/>
        <v>2018-05-20</v>
      </c>
      <c r="G195">
        <v>20.09</v>
      </c>
      <c r="H195" t="str">
        <f>"2016-05-31"</f>
        <v>2016-05-31</v>
      </c>
      <c r="I195" t="s">
        <v>26</v>
      </c>
      <c r="J195" t="str">
        <f>"2016-04-13"</f>
        <v>2016-04-13</v>
      </c>
      <c r="K195" t="s">
        <v>27</v>
      </c>
      <c r="L195">
        <v>2.38979433</v>
      </c>
      <c r="M195">
        <v>194</v>
      </c>
      <c r="N195" s="1">
        <v>0.6714</v>
      </c>
      <c r="O195" s="1">
        <v>1.3388</v>
      </c>
      <c r="P195" s="1">
        <v>-5.1499999999999997E-2</v>
      </c>
      <c r="Q195" s="1">
        <v>3.5000000000000001E-3</v>
      </c>
      <c r="R195" s="1">
        <v>-9.4000000000000004E-3</v>
      </c>
      <c r="S195" s="1">
        <v>-2.0500000000000001E-2</v>
      </c>
      <c r="T195" s="1">
        <v>0.1008</v>
      </c>
      <c r="U195" s="1">
        <v>0.48809999999999998</v>
      </c>
    </row>
    <row r="196" spans="1:21" x14ac:dyDescent="0.25">
      <c r="A196" t="s">
        <v>506</v>
      </c>
      <c r="B196" t="s">
        <v>507</v>
      </c>
      <c r="C196" t="s">
        <v>30</v>
      </c>
      <c r="D196" t="s">
        <v>31</v>
      </c>
      <c r="E196" t="s">
        <v>31</v>
      </c>
      <c r="F196" t="str">
        <f t="shared" si="3"/>
        <v>2018-05-20</v>
      </c>
      <c r="G196">
        <v>15.3</v>
      </c>
      <c r="H196" t="str">
        <f>"2016-07-28"</f>
        <v>2016-07-28</v>
      </c>
      <c r="I196" t="s">
        <v>26</v>
      </c>
      <c r="J196" t="str">
        <f>"2016-06-28"</f>
        <v>2016-06-28</v>
      </c>
      <c r="K196" t="s">
        <v>40</v>
      </c>
      <c r="L196">
        <v>2.3893129800000001</v>
      </c>
      <c r="M196">
        <v>195</v>
      </c>
      <c r="N196" s="1">
        <v>1.0185</v>
      </c>
      <c r="O196" s="1">
        <v>1.3359000000000001</v>
      </c>
      <c r="P196" s="1">
        <v>0</v>
      </c>
      <c r="Q196" s="1">
        <v>0.02</v>
      </c>
      <c r="R196" s="1">
        <v>5.1499999999999997E-2</v>
      </c>
      <c r="S196" s="1">
        <v>7.7499999999999999E-2</v>
      </c>
      <c r="T196" s="1">
        <v>8.5099999999999995E-2</v>
      </c>
      <c r="U196" s="1">
        <v>0.31900000000000001</v>
      </c>
    </row>
    <row r="197" spans="1:21" x14ac:dyDescent="0.25">
      <c r="A197" t="s">
        <v>508</v>
      </c>
      <c r="B197" t="s">
        <v>509</v>
      </c>
      <c r="C197" t="s">
        <v>43</v>
      </c>
      <c r="D197" t="s">
        <v>119</v>
      </c>
      <c r="E197" t="s">
        <v>205</v>
      </c>
      <c r="F197" t="str">
        <f t="shared" si="3"/>
        <v>2018-05-20</v>
      </c>
      <c r="G197">
        <v>39.700000000000003</v>
      </c>
      <c r="H197" t="str">
        <f>"2018-02-26"</f>
        <v>2018-02-26</v>
      </c>
      <c r="I197" t="s">
        <v>26</v>
      </c>
      <c r="J197" t="str">
        <f>"2017-12-28"</f>
        <v>2017-12-28</v>
      </c>
      <c r="K197" t="s">
        <v>40</v>
      </c>
      <c r="L197">
        <v>2.3892156899999999</v>
      </c>
      <c r="M197">
        <v>196</v>
      </c>
      <c r="N197" s="1">
        <v>0.47310000000000002</v>
      </c>
      <c r="O197" s="1">
        <v>1.3352999999999999</v>
      </c>
      <c r="P197" s="1">
        <v>-1.49E-2</v>
      </c>
      <c r="Q197" s="1">
        <v>-1.49E-2</v>
      </c>
      <c r="R197" s="1">
        <v>3.1199999999999999E-2</v>
      </c>
      <c r="S197" s="1">
        <v>0.33450000000000002</v>
      </c>
      <c r="T197" s="1">
        <v>0.47310000000000002</v>
      </c>
      <c r="U197" s="1">
        <v>1.3149</v>
      </c>
    </row>
    <row r="198" spans="1:21" x14ac:dyDescent="0.25">
      <c r="A198" t="s">
        <v>510</v>
      </c>
      <c r="B198" t="s">
        <v>511</v>
      </c>
      <c r="C198" t="s">
        <v>43</v>
      </c>
      <c r="D198" t="s">
        <v>374</v>
      </c>
      <c r="E198" t="s">
        <v>375</v>
      </c>
      <c r="F198" t="str">
        <f t="shared" si="3"/>
        <v>2018-05-20</v>
      </c>
      <c r="G198">
        <v>57.2</v>
      </c>
      <c r="H198" t="str">
        <f>"2017-03-19"</f>
        <v>2017-03-19</v>
      </c>
      <c r="I198" t="s">
        <v>26</v>
      </c>
      <c r="J198" t="str">
        <f>"2016-11-14"</f>
        <v>2016-11-14</v>
      </c>
      <c r="K198" t="s">
        <v>27</v>
      </c>
      <c r="L198">
        <v>2.3891156499999999</v>
      </c>
      <c r="M198">
        <v>197</v>
      </c>
      <c r="N198" s="1">
        <v>0.92010000000000003</v>
      </c>
      <c r="O198" s="1">
        <v>1.3347</v>
      </c>
      <c r="P198" s="1">
        <v>-6.6400000000000001E-2</v>
      </c>
      <c r="Q198" s="1">
        <v>1.9800000000000002E-2</v>
      </c>
      <c r="R198" s="1">
        <v>-1.3100000000000001E-2</v>
      </c>
      <c r="S198" s="1">
        <v>1.7600000000000001E-2</v>
      </c>
      <c r="T198" s="1">
        <v>0.1258</v>
      </c>
      <c r="U198" s="1">
        <v>0.81820000000000004</v>
      </c>
    </row>
    <row r="199" spans="1:21" x14ac:dyDescent="0.25">
      <c r="A199" t="s">
        <v>512</v>
      </c>
      <c r="B199" t="s">
        <v>513</v>
      </c>
      <c r="C199" t="s">
        <v>23</v>
      </c>
      <c r="D199" t="s">
        <v>52</v>
      </c>
      <c r="E199" t="s">
        <v>56</v>
      </c>
      <c r="F199" t="str">
        <f t="shared" si="3"/>
        <v>2018-05-20</v>
      </c>
      <c r="G199">
        <v>104.01</v>
      </c>
      <c r="H199" t="str">
        <f>"2016-08-25"</f>
        <v>2016-08-25</v>
      </c>
      <c r="I199" t="s">
        <v>26</v>
      </c>
      <c r="J199" t="str">
        <f>"2016-03-10"</f>
        <v>2016-03-10</v>
      </c>
      <c r="K199" t="s">
        <v>57</v>
      </c>
      <c r="L199">
        <v>2.3878943800000001</v>
      </c>
      <c r="M199">
        <v>198</v>
      </c>
      <c r="N199" s="1">
        <v>1.0632999999999999</v>
      </c>
      <c r="O199" s="1">
        <v>1.3273999999999999</v>
      </c>
      <c r="P199" s="1">
        <v>-5.8599999999999999E-2</v>
      </c>
      <c r="Q199" s="1">
        <v>3.5000000000000001E-3</v>
      </c>
      <c r="R199" s="1">
        <v>4.0000000000000001E-3</v>
      </c>
      <c r="S199" s="1">
        <v>-3.0700000000000002E-2</v>
      </c>
      <c r="T199" s="1">
        <v>0.12959999999999999</v>
      </c>
      <c r="U199" s="1">
        <v>0.18010000000000001</v>
      </c>
    </row>
    <row r="200" spans="1:21" x14ac:dyDescent="0.25">
      <c r="A200" t="s">
        <v>514</v>
      </c>
      <c r="B200" t="s">
        <v>515</v>
      </c>
      <c r="C200" t="s">
        <v>87</v>
      </c>
      <c r="D200" t="s">
        <v>144</v>
      </c>
      <c r="E200" t="s">
        <v>145</v>
      </c>
      <c r="F200" t="str">
        <f t="shared" si="3"/>
        <v>2018-05-20</v>
      </c>
      <c r="G200">
        <v>18.649999999999999</v>
      </c>
      <c r="H200" t="str">
        <f>"2017-11-06"</f>
        <v>2017-11-06</v>
      </c>
      <c r="I200" t="s">
        <v>26</v>
      </c>
      <c r="J200" t="str">
        <f>"2017-09-03"</f>
        <v>2017-09-03</v>
      </c>
      <c r="K200" t="s">
        <v>27</v>
      </c>
      <c r="L200">
        <v>2.3861283599999998</v>
      </c>
      <c r="M200">
        <v>199</v>
      </c>
      <c r="N200" s="1">
        <v>0.31340000000000001</v>
      </c>
      <c r="O200" s="1">
        <v>1.3168</v>
      </c>
      <c r="P200" s="1">
        <v>-6.7500000000000004E-2</v>
      </c>
      <c r="Q200" s="1">
        <v>4.0000000000000001E-3</v>
      </c>
      <c r="R200" s="1">
        <v>8.43E-2</v>
      </c>
      <c r="S200" s="1">
        <v>0.15479999999999999</v>
      </c>
      <c r="T200" s="1">
        <v>0.223</v>
      </c>
      <c r="U200" s="1">
        <v>1.1314</v>
      </c>
    </row>
    <row r="201" spans="1:21" x14ac:dyDescent="0.25">
      <c r="A201" t="s">
        <v>516</v>
      </c>
      <c r="B201" t="s">
        <v>517</v>
      </c>
      <c r="C201" t="s">
        <v>518</v>
      </c>
      <c r="D201" t="s">
        <v>519</v>
      </c>
      <c r="E201" t="s">
        <v>520</v>
      </c>
      <c r="F201" t="str">
        <f t="shared" si="3"/>
        <v>2018-05-20</v>
      </c>
      <c r="G201">
        <v>10.91</v>
      </c>
      <c r="H201" t="str">
        <f>"2017-06-26"</f>
        <v>2017-06-26</v>
      </c>
      <c r="I201" t="s">
        <v>26</v>
      </c>
      <c r="J201" t="str">
        <f>"2017-06-15"</f>
        <v>2017-06-15</v>
      </c>
      <c r="K201" t="s">
        <v>27</v>
      </c>
      <c r="L201">
        <v>2.3860580300000001</v>
      </c>
      <c r="M201">
        <v>200</v>
      </c>
      <c r="N201" s="1">
        <v>0.59740000000000004</v>
      </c>
      <c r="O201" s="1">
        <v>1.3163</v>
      </c>
      <c r="P201" s="1">
        <v>-5.1299999999999998E-2</v>
      </c>
      <c r="Q201" s="1">
        <v>-6.4000000000000003E-3</v>
      </c>
      <c r="R201" s="1">
        <v>1.8E-3</v>
      </c>
      <c r="S201" s="1">
        <v>0.23699999999999999</v>
      </c>
      <c r="T201" s="1">
        <v>0.54749999999999999</v>
      </c>
      <c r="U201" s="1">
        <v>1.2264999999999999</v>
      </c>
    </row>
    <row r="202" spans="1:21" x14ac:dyDescent="0.25">
      <c r="A202" t="s">
        <v>521</v>
      </c>
      <c r="B202" t="s">
        <v>522</v>
      </c>
      <c r="C202" t="s">
        <v>30</v>
      </c>
      <c r="D202" t="s">
        <v>347</v>
      </c>
      <c r="E202" t="s">
        <v>523</v>
      </c>
      <c r="F202" t="str">
        <f t="shared" si="3"/>
        <v>2018-05-20</v>
      </c>
      <c r="G202">
        <v>145.75</v>
      </c>
      <c r="H202" t="str">
        <f>"2014-09-02"</f>
        <v>2014-09-02</v>
      </c>
      <c r="I202" t="s">
        <v>26</v>
      </c>
      <c r="J202" t="str">
        <f>"2014-04-08"</f>
        <v>2014-04-08</v>
      </c>
      <c r="K202" t="s">
        <v>40</v>
      </c>
      <c r="L202">
        <v>2.3855820099999998</v>
      </c>
      <c r="M202">
        <v>201</v>
      </c>
      <c r="N202" s="1">
        <v>1.1062000000000001</v>
      </c>
      <c r="O202" s="1">
        <v>1.3134999999999999</v>
      </c>
      <c r="P202" s="1">
        <v>0</v>
      </c>
      <c r="Q202" s="1">
        <v>1.7500000000000002E-2</v>
      </c>
      <c r="R202" s="1">
        <v>4.8599999999999997E-2</v>
      </c>
      <c r="S202" s="1">
        <v>0.2001</v>
      </c>
      <c r="T202" s="1">
        <v>0.2036</v>
      </c>
      <c r="U202" s="1">
        <v>0.52939999999999998</v>
      </c>
    </row>
    <row r="203" spans="1:21" x14ac:dyDescent="0.25">
      <c r="A203" t="s">
        <v>524</v>
      </c>
      <c r="B203" t="s">
        <v>525</v>
      </c>
      <c r="C203" t="s">
        <v>43</v>
      </c>
      <c r="D203" t="s">
        <v>44</v>
      </c>
      <c r="E203" t="s">
        <v>246</v>
      </c>
      <c r="F203" t="str">
        <f t="shared" si="3"/>
        <v>2018-05-20</v>
      </c>
      <c r="G203">
        <v>20.65</v>
      </c>
      <c r="H203" t="str">
        <f>"2016-09-12"</f>
        <v>2016-09-12</v>
      </c>
      <c r="I203" t="s">
        <v>26</v>
      </c>
      <c r="J203" t="str">
        <f>"2016-07-20"</f>
        <v>2016-07-20</v>
      </c>
      <c r="K203" t="s">
        <v>57</v>
      </c>
      <c r="L203">
        <v>2.3845437600000001</v>
      </c>
      <c r="M203">
        <v>202</v>
      </c>
      <c r="N203" s="1">
        <v>0.6653</v>
      </c>
      <c r="O203" s="1">
        <v>1.3072999999999999</v>
      </c>
      <c r="P203" s="1">
        <v>-5.9200000000000003E-2</v>
      </c>
      <c r="Q203" s="1">
        <v>-2.3999999999999998E-3</v>
      </c>
      <c r="R203" s="1">
        <v>-1.2E-2</v>
      </c>
      <c r="S203" s="1">
        <v>-2.5899999999999999E-2</v>
      </c>
      <c r="T203" s="1">
        <v>6.7199999999999996E-2</v>
      </c>
      <c r="U203" s="1">
        <v>0.49099999999999999</v>
      </c>
    </row>
    <row r="204" spans="1:21" x14ac:dyDescent="0.25">
      <c r="A204" t="s">
        <v>526</v>
      </c>
      <c r="B204" t="s">
        <v>527</v>
      </c>
      <c r="C204" t="s">
        <v>109</v>
      </c>
      <c r="D204" t="s">
        <v>110</v>
      </c>
      <c r="E204" t="s">
        <v>251</v>
      </c>
      <c r="F204" t="str">
        <f t="shared" si="3"/>
        <v>2018-05-20</v>
      </c>
      <c r="G204">
        <v>50.54</v>
      </c>
      <c r="H204" t="str">
        <f>"2018-04-22"</f>
        <v>2018-04-22</v>
      </c>
      <c r="I204" t="s">
        <v>26</v>
      </c>
      <c r="J204" t="str">
        <f>"2017-04-09"</f>
        <v>2017-04-09</v>
      </c>
      <c r="K204" t="s">
        <v>34</v>
      </c>
      <c r="L204">
        <v>2.38375095</v>
      </c>
      <c r="M204">
        <v>203</v>
      </c>
      <c r="N204" s="1">
        <v>0.20419999999999999</v>
      </c>
      <c r="O204" s="1">
        <v>1.3025</v>
      </c>
      <c r="P204" s="1">
        <v>0</v>
      </c>
      <c r="Q204" s="1">
        <v>1.6500000000000001E-2</v>
      </c>
      <c r="R204" s="1">
        <v>4.9599999999999998E-2</v>
      </c>
      <c r="S204" s="1">
        <v>0.16669999999999999</v>
      </c>
      <c r="T204" s="1">
        <v>0.34060000000000001</v>
      </c>
      <c r="U204" s="1">
        <v>1.0207999999999999</v>
      </c>
    </row>
    <row r="205" spans="1:21" x14ac:dyDescent="0.25">
      <c r="A205" t="s">
        <v>528</v>
      </c>
      <c r="B205" t="s">
        <v>529</v>
      </c>
      <c r="C205" t="s">
        <v>30</v>
      </c>
      <c r="D205" t="s">
        <v>31</v>
      </c>
      <c r="E205" t="s">
        <v>31</v>
      </c>
      <c r="F205" t="str">
        <f t="shared" si="3"/>
        <v>2018-05-20</v>
      </c>
      <c r="G205">
        <v>26.9</v>
      </c>
      <c r="H205" t="str">
        <f>"2016-05-05"</f>
        <v>2016-05-05</v>
      </c>
      <c r="I205" t="s">
        <v>26</v>
      </c>
      <c r="J205" t="str">
        <f>"2016-04-05"</f>
        <v>2016-04-05</v>
      </c>
      <c r="K205" t="s">
        <v>40</v>
      </c>
      <c r="L205">
        <v>2.38286365</v>
      </c>
      <c r="M205">
        <v>204</v>
      </c>
      <c r="N205" s="1">
        <v>1.0533999999999999</v>
      </c>
      <c r="O205" s="1">
        <v>1.2971999999999999</v>
      </c>
      <c r="P205" s="1">
        <v>0</v>
      </c>
      <c r="Q205" s="1">
        <v>1.89E-2</v>
      </c>
      <c r="R205" s="1">
        <v>5.0799999999999998E-2</v>
      </c>
      <c r="S205" s="1">
        <v>8.9099999999999999E-2</v>
      </c>
      <c r="T205" s="1">
        <v>0.14960000000000001</v>
      </c>
      <c r="U205" s="1">
        <v>0.10249999999999999</v>
      </c>
    </row>
    <row r="206" spans="1:21" x14ac:dyDescent="0.25">
      <c r="A206" t="s">
        <v>530</v>
      </c>
      <c r="B206" t="s">
        <v>531</v>
      </c>
      <c r="C206" t="s">
        <v>30</v>
      </c>
      <c r="D206" t="s">
        <v>347</v>
      </c>
      <c r="E206" t="s">
        <v>532</v>
      </c>
      <c r="F206" t="str">
        <f t="shared" si="3"/>
        <v>2018-05-20</v>
      </c>
      <c r="G206">
        <v>1.4</v>
      </c>
      <c r="H206" t="str">
        <f>"2018-03-19"</f>
        <v>2018-03-19</v>
      </c>
      <c r="I206" t="s">
        <v>26</v>
      </c>
      <c r="J206" t="str">
        <f>"2017-09-11"</f>
        <v>2017-09-11</v>
      </c>
      <c r="K206" t="s">
        <v>57</v>
      </c>
      <c r="L206">
        <v>2.38232563</v>
      </c>
      <c r="M206">
        <v>205</v>
      </c>
      <c r="N206" s="1">
        <v>-7.8899999999999998E-2</v>
      </c>
      <c r="O206" s="1">
        <v>1.294</v>
      </c>
      <c r="P206" s="1">
        <v>-8.5000000000000006E-2</v>
      </c>
      <c r="Q206" s="1">
        <v>7.1999999999999998E-3</v>
      </c>
      <c r="R206" s="1">
        <v>2.1899999999999999E-2</v>
      </c>
      <c r="S206" s="1">
        <v>0</v>
      </c>
      <c r="T206" s="1">
        <v>8.5300000000000001E-2</v>
      </c>
      <c r="U206" s="1">
        <v>0.1915</v>
      </c>
    </row>
    <row r="207" spans="1:21" x14ac:dyDescent="0.25">
      <c r="A207" t="s">
        <v>533</v>
      </c>
      <c r="B207" t="s">
        <v>534</v>
      </c>
      <c r="C207" t="s">
        <v>37</v>
      </c>
      <c r="D207" t="s">
        <v>66</v>
      </c>
      <c r="E207" t="s">
        <v>94</v>
      </c>
      <c r="F207" t="str">
        <f t="shared" si="3"/>
        <v>2018-05-20</v>
      </c>
      <c r="G207">
        <v>74.5</v>
      </c>
      <c r="H207" t="str">
        <f>"2016-12-19"</f>
        <v>2016-12-19</v>
      </c>
      <c r="I207" t="s">
        <v>26</v>
      </c>
      <c r="J207" t="str">
        <f>"2016-10-18"</f>
        <v>2016-10-18</v>
      </c>
      <c r="K207" t="s">
        <v>57</v>
      </c>
      <c r="L207">
        <v>2.38228654</v>
      </c>
      <c r="M207">
        <v>206</v>
      </c>
      <c r="N207" s="1">
        <v>0.66890000000000005</v>
      </c>
      <c r="O207" s="1">
        <v>1.2937000000000001</v>
      </c>
      <c r="P207" s="1">
        <v>-2.0799999999999999E-2</v>
      </c>
      <c r="Q207" s="1">
        <v>-1.11E-2</v>
      </c>
      <c r="R207" s="1">
        <v>9.2999999999999992E-3</v>
      </c>
      <c r="S207" s="1">
        <v>-2.0799999999999999E-2</v>
      </c>
      <c r="T207" s="1">
        <v>0.1467</v>
      </c>
      <c r="U207" s="1">
        <v>0.24540000000000001</v>
      </c>
    </row>
    <row r="208" spans="1:21" x14ac:dyDescent="0.25">
      <c r="A208" t="s">
        <v>535</v>
      </c>
      <c r="B208" t="s">
        <v>536</v>
      </c>
      <c r="C208" t="s">
        <v>109</v>
      </c>
      <c r="D208" t="s">
        <v>110</v>
      </c>
      <c r="E208" t="s">
        <v>251</v>
      </c>
      <c r="F208" t="str">
        <f t="shared" si="3"/>
        <v>2018-05-20</v>
      </c>
      <c r="G208">
        <v>25.5</v>
      </c>
      <c r="H208" t="str">
        <f>"2016-08-15"</f>
        <v>2016-08-15</v>
      </c>
      <c r="I208" t="s">
        <v>26</v>
      </c>
      <c r="J208" t="str">
        <f>"2016-06-07"</f>
        <v>2016-06-07</v>
      </c>
      <c r="K208" t="s">
        <v>27</v>
      </c>
      <c r="L208">
        <v>2.3801431100000001</v>
      </c>
      <c r="M208">
        <v>207</v>
      </c>
      <c r="N208" s="1">
        <v>0.53520000000000001</v>
      </c>
      <c r="O208" s="1">
        <v>1.2808999999999999</v>
      </c>
      <c r="P208" s="1">
        <v>-6.7599999999999993E-2</v>
      </c>
      <c r="Q208" s="1">
        <v>-1.7299999999999999E-2</v>
      </c>
      <c r="R208" s="1">
        <v>-3.4099999999999998E-2</v>
      </c>
      <c r="S208" s="1">
        <v>7.8200000000000006E-2</v>
      </c>
      <c r="T208" s="1">
        <v>0.17780000000000001</v>
      </c>
      <c r="U208" s="1">
        <v>0.42059999999999997</v>
      </c>
    </row>
    <row r="209" spans="1:21" x14ac:dyDescent="0.25">
      <c r="A209" t="s">
        <v>537</v>
      </c>
      <c r="B209" t="s">
        <v>538</v>
      </c>
      <c r="C209" t="s">
        <v>30</v>
      </c>
      <c r="D209" t="s">
        <v>31</v>
      </c>
      <c r="E209" t="s">
        <v>31</v>
      </c>
      <c r="F209" t="str">
        <f t="shared" si="3"/>
        <v>2018-05-20</v>
      </c>
      <c r="G209">
        <v>42.35</v>
      </c>
      <c r="H209" t="str">
        <f>"2016-04-21"</f>
        <v>2016-04-21</v>
      </c>
      <c r="I209" t="s">
        <v>26</v>
      </c>
      <c r="J209" t="str">
        <f>"2016-01-21"</f>
        <v>2016-01-21</v>
      </c>
      <c r="K209" t="s">
        <v>40</v>
      </c>
      <c r="L209">
        <v>2.37886921</v>
      </c>
      <c r="M209">
        <v>208</v>
      </c>
      <c r="N209" s="1">
        <v>0.8518</v>
      </c>
      <c r="O209" s="1">
        <v>1.2732000000000001</v>
      </c>
      <c r="P209" s="1">
        <v>-6.0999999999999999E-2</v>
      </c>
      <c r="Q209" s="1">
        <v>1.0699999999999999E-2</v>
      </c>
      <c r="R209" s="1">
        <v>2.7900000000000001E-2</v>
      </c>
      <c r="S209" s="1">
        <v>4.5699999999999998E-2</v>
      </c>
      <c r="T209" s="1">
        <v>-2.0799999999999999E-2</v>
      </c>
      <c r="U209" s="1">
        <v>0.24929999999999999</v>
      </c>
    </row>
    <row r="210" spans="1:21" x14ac:dyDescent="0.25">
      <c r="A210" t="s">
        <v>539</v>
      </c>
      <c r="B210" t="s">
        <v>540</v>
      </c>
      <c r="C210" t="s">
        <v>43</v>
      </c>
      <c r="D210" t="s">
        <v>374</v>
      </c>
      <c r="E210" t="s">
        <v>378</v>
      </c>
      <c r="F210" t="str">
        <f t="shared" si="3"/>
        <v>2018-05-20</v>
      </c>
      <c r="G210">
        <v>47.7</v>
      </c>
      <c r="H210" t="str">
        <f>"2016-05-09"</f>
        <v>2016-05-09</v>
      </c>
      <c r="I210" t="s">
        <v>26</v>
      </c>
      <c r="J210" t="str">
        <f>"2016-04-20"</f>
        <v>2016-04-20</v>
      </c>
      <c r="K210" t="s">
        <v>27</v>
      </c>
      <c r="L210">
        <v>2.37857143</v>
      </c>
      <c r="M210">
        <v>209</v>
      </c>
      <c r="N210" s="1">
        <v>1.0034000000000001</v>
      </c>
      <c r="O210" s="1">
        <v>1.2714000000000001</v>
      </c>
      <c r="P210" s="1">
        <v>0</v>
      </c>
      <c r="Q210" s="1">
        <v>1.6799999999999999E-2</v>
      </c>
      <c r="R210" s="1">
        <v>2.87E-2</v>
      </c>
      <c r="S210" s="1">
        <v>6.3100000000000003E-2</v>
      </c>
      <c r="T210" s="1">
        <v>9.0499999999999997E-2</v>
      </c>
      <c r="U210" s="1">
        <v>0.3947</v>
      </c>
    </row>
    <row r="211" spans="1:21" x14ac:dyDescent="0.25">
      <c r="A211" t="s">
        <v>541</v>
      </c>
      <c r="B211" t="s">
        <v>542</v>
      </c>
      <c r="C211" t="s">
        <v>109</v>
      </c>
      <c r="D211" t="s">
        <v>110</v>
      </c>
      <c r="E211" t="s">
        <v>111</v>
      </c>
      <c r="F211" t="str">
        <f t="shared" si="3"/>
        <v>2018-05-20</v>
      </c>
      <c r="G211">
        <v>13.28</v>
      </c>
      <c r="H211" t="str">
        <f>"2018-02-12"</f>
        <v>2018-02-12</v>
      </c>
      <c r="I211" t="s">
        <v>26</v>
      </c>
      <c r="J211" t="str">
        <f>"2018-01-30"</f>
        <v>2018-01-30</v>
      </c>
      <c r="K211" t="s">
        <v>27</v>
      </c>
      <c r="L211">
        <v>2.37705849</v>
      </c>
      <c r="M211">
        <v>210</v>
      </c>
      <c r="N211" s="1">
        <v>0.36909999999999998</v>
      </c>
      <c r="O211" s="1">
        <v>1.2624</v>
      </c>
      <c r="P211" s="1">
        <v>-4.53E-2</v>
      </c>
      <c r="Q211" s="1">
        <v>-1.7000000000000001E-2</v>
      </c>
      <c r="R211" s="1">
        <v>1.9199999999999998E-2</v>
      </c>
      <c r="S211" s="1">
        <v>0.19320000000000001</v>
      </c>
      <c r="T211" s="1">
        <v>0.1216</v>
      </c>
      <c r="U211" s="1">
        <v>0.66210000000000002</v>
      </c>
    </row>
    <row r="212" spans="1:21" x14ac:dyDescent="0.25">
      <c r="A212" t="s">
        <v>543</v>
      </c>
      <c r="B212" t="s">
        <v>544</v>
      </c>
      <c r="C212" t="s">
        <v>30</v>
      </c>
      <c r="D212" t="s">
        <v>482</v>
      </c>
      <c r="E212" t="s">
        <v>482</v>
      </c>
      <c r="F212" t="str">
        <f t="shared" si="3"/>
        <v>2018-05-20</v>
      </c>
      <c r="G212">
        <v>37.700000000000003</v>
      </c>
      <c r="H212" t="str">
        <f>"2017-06-27"</f>
        <v>2017-06-27</v>
      </c>
      <c r="I212" t="s">
        <v>26</v>
      </c>
      <c r="J212" t="str">
        <f>"2017-03-02"</f>
        <v>2017-03-02</v>
      </c>
      <c r="K212" t="s">
        <v>40</v>
      </c>
      <c r="L212">
        <v>2.3762474999999998</v>
      </c>
      <c r="M212">
        <v>211</v>
      </c>
      <c r="N212" s="1">
        <v>0.83450000000000002</v>
      </c>
      <c r="O212" s="1">
        <v>1.2575000000000001</v>
      </c>
      <c r="P212" s="1">
        <v>-3.2099999999999997E-2</v>
      </c>
      <c r="Q212" s="1">
        <v>2.3099999999999999E-2</v>
      </c>
      <c r="R212" s="1">
        <v>8.7999999999999995E-2</v>
      </c>
      <c r="S212" s="1">
        <v>4.0000000000000001E-3</v>
      </c>
      <c r="T212" s="1">
        <v>0.29110000000000003</v>
      </c>
      <c r="U212" s="1">
        <v>1.1729000000000001</v>
      </c>
    </row>
    <row r="213" spans="1:21" x14ac:dyDescent="0.25">
      <c r="A213" t="s">
        <v>545</v>
      </c>
      <c r="B213" t="s">
        <v>546</v>
      </c>
      <c r="C213" t="s">
        <v>43</v>
      </c>
      <c r="D213" t="s">
        <v>150</v>
      </c>
      <c r="E213" t="s">
        <v>408</v>
      </c>
      <c r="F213" t="str">
        <f t="shared" si="3"/>
        <v>2018-05-20</v>
      </c>
      <c r="G213">
        <v>39.79</v>
      </c>
      <c r="H213" t="str">
        <f>"2017-08-29"</f>
        <v>2017-08-29</v>
      </c>
      <c r="I213" t="s">
        <v>26</v>
      </c>
      <c r="J213" t="str">
        <f>"2017-06-07"</f>
        <v>2017-06-07</v>
      </c>
      <c r="K213" t="s">
        <v>40</v>
      </c>
      <c r="L213">
        <v>2.3731945200000002</v>
      </c>
      <c r="M213">
        <v>212</v>
      </c>
      <c r="N213" s="1">
        <v>0.7248</v>
      </c>
      <c r="O213" s="1">
        <v>1.2392000000000001</v>
      </c>
      <c r="P213" s="1">
        <v>-9.7100000000000006E-2</v>
      </c>
      <c r="Q213" s="1">
        <v>1.2500000000000001E-2</v>
      </c>
      <c r="R213" s="1">
        <v>7.4800000000000005E-2</v>
      </c>
      <c r="S213" s="1">
        <v>2.8199999999999999E-2</v>
      </c>
      <c r="T213" s="1">
        <v>0.04</v>
      </c>
      <c r="U213" s="1">
        <v>1.0416000000000001</v>
      </c>
    </row>
    <row r="214" spans="1:21" x14ac:dyDescent="0.25">
      <c r="A214" t="s">
        <v>547</v>
      </c>
      <c r="B214" t="s">
        <v>548</v>
      </c>
      <c r="C214" t="s">
        <v>43</v>
      </c>
      <c r="D214" t="s">
        <v>150</v>
      </c>
      <c r="E214" t="s">
        <v>151</v>
      </c>
      <c r="F214" t="str">
        <f t="shared" si="3"/>
        <v>2018-05-20</v>
      </c>
      <c r="G214">
        <v>62.8</v>
      </c>
      <c r="H214" t="str">
        <f>"2016-04-10"</f>
        <v>2016-04-10</v>
      </c>
      <c r="I214" t="s">
        <v>26</v>
      </c>
      <c r="J214" t="str">
        <f>"2015-10-28"</f>
        <v>2015-10-28</v>
      </c>
      <c r="K214" t="s">
        <v>27</v>
      </c>
      <c r="L214">
        <v>2.3712900600000002</v>
      </c>
      <c r="M214">
        <v>213</v>
      </c>
      <c r="N214" s="1">
        <v>0.66890000000000005</v>
      </c>
      <c r="O214" s="1">
        <v>1.2277</v>
      </c>
      <c r="P214" s="1">
        <v>-6.6900000000000001E-2</v>
      </c>
      <c r="Q214" s="1">
        <v>2.4500000000000001E-2</v>
      </c>
      <c r="R214" s="1">
        <v>5.3699999999999998E-2</v>
      </c>
      <c r="S214" s="1">
        <v>1.6000000000000001E-3</v>
      </c>
      <c r="T214" s="1">
        <v>-5.4899999999999997E-2</v>
      </c>
      <c r="U214" s="1">
        <v>0.33479999999999999</v>
      </c>
    </row>
    <row r="215" spans="1:21" x14ac:dyDescent="0.25">
      <c r="A215" t="s">
        <v>549</v>
      </c>
      <c r="B215" t="s">
        <v>550</v>
      </c>
      <c r="C215" t="s">
        <v>43</v>
      </c>
      <c r="D215" t="s">
        <v>374</v>
      </c>
      <c r="E215" t="s">
        <v>378</v>
      </c>
      <c r="F215" t="str">
        <f t="shared" si="3"/>
        <v>2018-05-20</v>
      </c>
      <c r="G215">
        <v>123.95</v>
      </c>
      <c r="H215" t="str">
        <f>"2016-03-17"</f>
        <v>2016-03-17</v>
      </c>
      <c r="I215" t="s">
        <v>26</v>
      </c>
      <c r="J215" t="str">
        <f>"2016-03-03"</f>
        <v>2016-03-03</v>
      </c>
      <c r="K215" t="s">
        <v>27</v>
      </c>
      <c r="L215">
        <v>2.3712856499999999</v>
      </c>
      <c r="M215">
        <v>214</v>
      </c>
      <c r="N215" s="1">
        <v>0.71940000000000004</v>
      </c>
      <c r="O215" s="1">
        <v>1.2277</v>
      </c>
      <c r="P215" s="1">
        <v>-7.1199999999999999E-2</v>
      </c>
      <c r="Q215" s="1">
        <v>5.5999999999999999E-3</v>
      </c>
      <c r="R215" s="1">
        <v>2.7099999999999999E-2</v>
      </c>
      <c r="S215" s="1">
        <v>2.0000000000000001E-4</v>
      </c>
      <c r="T215" s="1">
        <v>-1.5599999999999999E-2</v>
      </c>
      <c r="U215" s="1">
        <v>0.23300000000000001</v>
      </c>
    </row>
    <row r="216" spans="1:21" x14ac:dyDescent="0.25">
      <c r="A216" t="s">
        <v>551</v>
      </c>
      <c r="B216" t="s">
        <v>552</v>
      </c>
      <c r="C216" t="s">
        <v>109</v>
      </c>
      <c r="D216" t="s">
        <v>110</v>
      </c>
      <c r="E216" t="s">
        <v>111</v>
      </c>
      <c r="F216" t="str">
        <f t="shared" si="3"/>
        <v>2018-05-20</v>
      </c>
      <c r="G216">
        <v>181.76</v>
      </c>
      <c r="H216" t="str">
        <f>"2015-11-25"</f>
        <v>2015-11-25</v>
      </c>
      <c r="I216" t="s">
        <v>26</v>
      </c>
      <c r="J216" t="str">
        <f>"2015-09-27"</f>
        <v>2015-09-27</v>
      </c>
      <c r="K216" t="s">
        <v>40</v>
      </c>
      <c r="L216">
        <v>2.3706966899999999</v>
      </c>
      <c r="M216">
        <v>215</v>
      </c>
      <c r="N216" s="1">
        <v>0.92159999999999997</v>
      </c>
      <c r="O216" s="1">
        <v>1.2242</v>
      </c>
      <c r="P216" s="1">
        <v>0</v>
      </c>
      <c r="Q216" s="1">
        <v>9.5999999999999992E-3</v>
      </c>
      <c r="R216" s="1">
        <v>3.0300000000000001E-2</v>
      </c>
      <c r="S216" s="1">
        <v>5.8500000000000003E-2</v>
      </c>
      <c r="T216" s="1">
        <v>3.7100000000000001E-2</v>
      </c>
      <c r="U216" s="1">
        <v>0.37709999999999999</v>
      </c>
    </row>
    <row r="217" spans="1:21" x14ac:dyDescent="0.25">
      <c r="A217" t="s">
        <v>553</v>
      </c>
      <c r="B217" t="s">
        <v>554</v>
      </c>
      <c r="C217" t="s">
        <v>43</v>
      </c>
      <c r="D217" t="s">
        <v>193</v>
      </c>
      <c r="E217" t="s">
        <v>239</v>
      </c>
      <c r="F217" t="str">
        <f t="shared" si="3"/>
        <v>2018-05-20</v>
      </c>
      <c r="G217">
        <v>46.65</v>
      </c>
      <c r="H217" t="str">
        <f>"2017-02-05"</f>
        <v>2017-02-05</v>
      </c>
      <c r="I217" t="s">
        <v>26</v>
      </c>
      <c r="J217" t="str">
        <f>"2016-12-07"</f>
        <v>2016-12-07</v>
      </c>
      <c r="K217" t="s">
        <v>27</v>
      </c>
      <c r="L217">
        <v>2.3702380999999999</v>
      </c>
      <c r="M217">
        <v>216</v>
      </c>
      <c r="N217" s="1">
        <v>0.81169999999999998</v>
      </c>
      <c r="O217" s="1">
        <v>1.2214</v>
      </c>
      <c r="P217" s="1">
        <v>0</v>
      </c>
      <c r="Q217" s="1">
        <v>3.5499999999999997E-2</v>
      </c>
      <c r="R217" s="1">
        <v>8.7400000000000005E-2</v>
      </c>
      <c r="S217" s="1">
        <v>0.1094</v>
      </c>
      <c r="T217" s="1">
        <v>0.1081</v>
      </c>
      <c r="U217" s="1">
        <v>0.7278</v>
      </c>
    </row>
    <row r="218" spans="1:21" x14ac:dyDescent="0.25">
      <c r="A218" t="s">
        <v>555</v>
      </c>
      <c r="B218" t="s">
        <v>556</v>
      </c>
      <c r="C218" t="s">
        <v>30</v>
      </c>
      <c r="D218" t="s">
        <v>31</v>
      </c>
      <c r="E218" t="s">
        <v>31</v>
      </c>
      <c r="F218" t="str">
        <f t="shared" si="3"/>
        <v>2018-05-20</v>
      </c>
      <c r="G218">
        <v>59.65</v>
      </c>
      <c r="H218" t="str">
        <f>"2016-06-22"</f>
        <v>2016-06-22</v>
      </c>
      <c r="I218" t="s">
        <v>26</v>
      </c>
      <c r="J218" t="str">
        <f>"2016-04-24"</f>
        <v>2016-04-24</v>
      </c>
      <c r="K218" t="s">
        <v>27</v>
      </c>
      <c r="L218">
        <v>2.3694413499999998</v>
      </c>
      <c r="M218">
        <v>217</v>
      </c>
      <c r="N218" s="1">
        <v>0.94240000000000002</v>
      </c>
      <c r="O218" s="1">
        <v>1.2165999999999999</v>
      </c>
      <c r="P218" s="1">
        <v>0</v>
      </c>
      <c r="Q218" s="1">
        <v>1.0999999999999999E-2</v>
      </c>
      <c r="R218" s="1">
        <v>2.76E-2</v>
      </c>
      <c r="S218" s="1">
        <v>2.4899999999999999E-2</v>
      </c>
      <c r="T218" s="1">
        <v>6.9000000000000006E-2</v>
      </c>
      <c r="U218" s="1">
        <v>0.27460000000000001</v>
      </c>
    </row>
    <row r="219" spans="1:21" x14ac:dyDescent="0.25">
      <c r="A219" t="s">
        <v>557</v>
      </c>
      <c r="B219" t="s">
        <v>558</v>
      </c>
      <c r="C219" t="s">
        <v>30</v>
      </c>
      <c r="D219" t="s">
        <v>31</v>
      </c>
      <c r="E219" t="s">
        <v>31</v>
      </c>
      <c r="F219" t="str">
        <f t="shared" si="3"/>
        <v>2018-05-20</v>
      </c>
      <c r="G219">
        <v>51</v>
      </c>
      <c r="H219" t="str">
        <f>"2015-01-11"</f>
        <v>2015-01-11</v>
      </c>
      <c r="I219" t="s">
        <v>26</v>
      </c>
      <c r="J219" t="str">
        <f>"2014-10-07"</f>
        <v>2014-10-07</v>
      </c>
      <c r="K219" t="s">
        <v>40</v>
      </c>
      <c r="L219">
        <v>2.3694046100000001</v>
      </c>
      <c r="M219">
        <v>218</v>
      </c>
      <c r="N219" s="1">
        <v>1.04</v>
      </c>
      <c r="O219" s="1">
        <v>1.2163999999999999</v>
      </c>
      <c r="P219" s="1">
        <v>-7.2700000000000001E-2</v>
      </c>
      <c r="Q219" s="1">
        <v>2.8999999999999998E-3</v>
      </c>
      <c r="R219" s="1">
        <v>1.5900000000000001E-2</v>
      </c>
      <c r="S219" s="1">
        <v>-1.54E-2</v>
      </c>
      <c r="T219" s="1">
        <v>-6.7999999999999996E-3</v>
      </c>
      <c r="U219" s="1">
        <v>0.25</v>
      </c>
    </row>
    <row r="220" spans="1:21" x14ac:dyDescent="0.25">
      <c r="A220" t="s">
        <v>559</v>
      </c>
      <c r="B220" t="s">
        <v>560</v>
      </c>
      <c r="C220" t="s">
        <v>43</v>
      </c>
      <c r="D220" t="s">
        <v>119</v>
      </c>
      <c r="E220" t="s">
        <v>205</v>
      </c>
      <c r="F220" t="str">
        <f t="shared" si="3"/>
        <v>2018-05-20</v>
      </c>
      <c r="G220">
        <v>215.27</v>
      </c>
      <c r="H220" t="str">
        <f>"2016-02-25"</f>
        <v>2016-02-25</v>
      </c>
      <c r="I220" t="s">
        <v>26</v>
      </c>
      <c r="J220" t="str">
        <f>"2016-01-24"</f>
        <v>2016-01-24</v>
      </c>
      <c r="K220" t="s">
        <v>40</v>
      </c>
      <c r="L220">
        <v>2.3693086299999999</v>
      </c>
      <c r="M220">
        <v>219</v>
      </c>
      <c r="N220" s="1">
        <v>0.88419999999999999</v>
      </c>
      <c r="O220" s="1">
        <v>1.2159</v>
      </c>
      <c r="P220" s="1">
        <v>-3.5499999999999997E-2</v>
      </c>
      <c r="Q220" s="1">
        <v>2.1000000000000001E-2</v>
      </c>
      <c r="R220" s="1">
        <v>4.4000000000000003E-3</v>
      </c>
      <c r="S220" s="1">
        <v>0.06</v>
      </c>
      <c r="T220" s="1">
        <v>1.23E-2</v>
      </c>
      <c r="U220" s="1">
        <v>0.34079999999999999</v>
      </c>
    </row>
    <row r="221" spans="1:21" x14ac:dyDescent="0.25">
      <c r="A221" t="s">
        <v>561</v>
      </c>
      <c r="B221" t="s">
        <v>562</v>
      </c>
      <c r="C221" t="s">
        <v>109</v>
      </c>
      <c r="D221" t="s">
        <v>110</v>
      </c>
      <c r="E221" t="s">
        <v>251</v>
      </c>
      <c r="F221" t="str">
        <f t="shared" si="3"/>
        <v>2018-05-20</v>
      </c>
      <c r="G221">
        <v>165.2</v>
      </c>
      <c r="H221" t="str">
        <f>"2015-11-18"</f>
        <v>2015-11-18</v>
      </c>
      <c r="I221" t="s">
        <v>26</v>
      </c>
      <c r="J221" t="str">
        <f>"2015-10-25"</f>
        <v>2015-10-25</v>
      </c>
      <c r="K221" t="s">
        <v>27</v>
      </c>
      <c r="L221">
        <v>2.36922802</v>
      </c>
      <c r="M221">
        <v>220</v>
      </c>
      <c r="N221" s="1">
        <v>0.68799999999999994</v>
      </c>
      <c r="O221" s="1">
        <v>1.2154</v>
      </c>
      <c r="P221" s="1">
        <v>0</v>
      </c>
      <c r="Q221" s="1">
        <v>5.4999999999999997E-3</v>
      </c>
      <c r="R221" s="1">
        <v>1.23E-2</v>
      </c>
      <c r="S221" s="1">
        <v>3.7400000000000003E-2</v>
      </c>
      <c r="T221" s="1">
        <v>7.8299999999999995E-2</v>
      </c>
      <c r="U221" s="1">
        <v>0.3296</v>
      </c>
    </row>
    <row r="222" spans="1:21" x14ac:dyDescent="0.25">
      <c r="A222" t="s">
        <v>563</v>
      </c>
      <c r="B222" t="s">
        <v>564</v>
      </c>
      <c r="C222" t="s">
        <v>30</v>
      </c>
      <c r="D222" t="s">
        <v>31</v>
      </c>
      <c r="E222" t="s">
        <v>31</v>
      </c>
      <c r="F222" t="str">
        <f t="shared" si="3"/>
        <v>2018-05-20</v>
      </c>
      <c r="G222">
        <v>31.05</v>
      </c>
      <c r="H222" t="str">
        <f>"2016-07-19"</f>
        <v>2016-07-19</v>
      </c>
      <c r="I222" t="s">
        <v>26</v>
      </c>
      <c r="J222" t="str">
        <f>"2016-05-04"</f>
        <v>2016-05-04</v>
      </c>
      <c r="K222" t="s">
        <v>27</v>
      </c>
      <c r="L222">
        <v>2.36728176</v>
      </c>
      <c r="M222">
        <v>221</v>
      </c>
      <c r="N222" s="1">
        <v>0.84050000000000002</v>
      </c>
      <c r="O222" s="1">
        <v>1.2037</v>
      </c>
      <c r="P222" s="1">
        <v>0</v>
      </c>
      <c r="Q222" s="1">
        <v>1.3100000000000001E-2</v>
      </c>
      <c r="R222" s="1">
        <v>6.8500000000000005E-2</v>
      </c>
      <c r="S222" s="1">
        <v>0.1105</v>
      </c>
      <c r="T222" s="1">
        <v>0.1042</v>
      </c>
      <c r="U222" s="1">
        <v>0.22289999999999999</v>
      </c>
    </row>
    <row r="223" spans="1:21" x14ac:dyDescent="0.25">
      <c r="A223" t="s">
        <v>565</v>
      </c>
      <c r="B223" t="s">
        <v>566</v>
      </c>
      <c r="C223" t="s">
        <v>23</v>
      </c>
      <c r="D223" t="s">
        <v>411</v>
      </c>
      <c r="E223" t="s">
        <v>412</v>
      </c>
      <c r="F223" t="str">
        <f t="shared" si="3"/>
        <v>2018-05-20</v>
      </c>
      <c r="G223">
        <v>10.63</v>
      </c>
      <c r="H223" t="str">
        <f>"2018-01-18"</f>
        <v>2018-01-18</v>
      </c>
      <c r="I223" t="s">
        <v>26</v>
      </c>
      <c r="J223" t="str">
        <f>"2017-12-04"</f>
        <v>2017-12-04</v>
      </c>
      <c r="K223" t="s">
        <v>27</v>
      </c>
      <c r="L223">
        <v>2.3668046899999999</v>
      </c>
      <c r="M223">
        <v>222</v>
      </c>
      <c r="N223" s="1">
        <v>0.26250000000000001</v>
      </c>
      <c r="O223" s="1">
        <v>1.2008000000000001</v>
      </c>
      <c r="P223" s="1">
        <v>-4.58E-2</v>
      </c>
      <c r="Q223" s="1">
        <v>-1.0200000000000001E-2</v>
      </c>
      <c r="R223" s="1">
        <v>3.3000000000000002E-2</v>
      </c>
      <c r="S223" s="1">
        <v>0.4743</v>
      </c>
      <c r="T223" s="1">
        <v>0.44629999999999997</v>
      </c>
      <c r="U223" s="1">
        <v>8.5800000000000001E-2</v>
      </c>
    </row>
    <row r="224" spans="1:21" x14ac:dyDescent="0.25">
      <c r="A224" t="s">
        <v>567</v>
      </c>
      <c r="B224" t="s">
        <v>568</v>
      </c>
      <c r="C224" t="s">
        <v>30</v>
      </c>
      <c r="D224" t="s">
        <v>31</v>
      </c>
      <c r="E224" t="s">
        <v>31</v>
      </c>
      <c r="F224" t="str">
        <f t="shared" si="3"/>
        <v>2018-05-20</v>
      </c>
      <c r="G224">
        <v>43.64</v>
      </c>
      <c r="H224" t="str">
        <f>"2017-09-28"</f>
        <v>2017-09-28</v>
      </c>
      <c r="I224" t="s">
        <v>26</v>
      </c>
      <c r="J224" t="str">
        <f>"2016-09-18"</f>
        <v>2016-09-18</v>
      </c>
      <c r="K224" t="s">
        <v>34</v>
      </c>
      <c r="L224">
        <v>2.3667843300000002</v>
      </c>
      <c r="M224">
        <v>223</v>
      </c>
      <c r="N224" s="1">
        <v>0.15509999999999999</v>
      </c>
      <c r="O224" s="1">
        <v>1.2007000000000001</v>
      </c>
      <c r="P224" s="1">
        <v>-2.3300000000000001E-2</v>
      </c>
      <c r="Q224" s="1">
        <v>1.54E-2</v>
      </c>
      <c r="R224" s="1">
        <v>4.0500000000000001E-2</v>
      </c>
      <c r="S224" s="1">
        <v>4.9000000000000002E-2</v>
      </c>
      <c r="T224" s="1">
        <v>5.4899999999999997E-2</v>
      </c>
      <c r="U224" s="1">
        <v>0.1487</v>
      </c>
    </row>
    <row r="225" spans="1:21" x14ac:dyDescent="0.25">
      <c r="A225" t="s">
        <v>569</v>
      </c>
      <c r="B225" t="s">
        <v>570</v>
      </c>
      <c r="C225" t="s">
        <v>30</v>
      </c>
      <c r="D225" t="s">
        <v>48</v>
      </c>
      <c r="E225" t="s">
        <v>49</v>
      </c>
      <c r="F225" t="str">
        <f t="shared" si="3"/>
        <v>2018-05-20</v>
      </c>
      <c r="G225">
        <v>94.35</v>
      </c>
      <c r="H225" t="str">
        <f>"2017-04-27"</f>
        <v>2017-04-27</v>
      </c>
      <c r="I225" t="s">
        <v>26</v>
      </c>
      <c r="J225" t="str">
        <f>"2017-04-04"</f>
        <v>2017-04-04</v>
      </c>
      <c r="K225" t="s">
        <v>27</v>
      </c>
      <c r="L225">
        <v>2.3656976699999999</v>
      </c>
      <c r="M225">
        <v>224</v>
      </c>
      <c r="N225" s="1">
        <v>0.81269999999999998</v>
      </c>
      <c r="O225" s="1">
        <v>1.1941999999999999</v>
      </c>
      <c r="P225" s="1">
        <v>0</v>
      </c>
      <c r="Q225" s="1">
        <v>1.5599999999999999E-2</v>
      </c>
      <c r="R225" s="1">
        <v>5.9499999999999997E-2</v>
      </c>
      <c r="S225" s="1">
        <v>0.1409</v>
      </c>
      <c r="T225" s="1">
        <v>0.2505</v>
      </c>
      <c r="U225" s="1">
        <v>0.73280000000000001</v>
      </c>
    </row>
    <row r="226" spans="1:21" x14ac:dyDescent="0.25">
      <c r="A226" t="s">
        <v>571</v>
      </c>
      <c r="B226" t="s">
        <v>572</v>
      </c>
      <c r="C226" t="s">
        <v>518</v>
      </c>
      <c r="D226" t="s">
        <v>573</v>
      </c>
      <c r="E226" t="s">
        <v>574</v>
      </c>
      <c r="F226" t="str">
        <f t="shared" si="3"/>
        <v>2018-05-20</v>
      </c>
      <c r="G226">
        <v>9.85</v>
      </c>
      <c r="H226" t="str">
        <f>"2016-07-07"</f>
        <v>2016-07-07</v>
      </c>
      <c r="I226" t="s">
        <v>26</v>
      </c>
      <c r="J226" t="str">
        <f>"2016-06-12"</f>
        <v>2016-06-12</v>
      </c>
      <c r="K226" t="s">
        <v>27</v>
      </c>
      <c r="L226">
        <v>2.3656273200000002</v>
      </c>
      <c r="M226">
        <v>225</v>
      </c>
      <c r="N226" s="1">
        <v>1.1047</v>
      </c>
      <c r="O226" s="1">
        <v>1.1938</v>
      </c>
      <c r="P226" s="1">
        <v>0</v>
      </c>
      <c r="Q226" s="1">
        <v>5.1000000000000004E-3</v>
      </c>
      <c r="R226" s="1">
        <v>2.5999999999999999E-2</v>
      </c>
      <c r="S226" s="1">
        <v>2.5999999999999999E-2</v>
      </c>
      <c r="T226" s="1">
        <v>0.1867</v>
      </c>
      <c r="U226" s="1">
        <v>0.26279999999999998</v>
      </c>
    </row>
    <row r="227" spans="1:21" x14ac:dyDescent="0.25">
      <c r="A227" t="s">
        <v>575</v>
      </c>
      <c r="B227" t="s">
        <v>576</v>
      </c>
      <c r="C227" t="s">
        <v>43</v>
      </c>
      <c r="D227" t="s">
        <v>193</v>
      </c>
      <c r="E227" t="s">
        <v>194</v>
      </c>
      <c r="F227" t="str">
        <f t="shared" si="3"/>
        <v>2018-05-20</v>
      </c>
      <c r="G227">
        <v>15.86</v>
      </c>
      <c r="H227" t="str">
        <f>"2017-07-30"</f>
        <v>2017-07-30</v>
      </c>
      <c r="I227" t="s">
        <v>26</v>
      </c>
      <c r="J227" t="str">
        <f>"2017-07-13"</f>
        <v>2017-07-13</v>
      </c>
      <c r="K227" t="s">
        <v>27</v>
      </c>
      <c r="L227">
        <v>2.3651012900000001</v>
      </c>
      <c r="M227">
        <v>226</v>
      </c>
      <c r="N227" s="1">
        <v>0.50619999999999998</v>
      </c>
      <c r="O227" s="1">
        <v>1.1906000000000001</v>
      </c>
      <c r="P227" s="1">
        <v>-4.1099999999999998E-2</v>
      </c>
      <c r="Q227" s="1">
        <v>-6.8999999999999999E-3</v>
      </c>
      <c r="R227" s="1">
        <v>3.9300000000000002E-2</v>
      </c>
      <c r="S227" s="1">
        <v>7.4499999999999997E-2</v>
      </c>
      <c r="T227" s="1">
        <v>-2.1000000000000001E-2</v>
      </c>
      <c r="U227" s="1">
        <v>1.0650999999999999</v>
      </c>
    </row>
    <row r="228" spans="1:21" x14ac:dyDescent="0.25">
      <c r="A228" t="s">
        <v>577</v>
      </c>
      <c r="B228" t="s">
        <v>578</v>
      </c>
      <c r="C228" t="s">
        <v>87</v>
      </c>
      <c r="D228" t="s">
        <v>144</v>
      </c>
      <c r="E228" t="s">
        <v>145</v>
      </c>
      <c r="F228" t="str">
        <f t="shared" si="3"/>
        <v>2018-05-20</v>
      </c>
      <c r="G228">
        <v>53.33</v>
      </c>
      <c r="H228" t="str">
        <f>"2016-06-05"</f>
        <v>2016-06-05</v>
      </c>
      <c r="I228" t="s">
        <v>26</v>
      </c>
      <c r="J228" t="str">
        <f>"2015-06-25"</f>
        <v>2015-06-25</v>
      </c>
      <c r="K228" t="s">
        <v>57</v>
      </c>
      <c r="L228">
        <v>2.3644140400000002</v>
      </c>
      <c r="M228">
        <v>227</v>
      </c>
      <c r="N228" s="1">
        <v>0.62139999999999995</v>
      </c>
      <c r="O228" s="1">
        <v>1.1865000000000001</v>
      </c>
      <c r="P228" s="1">
        <v>-9.2299999999999993E-2</v>
      </c>
      <c r="Q228" s="1">
        <v>5.7000000000000002E-3</v>
      </c>
      <c r="R228" s="1">
        <v>2.9499999999999998E-2</v>
      </c>
      <c r="S228" s="1">
        <v>-7.1999999999999995E-2</v>
      </c>
      <c r="T228" s="1">
        <v>0.1928</v>
      </c>
      <c r="U228" s="1">
        <v>0.43740000000000001</v>
      </c>
    </row>
    <row r="229" spans="1:21" x14ac:dyDescent="0.25">
      <c r="A229" t="s">
        <v>579</v>
      </c>
      <c r="B229" t="s">
        <v>580</v>
      </c>
      <c r="C229" t="s">
        <v>109</v>
      </c>
      <c r="D229" t="s">
        <v>110</v>
      </c>
      <c r="E229" t="s">
        <v>111</v>
      </c>
      <c r="F229" t="str">
        <f t="shared" si="3"/>
        <v>2018-05-20</v>
      </c>
      <c r="G229">
        <v>51.03</v>
      </c>
      <c r="H229" t="str">
        <f>"2017-10-18"</f>
        <v>2017-10-18</v>
      </c>
      <c r="I229" t="s">
        <v>26</v>
      </c>
      <c r="J229" t="str">
        <f>"2016-10-06"</f>
        <v>2016-10-06</v>
      </c>
      <c r="K229" t="s">
        <v>34</v>
      </c>
      <c r="L229">
        <v>2.3640838999999998</v>
      </c>
      <c r="M229">
        <v>228</v>
      </c>
      <c r="N229" s="1">
        <v>0.41749999999999998</v>
      </c>
      <c r="O229" s="1">
        <v>1.1845000000000001</v>
      </c>
      <c r="P229" s="1">
        <v>-5.8700000000000002E-2</v>
      </c>
      <c r="Q229" s="1">
        <v>-2.35E-2</v>
      </c>
      <c r="R229" s="1">
        <v>-5.04E-2</v>
      </c>
      <c r="S229" s="1">
        <v>2.6800000000000001E-2</v>
      </c>
      <c r="T229" s="1">
        <v>0.15060000000000001</v>
      </c>
      <c r="U229" s="1">
        <v>0.54920000000000002</v>
      </c>
    </row>
    <row r="230" spans="1:21" x14ac:dyDescent="0.25">
      <c r="A230" t="s">
        <v>581</v>
      </c>
      <c r="B230" t="s">
        <v>582</v>
      </c>
      <c r="C230" t="s">
        <v>30</v>
      </c>
      <c r="D230" t="s">
        <v>31</v>
      </c>
      <c r="E230" t="s">
        <v>31</v>
      </c>
      <c r="F230" t="str">
        <f t="shared" si="3"/>
        <v>2018-05-20</v>
      </c>
      <c r="G230">
        <v>57.31</v>
      </c>
      <c r="H230" t="str">
        <f>"2014-11-30"</f>
        <v>2014-11-30</v>
      </c>
      <c r="I230" t="s">
        <v>26</v>
      </c>
      <c r="J230" t="str">
        <f>"2014-10-27"</f>
        <v>2014-10-27</v>
      </c>
      <c r="K230" t="s">
        <v>27</v>
      </c>
      <c r="L230">
        <v>2.3629052700000002</v>
      </c>
      <c r="M230">
        <v>229</v>
      </c>
      <c r="N230" s="1">
        <v>0.97829999999999995</v>
      </c>
      <c r="O230" s="1">
        <v>1.1774</v>
      </c>
      <c r="P230" s="1">
        <v>-3.1600000000000003E-2</v>
      </c>
      <c r="Q230" s="1">
        <v>2.41E-2</v>
      </c>
      <c r="R230" s="1">
        <v>2.0799999999999999E-2</v>
      </c>
      <c r="S230" s="1">
        <v>1.34E-2</v>
      </c>
      <c r="T230" s="1">
        <v>5.4000000000000003E-3</v>
      </c>
      <c r="U230" s="1">
        <v>0.24260000000000001</v>
      </c>
    </row>
    <row r="231" spans="1:21" x14ac:dyDescent="0.25">
      <c r="A231" t="s">
        <v>583</v>
      </c>
      <c r="B231" t="s">
        <v>584</v>
      </c>
      <c r="C231" t="s">
        <v>30</v>
      </c>
      <c r="D231" t="s">
        <v>31</v>
      </c>
      <c r="E231" t="s">
        <v>31</v>
      </c>
      <c r="F231" t="str">
        <f t="shared" si="3"/>
        <v>2018-05-20</v>
      </c>
      <c r="G231">
        <v>19.16</v>
      </c>
      <c r="H231" t="str">
        <f>"2015-12-29"</f>
        <v>2015-12-29</v>
      </c>
      <c r="I231" t="s">
        <v>26</v>
      </c>
      <c r="J231" t="str">
        <f>"2014-11-03"</f>
        <v>2014-11-03</v>
      </c>
      <c r="K231" t="s">
        <v>34</v>
      </c>
      <c r="L231">
        <v>2.3628787899999999</v>
      </c>
      <c r="M231">
        <v>230</v>
      </c>
      <c r="N231" s="1">
        <v>0.65669999999999995</v>
      </c>
      <c r="O231" s="1">
        <v>1.1773</v>
      </c>
      <c r="P231" s="1">
        <v>-1.6899999999999998E-2</v>
      </c>
      <c r="Q231" s="1">
        <v>2.1899999999999999E-2</v>
      </c>
      <c r="R231" s="1">
        <v>4.02E-2</v>
      </c>
      <c r="S231" s="1">
        <v>4.7600000000000003E-2</v>
      </c>
      <c r="T231" s="1">
        <v>4.9299999999999997E-2</v>
      </c>
      <c r="U231" s="1">
        <v>0.1827</v>
      </c>
    </row>
    <row r="232" spans="1:21" x14ac:dyDescent="0.25">
      <c r="A232" t="s">
        <v>585</v>
      </c>
      <c r="B232" t="s">
        <v>586</v>
      </c>
      <c r="C232" t="s">
        <v>23</v>
      </c>
      <c r="D232" t="s">
        <v>24</v>
      </c>
      <c r="E232" t="s">
        <v>25</v>
      </c>
      <c r="F232" t="str">
        <f t="shared" si="3"/>
        <v>2018-05-20</v>
      </c>
      <c r="G232">
        <v>37.01</v>
      </c>
      <c r="H232" t="str">
        <f>"2016-12-07"</f>
        <v>2016-12-07</v>
      </c>
      <c r="I232" t="s">
        <v>26</v>
      </c>
      <c r="J232" t="str">
        <f>"2016-11-27"</f>
        <v>2016-11-27</v>
      </c>
      <c r="K232" t="s">
        <v>27</v>
      </c>
      <c r="L232">
        <v>2.3628431399999998</v>
      </c>
      <c r="M232">
        <v>231</v>
      </c>
      <c r="N232" s="1">
        <v>0.82499999999999996</v>
      </c>
      <c r="O232" s="1">
        <v>1.1771</v>
      </c>
      <c r="P232" s="1">
        <v>-7.2700000000000001E-2</v>
      </c>
      <c r="Q232" s="1">
        <v>1.26E-2</v>
      </c>
      <c r="R232" s="1">
        <v>2.63E-2</v>
      </c>
      <c r="S232" s="1">
        <v>5.6800000000000003E-2</v>
      </c>
      <c r="T232" s="1">
        <v>4.87E-2</v>
      </c>
      <c r="U232" s="1">
        <v>0.46750000000000003</v>
      </c>
    </row>
    <row r="233" spans="1:21" x14ac:dyDescent="0.25">
      <c r="A233" t="s">
        <v>587</v>
      </c>
      <c r="B233" t="s">
        <v>588</v>
      </c>
      <c r="C233" t="s">
        <v>37</v>
      </c>
      <c r="D233" t="s">
        <v>38</v>
      </c>
      <c r="E233" t="s">
        <v>39</v>
      </c>
      <c r="F233" t="str">
        <f t="shared" si="3"/>
        <v>2018-05-20</v>
      </c>
      <c r="G233">
        <v>19.88</v>
      </c>
      <c r="H233" t="str">
        <f>"2018-01-28"</f>
        <v>2018-01-28</v>
      </c>
      <c r="I233" t="s">
        <v>26</v>
      </c>
      <c r="J233" t="str">
        <f>"2017-12-18"</f>
        <v>2017-12-18</v>
      </c>
      <c r="K233" t="s">
        <v>40</v>
      </c>
      <c r="L233">
        <v>2.3621129299999999</v>
      </c>
      <c r="M233">
        <v>232</v>
      </c>
      <c r="N233" s="1">
        <v>0.61890000000000001</v>
      </c>
      <c r="O233" s="1">
        <v>1.1727000000000001</v>
      </c>
      <c r="P233" s="1">
        <v>0</v>
      </c>
      <c r="Q233" s="1">
        <v>6.6E-3</v>
      </c>
      <c r="R233" s="1">
        <v>9.2299999999999993E-2</v>
      </c>
      <c r="S233" s="1">
        <v>0.41489999999999999</v>
      </c>
      <c r="T233" s="1">
        <v>0.33779999999999999</v>
      </c>
      <c r="U233" s="1">
        <v>1.0327</v>
      </c>
    </row>
    <row r="234" spans="1:21" x14ac:dyDescent="0.25">
      <c r="A234" t="s">
        <v>589</v>
      </c>
      <c r="B234" t="s">
        <v>590</v>
      </c>
      <c r="C234" t="s">
        <v>23</v>
      </c>
      <c r="D234" t="s">
        <v>52</v>
      </c>
      <c r="E234" t="s">
        <v>190</v>
      </c>
      <c r="F234" t="str">
        <f t="shared" si="3"/>
        <v>2018-05-20</v>
      </c>
      <c r="G234">
        <v>24.7</v>
      </c>
      <c r="H234" t="str">
        <f>"2017-10-30"</f>
        <v>2017-10-30</v>
      </c>
      <c r="I234" t="s">
        <v>26</v>
      </c>
      <c r="J234" t="str">
        <f>"2017-10-03"</f>
        <v>2017-10-03</v>
      </c>
      <c r="K234" t="s">
        <v>27</v>
      </c>
      <c r="L234">
        <v>2.3595342100000001</v>
      </c>
      <c r="M234">
        <v>233</v>
      </c>
      <c r="N234" s="1">
        <v>0.41949999999999998</v>
      </c>
      <c r="O234" s="1">
        <v>1.1572</v>
      </c>
      <c r="P234" s="1">
        <v>-3.5200000000000002E-2</v>
      </c>
      <c r="Q234" s="1">
        <v>-6.0000000000000001E-3</v>
      </c>
      <c r="R234" s="1">
        <v>2.2800000000000001E-2</v>
      </c>
      <c r="S234" s="1">
        <v>8.8099999999999998E-2</v>
      </c>
      <c r="T234" s="1">
        <v>0.2019</v>
      </c>
      <c r="U234" s="1">
        <v>0.60389999999999999</v>
      </c>
    </row>
    <row r="235" spans="1:21" x14ac:dyDescent="0.25">
      <c r="A235" t="s">
        <v>591</v>
      </c>
      <c r="B235" t="s">
        <v>592</v>
      </c>
      <c r="C235" t="s">
        <v>23</v>
      </c>
      <c r="D235" t="s">
        <v>52</v>
      </c>
      <c r="E235" t="s">
        <v>190</v>
      </c>
      <c r="F235" t="str">
        <f t="shared" si="3"/>
        <v>2018-05-20</v>
      </c>
      <c r="G235">
        <v>22.77</v>
      </c>
      <c r="H235" t="str">
        <f>"2017-11-09"</f>
        <v>2017-11-09</v>
      </c>
      <c r="I235" t="s">
        <v>26</v>
      </c>
      <c r="J235" t="str">
        <f>"2017-09-27"</f>
        <v>2017-09-27</v>
      </c>
      <c r="K235" t="s">
        <v>27</v>
      </c>
      <c r="L235">
        <v>2.3573446300000001</v>
      </c>
      <c r="M235">
        <v>234</v>
      </c>
      <c r="N235" s="1">
        <v>0.70050000000000001</v>
      </c>
      <c r="O235" s="1">
        <v>1.1440999999999999</v>
      </c>
      <c r="P235" s="1">
        <v>-1.43E-2</v>
      </c>
      <c r="Q235" s="1">
        <v>-1.43E-2</v>
      </c>
      <c r="R235" s="1">
        <v>8.5800000000000001E-2</v>
      </c>
      <c r="S235" s="1">
        <v>0.1011</v>
      </c>
      <c r="T235" s="1">
        <v>0.1512</v>
      </c>
      <c r="U235" s="1">
        <v>1.044</v>
      </c>
    </row>
    <row r="236" spans="1:21" x14ac:dyDescent="0.25">
      <c r="A236" t="s">
        <v>593</v>
      </c>
      <c r="B236" t="s">
        <v>594</v>
      </c>
      <c r="C236" t="s">
        <v>30</v>
      </c>
      <c r="D236" t="s">
        <v>31</v>
      </c>
      <c r="E236" t="s">
        <v>31</v>
      </c>
      <c r="F236" t="str">
        <f t="shared" si="3"/>
        <v>2018-05-20</v>
      </c>
      <c r="G236">
        <v>34.75</v>
      </c>
      <c r="H236" t="str">
        <f>"2016-08-01"</f>
        <v>2016-08-01</v>
      </c>
      <c r="I236" t="s">
        <v>26</v>
      </c>
      <c r="J236" t="str">
        <f>"2016-05-19"</f>
        <v>2016-05-19</v>
      </c>
      <c r="K236" t="s">
        <v>57</v>
      </c>
      <c r="L236">
        <v>2.3570694599999999</v>
      </c>
      <c r="M236">
        <v>235</v>
      </c>
      <c r="N236" s="1">
        <v>0.98570000000000002</v>
      </c>
      <c r="O236" s="1">
        <v>1.1424000000000001</v>
      </c>
      <c r="P236" s="1">
        <v>0</v>
      </c>
      <c r="Q236" s="1">
        <v>1.7600000000000001E-2</v>
      </c>
      <c r="R236" s="1">
        <v>3.73E-2</v>
      </c>
      <c r="S236" s="1">
        <v>8.5900000000000004E-2</v>
      </c>
      <c r="T236" s="1">
        <v>5.7799999999999997E-2</v>
      </c>
      <c r="U236" s="1">
        <v>0.23230000000000001</v>
      </c>
    </row>
    <row r="237" spans="1:21" x14ac:dyDescent="0.25">
      <c r="A237" t="s">
        <v>595</v>
      </c>
      <c r="B237" t="s">
        <v>596</v>
      </c>
      <c r="C237" t="s">
        <v>30</v>
      </c>
      <c r="D237" t="s">
        <v>347</v>
      </c>
      <c r="E237" t="s">
        <v>348</v>
      </c>
      <c r="F237" t="str">
        <f t="shared" si="3"/>
        <v>2018-05-20</v>
      </c>
      <c r="G237">
        <v>78.599999999999994</v>
      </c>
      <c r="H237" t="str">
        <f>"2017-08-02"</f>
        <v>2017-08-02</v>
      </c>
      <c r="I237" t="s">
        <v>26</v>
      </c>
      <c r="J237" t="str">
        <f>"2017-03-23"</f>
        <v>2017-03-23</v>
      </c>
      <c r="K237" t="s">
        <v>40</v>
      </c>
      <c r="L237">
        <v>2.35694823</v>
      </c>
      <c r="M237">
        <v>236</v>
      </c>
      <c r="N237" s="1">
        <v>0.76629999999999998</v>
      </c>
      <c r="O237" s="1">
        <v>1.1416999999999999</v>
      </c>
      <c r="P237" s="1">
        <v>0</v>
      </c>
      <c r="Q237" s="1">
        <v>2.6800000000000001E-2</v>
      </c>
      <c r="R237" s="1">
        <v>7.2300000000000003E-2</v>
      </c>
      <c r="S237" s="1">
        <v>0.3322</v>
      </c>
      <c r="T237" s="1">
        <v>0.33450000000000002</v>
      </c>
      <c r="U237" s="1">
        <v>1.0416000000000001</v>
      </c>
    </row>
    <row r="238" spans="1:21" x14ac:dyDescent="0.25">
      <c r="A238" t="s">
        <v>597</v>
      </c>
      <c r="B238" t="s">
        <v>598</v>
      </c>
      <c r="C238" t="s">
        <v>43</v>
      </c>
      <c r="D238" t="s">
        <v>44</v>
      </c>
      <c r="E238" t="s">
        <v>599</v>
      </c>
      <c r="F238" t="str">
        <f t="shared" si="3"/>
        <v>2018-05-20</v>
      </c>
      <c r="G238">
        <v>53.8</v>
      </c>
      <c r="H238" t="str">
        <f>"2015-08-12"</f>
        <v>2015-08-12</v>
      </c>
      <c r="I238" t="s">
        <v>26</v>
      </c>
      <c r="J238" t="str">
        <f>"2015-07-19"</f>
        <v>2015-07-19</v>
      </c>
      <c r="K238" t="s">
        <v>27</v>
      </c>
      <c r="L238">
        <v>2.3563858</v>
      </c>
      <c r="M238">
        <v>237</v>
      </c>
      <c r="N238" s="1">
        <v>0.97499999999999998</v>
      </c>
      <c r="O238" s="1">
        <v>1.1383000000000001</v>
      </c>
      <c r="P238" s="1">
        <v>0</v>
      </c>
      <c r="Q238" s="1">
        <v>1.1299999999999999E-2</v>
      </c>
      <c r="R238" s="1">
        <v>2.5700000000000001E-2</v>
      </c>
      <c r="S238" s="1">
        <v>4.4699999999999997E-2</v>
      </c>
      <c r="T238" s="1">
        <v>6.8500000000000005E-2</v>
      </c>
      <c r="U238" s="1">
        <v>0.21579999999999999</v>
      </c>
    </row>
    <row r="239" spans="1:21" x14ac:dyDescent="0.25">
      <c r="A239" t="s">
        <v>600</v>
      </c>
      <c r="B239" t="s">
        <v>601</v>
      </c>
      <c r="C239" t="s">
        <v>114</v>
      </c>
      <c r="D239" t="s">
        <v>115</v>
      </c>
      <c r="E239" t="s">
        <v>116</v>
      </c>
      <c r="F239" t="str">
        <f t="shared" si="3"/>
        <v>2018-05-20</v>
      </c>
      <c r="G239">
        <v>118.9</v>
      </c>
      <c r="H239" t="str">
        <f>"2017-10-25"</f>
        <v>2017-10-25</v>
      </c>
      <c r="I239" t="s">
        <v>26</v>
      </c>
      <c r="J239" t="str">
        <f>"2017-10-11"</f>
        <v>2017-10-11</v>
      </c>
      <c r="K239" t="s">
        <v>27</v>
      </c>
      <c r="L239">
        <v>2.3554558999999999</v>
      </c>
      <c r="M239">
        <v>238</v>
      </c>
      <c r="N239" s="1">
        <v>0.73070000000000002</v>
      </c>
      <c r="O239" s="1">
        <v>1.1327</v>
      </c>
      <c r="P239" s="1">
        <v>0</v>
      </c>
      <c r="Q239" s="1">
        <v>5.4999999999999997E-3</v>
      </c>
      <c r="R239" s="1">
        <v>5.3100000000000001E-2</v>
      </c>
      <c r="S239" s="1">
        <v>0.24179999999999999</v>
      </c>
      <c r="T239" s="1">
        <v>0.54020000000000001</v>
      </c>
      <c r="U239" s="1">
        <v>0.85060000000000002</v>
      </c>
    </row>
    <row r="240" spans="1:21" x14ac:dyDescent="0.25">
      <c r="A240" t="s">
        <v>602</v>
      </c>
      <c r="B240" t="s">
        <v>603</v>
      </c>
      <c r="C240" t="s">
        <v>30</v>
      </c>
      <c r="D240" t="s">
        <v>77</v>
      </c>
      <c r="E240" t="s">
        <v>78</v>
      </c>
      <c r="F240" t="str">
        <f t="shared" si="3"/>
        <v>2018-05-20</v>
      </c>
      <c r="G240">
        <v>18.36</v>
      </c>
      <c r="H240" t="str">
        <f>"2016-07-21"</f>
        <v>2016-07-21</v>
      </c>
      <c r="I240" t="s">
        <v>26</v>
      </c>
      <c r="J240" t="str">
        <f>"2016-05-10"</f>
        <v>2016-05-10</v>
      </c>
      <c r="K240" t="s">
        <v>27</v>
      </c>
      <c r="L240">
        <v>2.3554007000000001</v>
      </c>
      <c r="M240">
        <v>239</v>
      </c>
      <c r="N240" s="1">
        <v>0.53</v>
      </c>
      <c r="O240" s="1">
        <v>1.1324000000000001</v>
      </c>
      <c r="P240" s="1">
        <v>-8.9700000000000002E-2</v>
      </c>
      <c r="Q240" s="1">
        <v>1.1000000000000001E-3</v>
      </c>
      <c r="R240" s="1">
        <v>2.63E-2</v>
      </c>
      <c r="S240" s="1">
        <v>2.2800000000000001E-2</v>
      </c>
      <c r="T240" s="1">
        <v>5.6399999999999999E-2</v>
      </c>
      <c r="U240" s="1">
        <v>4.02E-2</v>
      </c>
    </row>
    <row r="241" spans="1:21" x14ac:dyDescent="0.25">
      <c r="A241" t="s">
        <v>604</v>
      </c>
      <c r="B241" t="s">
        <v>605</v>
      </c>
      <c r="C241" t="s">
        <v>114</v>
      </c>
      <c r="D241" t="s">
        <v>225</v>
      </c>
      <c r="E241" t="s">
        <v>226</v>
      </c>
      <c r="F241" t="str">
        <f t="shared" si="3"/>
        <v>2018-05-20</v>
      </c>
      <c r="G241">
        <v>40.950000000000003</v>
      </c>
      <c r="H241" t="str">
        <f>"2016-12-04"</f>
        <v>2016-12-04</v>
      </c>
      <c r="I241" t="s">
        <v>26</v>
      </c>
      <c r="J241" t="str">
        <f>"2016-11-14"</f>
        <v>2016-11-14</v>
      </c>
      <c r="K241" t="s">
        <v>27</v>
      </c>
      <c r="L241">
        <v>2.3541774800000002</v>
      </c>
      <c r="M241">
        <v>240</v>
      </c>
      <c r="N241" s="1">
        <v>0.4496</v>
      </c>
      <c r="O241" s="1">
        <v>1.1251</v>
      </c>
      <c r="P241" s="1">
        <v>0</v>
      </c>
      <c r="Q241" s="1">
        <v>3.7000000000000002E-3</v>
      </c>
      <c r="R241" s="1">
        <v>3.9300000000000002E-2</v>
      </c>
      <c r="S241" s="1">
        <v>5.9499999999999997E-2</v>
      </c>
      <c r="T241" s="1">
        <v>0.28170000000000001</v>
      </c>
      <c r="U241" s="1">
        <v>0.83630000000000004</v>
      </c>
    </row>
    <row r="242" spans="1:21" x14ac:dyDescent="0.25">
      <c r="A242" t="s">
        <v>606</v>
      </c>
      <c r="B242" t="s">
        <v>607</v>
      </c>
      <c r="C242" t="s">
        <v>23</v>
      </c>
      <c r="D242" t="s">
        <v>52</v>
      </c>
      <c r="E242" t="s">
        <v>53</v>
      </c>
      <c r="F242" t="str">
        <f t="shared" si="3"/>
        <v>2018-05-20</v>
      </c>
      <c r="G242">
        <v>7.56</v>
      </c>
      <c r="H242" t="str">
        <f>"2018-01-04"</f>
        <v>2018-01-04</v>
      </c>
      <c r="I242" t="s">
        <v>26</v>
      </c>
      <c r="J242" t="str">
        <f>"2017-12-04"</f>
        <v>2017-12-04</v>
      </c>
      <c r="K242" t="s">
        <v>27</v>
      </c>
      <c r="L242">
        <v>2.3539325799999999</v>
      </c>
      <c r="M242">
        <v>241</v>
      </c>
      <c r="N242" s="1">
        <v>0.5242</v>
      </c>
      <c r="O242" s="1">
        <v>1.1235999999999999</v>
      </c>
      <c r="P242" s="1">
        <v>-5.62E-2</v>
      </c>
      <c r="Q242" s="1">
        <v>-5.62E-2</v>
      </c>
      <c r="R242" s="1">
        <v>0.16489999999999999</v>
      </c>
      <c r="S242" s="1">
        <v>0.29670000000000002</v>
      </c>
      <c r="T242" s="1">
        <v>0.58160000000000001</v>
      </c>
      <c r="U242" s="1">
        <v>0.80430000000000001</v>
      </c>
    </row>
    <row r="243" spans="1:21" x14ac:dyDescent="0.25">
      <c r="A243" t="s">
        <v>608</v>
      </c>
      <c r="B243" t="s">
        <v>609</v>
      </c>
      <c r="C243" t="s">
        <v>37</v>
      </c>
      <c r="D243" t="s">
        <v>66</v>
      </c>
      <c r="E243" t="s">
        <v>67</v>
      </c>
      <c r="F243" t="str">
        <f t="shared" si="3"/>
        <v>2018-05-20</v>
      </c>
      <c r="G243">
        <v>48.2</v>
      </c>
      <c r="H243" t="str">
        <f>"2017-07-09"</f>
        <v>2017-07-09</v>
      </c>
      <c r="I243" t="s">
        <v>26</v>
      </c>
      <c r="J243" t="str">
        <f>"2017-06-04"</f>
        <v>2017-06-04</v>
      </c>
      <c r="K243" t="s">
        <v>27</v>
      </c>
      <c r="L243">
        <v>2.3538913400000001</v>
      </c>
      <c r="M243">
        <v>242</v>
      </c>
      <c r="N243" s="1">
        <v>0.70469999999999999</v>
      </c>
      <c r="O243" s="1">
        <v>1.1233</v>
      </c>
      <c r="P243" s="1">
        <v>-2.0299999999999999E-2</v>
      </c>
      <c r="Q243" s="1">
        <v>-7.1999999999999998E-3</v>
      </c>
      <c r="R243" s="1">
        <v>3.2099999999999997E-2</v>
      </c>
      <c r="S243" s="1">
        <v>0.28360000000000002</v>
      </c>
      <c r="T243" s="1">
        <v>0.77210000000000001</v>
      </c>
      <c r="U243" s="1">
        <v>1.1140000000000001</v>
      </c>
    </row>
    <row r="244" spans="1:21" x14ac:dyDescent="0.25">
      <c r="A244" t="s">
        <v>610</v>
      </c>
      <c r="B244" t="s">
        <v>611</v>
      </c>
      <c r="C244" t="s">
        <v>30</v>
      </c>
      <c r="D244" t="s">
        <v>31</v>
      </c>
      <c r="E244" t="s">
        <v>31</v>
      </c>
      <c r="F244" t="str">
        <f t="shared" si="3"/>
        <v>2018-05-20</v>
      </c>
      <c r="G244">
        <v>44.5</v>
      </c>
      <c r="H244" t="str">
        <f>"2015-05-27"</f>
        <v>2015-05-27</v>
      </c>
      <c r="I244" t="s">
        <v>26</v>
      </c>
      <c r="J244" t="str">
        <f>"2015-01-29"</f>
        <v>2015-01-29</v>
      </c>
      <c r="K244" t="s">
        <v>40</v>
      </c>
      <c r="L244">
        <v>2.3530064999999998</v>
      </c>
      <c r="M244">
        <v>243</v>
      </c>
      <c r="N244" s="1">
        <v>0.99109999999999998</v>
      </c>
      <c r="O244" s="1">
        <v>1.1180000000000001</v>
      </c>
      <c r="P244" s="1">
        <v>-3.8E-3</v>
      </c>
      <c r="Q244" s="1">
        <v>-6.9999999999999999E-4</v>
      </c>
      <c r="R244" s="1">
        <v>7.9000000000000008E-3</v>
      </c>
      <c r="S244" s="1">
        <v>7.0000000000000001E-3</v>
      </c>
      <c r="T244" s="1">
        <v>6.3600000000000004E-2</v>
      </c>
      <c r="U244" s="1">
        <v>0.2787</v>
      </c>
    </row>
    <row r="245" spans="1:21" x14ac:dyDescent="0.25">
      <c r="A245" t="s">
        <v>612</v>
      </c>
      <c r="B245" t="s">
        <v>613</v>
      </c>
      <c r="C245" t="s">
        <v>43</v>
      </c>
      <c r="D245" t="s">
        <v>193</v>
      </c>
      <c r="E245" t="s">
        <v>239</v>
      </c>
      <c r="F245" t="str">
        <f t="shared" si="3"/>
        <v>2018-05-20</v>
      </c>
      <c r="G245">
        <v>20.2</v>
      </c>
      <c r="H245" t="str">
        <f>"2017-01-10"</f>
        <v>2017-01-10</v>
      </c>
      <c r="I245" t="s">
        <v>26</v>
      </c>
      <c r="J245" t="str">
        <f>"2016-10-17"</f>
        <v>2016-10-17</v>
      </c>
      <c r="K245" t="s">
        <v>40</v>
      </c>
      <c r="L245">
        <v>2.3525305400000001</v>
      </c>
      <c r="M245">
        <v>244</v>
      </c>
      <c r="N245" s="1">
        <v>0.79559999999999997</v>
      </c>
      <c r="O245" s="1">
        <v>1.1152</v>
      </c>
      <c r="P245" s="1">
        <v>-9.7999999999999997E-3</v>
      </c>
      <c r="Q245" s="1">
        <v>-9.7999999999999997E-3</v>
      </c>
      <c r="R245" s="1">
        <v>8.8900000000000007E-2</v>
      </c>
      <c r="S245" s="1">
        <v>0.1129</v>
      </c>
      <c r="T245" s="1">
        <v>0.1285</v>
      </c>
      <c r="U245" s="1">
        <v>0.75649999999999995</v>
      </c>
    </row>
    <row r="246" spans="1:21" x14ac:dyDescent="0.25">
      <c r="A246" t="s">
        <v>614</v>
      </c>
      <c r="B246" t="s">
        <v>615</v>
      </c>
      <c r="C246" t="s">
        <v>37</v>
      </c>
      <c r="D246" t="s">
        <v>38</v>
      </c>
      <c r="E246" t="s">
        <v>97</v>
      </c>
      <c r="F246" t="str">
        <f t="shared" si="3"/>
        <v>2018-05-20</v>
      </c>
      <c r="G246">
        <v>31.3</v>
      </c>
      <c r="H246" t="str">
        <f>"2017-11-19"</f>
        <v>2017-11-19</v>
      </c>
      <c r="I246" t="s">
        <v>26</v>
      </c>
      <c r="J246" t="str">
        <f>"2017-10-26"</f>
        <v>2017-10-26</v>
      </c>
      <c r="K246" t="s">
        <v>40</v>
      </c>
      <c r="L246">
        <v>2.3524774800000001</v>
      </c>
      <c r="M246">
        <v>245</v>
      </c>
      <c r="N246" s="1">
        <v>0.96240000000000003</v>
      </c>
      <c r="O246" s="1">
        <v>1.1149</v>
      </c>
      <c r="P246" s="1">
        <v>-6.1499999999999999E-2</v>
      </c>
      <c r="Q246" s="1">
        <v>-4.1300000000000003E-2</v>
      </c>
      <c r="R246" s="1">
        <v>-3.5400000000000001E-2</v>
      </c>
      <c r="S246" s="1">
        <v>2.4500000000000001E-2</v>
      </c>
      <c r="T246" s="1">
        <v>0.38190000000000002</v>
      </c>
      <c r="U246" s="1">
        <v>1.2041999999999999</v>
      </c>
    </row>
    <row r="247" spans="1:21" x14ac:dyDescent="0.25">
      <c r="A247" t="s">
        <v>616</v>
      </c>
      <c r="B247" t="s">
        <v>617</v>
      </c>
      <c r="C247" t="s">
        <v>23</v>
      </c>
      <c r="D247" t="s">
        <v>52</v>
      </c>
      <c r="E247" t="s">
        <v>190</v>
      </c>
      <c r="F247" t="str">
        <f t="shared" si="3"/>
        <v>2018-05-20</v>
      </c>
      <c r="G247">
        <v>44.65</v>
      </c>
      <c r="H247" t="str">
        <f>"2018-01-25"</f>
        <v>2018-01-25</v>
      </c>
      <c r="I247" t="s">
        <v>26</v>
      </c>
      <c r="J247" t="str">
        <f>"2017-12-07"</f>
        <v>2017-12-07</v>
      </c>
      <c r="K247" t="s">
        <v>27</v>
      </c>
      <c r="L247">
        <v>2.3518518500000001</v>
      </c>
      <c r="M247">
        <v>246</v>
      </c>
      <c r="N247" s="1">
        <v>0.21990000000000001</v>
      </c>
      <c r="O247" s="1">
        <v>1.1111</v>
      </c>
      <c r="P247" s="1">
        <v>-2.3E-2</v>
      </c>
      <c r="Q247" s="1">
        <v>6.7999999999999996E-3</v>
      </c>
      <c r="R247" s="1">
        <v>1.9400000000000001E-2</v>
      </c>
      <c r="S247" s="1">
        <v>6.0600000000000001E-2</v>
      </c>
      <c r="T247" s="1">
        <v>0.12470000000000001</v>
      </c>
      <c r="U247" s="1">
        <v>-3.04E-2</v>
      </c>
    </row>
    <row r="248" spans="1:21" x14ac:dyDescent="0.25">
      <c r="A248" t="s">
        <v>618</v>
      </c>
      <c r="B248" t="s">
        <v>619</v>
      </c>
      <c r="C248" t="s">
        <v>30</v>
      </c>
      <c r="D248" t="s">
        <v>31</v>
      </c>
      <c r="E248" t="s">
        <v>31</v>
      </c>
      <c r="F248" t="str">
        <f t="shared" si="3"/>
        <v>2018-05-20</v>
      </c>
      <c r="G248">
        <v>60.3</v>
      </c>
      <c r="H248" t="str">
        <f>"2016-05-04"</f>
        <v>2016-05-04</v>
      </c>
      <c r="I248" t="s">
        <v>26</v>
      </c>
      <c r="J248" t="str">
        <f>"2016-02-10"</f>
        <v>2016-02-10</v>
      </c>
      <c r="K248" t="s">
        <v>40</v>
      </c>
      <c r="L248">
        <v>2.3500522500000001</v>
      </c>
      <c r="M248">
        <v>247</v>
      </c>
      <c r="N248" s="1">
        <v>0.74380000000000002</v>
      </c>
      <c r="O248" s="1">
        <v>1.1003000000000001</v>
      </c>
      <c r="P248" s="1">
        <v>-7.4000000000000003E-3</v>
      </c>
      <c r="Q248" s="1">
        <v>-7.4000000000000003E-3</v>
      </c>
      <c r="R248" s="1">
        <v>1.34E-2</v>
      </c>
      <c r="S248" s="1">
        <v>3.5200000000000002E-2</v>
      </c>
      <c r="T248" s="1">
        <v>7.8700000000000006E-2</v>
      </c>
      <c r="U248" s="1">
        <v>0.30099999999999999</v>
      </c>
    </row>
    <row r="249" spans="1:21" x14ac:dyDescent="0.25">
      <c r="A249" t="s">
        <v>620</v>
      </c>
      <c r="B249" t="s">
        <v>621</v>
      </c>
      <c r="C249" t="s">
        <v>43</v>
      </c>
      <c r="D249" t="s">
        <v>44</v>
      </c>
      <c r="E249" t="s">
        <v>320</v>
      </c>
      <c r="F249" t="str">
        <f t="shared" si="3"/>
        <v>2018-05-20</v>
      </c>
      <c r="G249">
        <v>20.149999999999999</v>
      </c>
      <c r="H249" t="str">
        <f>"2016-04-19"</f>
        <v>2016-04-19</v>
      </c>
      <c r="I249" t="s">
        <v>26</v>
      </c>
      <c r="J249" t="str">
        <f>"2016-01-11"</f>
        <v>2016-01-11</v>
      </c>
      <c r="K249" t="s">
        <v>40</v>
      </c>
      <c r="L249">
        <v>2.34982639</v>
      </c>
      <c r="M249">
        <v>248</v>
      </c>
      <c r="N249" s="1">
        <v>0.96589999999999998</v>
      </c>
      <c r="O249" s="1">
        <v>1.099</v>
      </c>
      <c r="P249" s="1">
        <v>0</v>
      </c>
      <c r="Q249" s="1">
        <v>7.4999999999999997E-3</v>
      </c>
      <c r="R249" s="1">
        <v>3.5999999999999997E-2</v>
      </c>
      <c r="S249" s="1">
        <v>7.7499999999999999E-2</v>
      </c>
      <c r="T249" s="1">
        <v>8.9200000000000002E-2</v>
      </c>
      <c r="U249" s="1">
        <v>0.33439999999999998</v>
      </c>
    </row>
    <row r="250" spans="1:21" x14ac:dyDescent="0.25">
      <c r="A250" t="s">
        <v>622</v>
      </c>
      <c r="B250" t="s">
        <v>623</v>
      </c>
      <c r="C250" t="s">
        <v>30</v>
      </c>
      <c r="D250" t="s">
        <v>31</v>
      </c>
      <c r="E250" t="s">
        <v>31</v>
      </c>
      <c r="F250" t="str">
        <f t="shared" si="3"/>
        <v>2018-05-20</v>
      </c>
      <c r="G250">
        <v>10.49</v>
      </c>
      <c r="H250" t="str">
        <f>"2015-11-22"</f>
        <v>2015-11-22</v>
      </c>
      <c r="I250" t="s">
        <v>26</v>
      </c>
      <c r="J250" t="str">
        <f>"2015-10-22"</f>
        <v>2015-10-22</v>
      </c>
      <c r="K250" t="s">
        <v>27</v>
      </c>
      <c r="L250">
        <v>2.34966667</v>
      </c>
      <c r="M250">
        <v>249</v>
      </c>
      <c r="N250" s="1">
        <v>0.79320000000000002</v>
      </c>
      <c r="O250" s="1">
        <v>1.0980000000000001</v>
      </c>
      <c r="P250" s="1">
        <v>-8.5000000000000006E-3</v>
      </c>
      <c r="Q250" s="1">
        <v>1E-3</v>
      </c>
      <c r="R250" s="1">
        <v>2.5399999999999999E-2</v>
      </c>
      <c r="S250" s="1">
        <v>-5.7000000000000002E-3</v>
      </c>
      <c r="T250" s="1">
        <v>7.1499999999999994E-2</v>
      </c>
      <c r="U250" s="1">
        <v>0.29830000000000001</v>
      </c>
    </row>
    <row r="251" spans="1:21" x14ac:dyDescent="0.25">
      <c r="A251" t="s">
        <v>624</v>
      </c>
      <c r="B251" t="s">
        <v>625</v>
      </c>
      <c r="C251" t="s">
        <v>37</v>
      </c>
      <c r="D251" t="s">
        <v>38</v>
      </c>
      <c r="E251" t="s">
        <v>39</v>
      </c>
      <c r="F251" t="str">
        <f t="shared" si="3"/>
        <v>2018-05-20</v>
      </c>
      <c r="G251">
        <v>51.6</v>
      </c>
      <c r="H251" t="str">
        <f>"2017-02-28"</f>
        <v>2017-02-28</v>
      </c>
      <c r="I251" t="s">
        <v>26</v>
      </c>
      <c r="J251" t="str">
        <f>"2016-12-20"</f>
        <v>2016-12-20</v>
      </c>
      <c r="K251" t="s">
        <v>27</v>
      </c>
      <c r="L251">
        <v>2.3495935000000001</v>
      </c>
      <c r="M251">
        <v>250</v>
      </c>
      <c r="N251" s="1">
        <v>0.64439999999999997</v>
      </c>
      <c r="O251" s="1">
        <v>1.0975999999999999</v>
      </c>
      <c r="P251" s="1">
        <v>-6.3200000000000006E-2</v>
      </c>
      <c r="Q251" s="1">
        <v>-7.7000000000000002E-3</v>
      </c>
      <c r="R251" s="1">
        <v>1.18E-2</v>
      </c>
      <c r="S251" s="1">
        <v>-5.4600000000000003E-2</v>
      </c>
      <c r="T251" s="1">
        <v>3.95E-2</v>
      </c>
      <c r="U251" s="1">
        <v>0.748</v>
      </c>
    </row>
    <row r="252" spans="1:21" x14ac:dyDescent="0.25">
      <c r="A252" t="s">
        <v>626</v>
      </c>
      <c r="B252" t="s">
        <v>627</v>
      </c>
      <c r="C252" t="s">
        <v>23</v>
      </c>
      <c r="D252" t="s">
        <v>24</v>
      </c>
      <c r="E252" t="s">
        <v>628</v>
      </c>
      <c r="F252" t="str">
        <f t="shared" si="3"/>
        <v>2018-05-20</v>
      </c>
      <c r="G252">
        <v>20.95</v>
      </c>
      <c r="H252" t="str">
        <f>"2016-12-18"</f>
        <v>2016-12-18</v>
      </c>
      <c r="I252" t="s">
        <v>26</v>
      </c>
      <c r="J252" t="str">
        <f>"2016-11-22"</f>
        <v>2016-11-22</v>
      </c>
      <c r="K252" t="s">
        <v>27</v>
      </c>
      <c r="L252">
        <v>2.3495161800000002</v>
      </c>
      <c r="M252">
        <v>251</v>
      </c>
      <c r="N252" s="1">
        <v>0.50719999999999998</v>
      </c>
      <c r="O252" s="1">
        <v>1.0971</v>
      </c>
      <c r="P252" s="1">
        <v>0</v>
      </c>
      <c r="Q252" s="1">
        <v>5.3E-3</v>
      </c>
      <c r="R252" s="1">
        <v>2.7E-2</v>
      </c>
      <c r="S252" s="1">
        <v>7.1099999999999997E-2</v>
      </c>
      <c r="T252" s="1">
        <v>0.10440000000000001</v>
      </c>
      <c r="U252" s="1">
        <v>0.49430000000000002</v>
      </c>
    </row>
    <row r="253" spans="1:21" x14ac:dyDescent="0.25">
      <c r="A253" t="s">
        <v>629</v>
      </c>
      <c r="B253" t="s">
        <v>630</v>
      </c>
      <c r="C253" t="s">
        <v>30</v>
      </c>
      <c r="D253" t="s">
        <v>31</v>
      </c>
      <c r="E253" t="s">
        <v>31</v>
      </c>
      <c r="F253" t="str">
        <f t="shared" si="3"/>
        <v>2018-05-20</v>
      </c>
      <c r="G253">
        <v>53.74</v>
      </c>
      <c r="H253" t="str">
        <f>"2014-11-26"</f>
        <v>2014-11-26</v>
      </c>
      <c r="I253" t="s">
        <v>26</v>
      </c>
      <c r="J253" t="str">
        <f>"2014-10-28"</f>
        <v>2014-10-28</v>
      </c>
      <c r="K253" t="s">
        <v>27</v>
      </c>
      <c r="L253">
        <v>2.3482620500000002</v>
      </c>
      <c r="M253">
        <v>252</v>
      </c>
      <c r="N253" s="1">
        <v>0.89290000000000003</v>
      </c>
      <c r="O253" s="1">
        <v>1.0895999999999999</v>
      </c>
      <c r="P253" s="1">
        <v>-2.3999999999999998E-3</v>
      </c>
      <c r="Q253" s="1">
        <v>7.9000000000000008E-3</v>
      </c>
      <c r="R253" s="1">
        <v>2.4E-2</v>
      </c>
      <c r="S253" s="1">
        <v>4.1000000000000003E-3</v>
      </c>
      <c r="T253" s="1">
        <v>4.7600000000000003E-2</v>
      </c>
      <c r="U253" s="1">
        <v>0.16470000000000001</v>
      </c>
    </row>
    <row r="254" spans="1:21" x14ac:dyDescent="0.25">
      <c r="A254" t="s">
        <v>631</v>
      </c>
      <c r="B254" t="s">
        <v>632</v>
      </c>
      <c r="C254" t="s">
        <v>37</v>
      </c>
      <c r="D254" t="s">
        <v>66</v>
      </c>
      <c r="E254" t="s">
        <v>67</v>
      </c>
      <c r="F254" t="str">
        <f t="shared" si="3"/>
        <v>2018-05-20</v>
      </c>
      <c r="G254">
        <v>75.209999999999994</v>
      </c>
      <c r="H254" t="str">
        <f>"2016-07-26"</f>
        <v>2016-07-26</v>
      </c>
      <c r="I254" t="s">
        <v>26</v>
      </c>
      <c r="J254" t="str">
        <f>"2016-06-23"</f>
        <v>2016-06-23</v>
      </c>
      <c r="K254" t="s">
        <v>27</v>
      </c>
      <c r="L254">
        <v>2.3478321200000001</v>
      </c>
      <c r="M254">
        <v>253</v>
      </c>
      <c r="N254" s="1">
        <v>0.82889999999999997</v>
      </c>
      <c r="O254" s="1">
        <v>1.087</v>
      </c>
      <c r="P254" s="1">
        <v>0</v>
      </c>
      <c r="Q254" s="1">
        <v>6.7999999999999996E-3</v>
      </c>
      <c r="R254" s="1">
        <v>3.1E-2</v>
      </c>
      <c r="S254" s="1">
        <v>7.6700000000000004E-2</v>
      </c>
      <c r="T254" s="1">
        <v>0.25330000000000003</v>
      </c>
      <c r="U254" s="1">
        <v>0.62209999999999999</v>
      </c>
    </row>
    <row r="255" spans="1:21" x14ac:dyDescent="0.25">
      <c r="A255" t="s">
        <v>633</v>
      </c>
      <c r="B255" t="s">
        <v>634</v>
      </c>
      <c r="C255" t="s">
        <v>30</v>
      </c>
      <c r="D255" t="s">
        <v>31</v>
      </c>
      <c r="E255" t="s">
        <v>31</v>
      </c>
      <c r="F255" t="str">
        <f t="shared" si="3"/>
        <v>2018-05-20</v>
      </c>
      <c r="G255">
        <v>33.450000000000003</v>
      </c>
      <c r="H255" t="str">
        <f>"2016-07-14"</f>
        <v>2016-07-14</v>
      </c>
      <c r="I255" t="s">
        <v>26</v>
      </c>
      <c r="J255" t="str">
        <f>"2016-04-27"</f>
        <v>2016-04-27</v>
      </c>
      <c r="K255" t="s">
        <v>27</v>
      </c>
      <c r="L255">
        <v>2.3473520200000002</v>
      </c>
      <c r="M255">
        <v>254</v>
      </c>
      <c r="N255" s="1">
        <v>0.74309999999999998</v>
      </c>
      <c r="O255" s="1">
        <v>1.0841000000000001</v>
      </c>
      <c r="P255" s="1">
        <v>0</v>
      </c>
      <c r="Q255" s="1">
        <v>8.6999999999999994E-3</v>
      </c>
      <c r="R255" s="1">
        <v>2.0799999999999999E-2</v>
      </c>
      <c r="S255" s="1">
        <v>2.0400000000000001E-2</v>
      </c>
      <c r="T255" s="1">
        <v>4.3999999999999997E-2</v>
      </c>
      <c r="U255" s="1">
        <v>0.2661</v>
      </c>
    </row>
    <row r="256" spans="1:21" x14ac:dyDescent="0.25">
      <c r="A256" t="s">
        <v>635</v>
      </c>
      <c r="B256" t="s">
        <v>636</v>
      </c>
      <c r="C256" t="s">
        <v>30</v>
      </c>
      <c r="D256" t="s">
        <v>347</v>
      </c>
      <c r="E256" t="s">
        <v>523</v>
      </c>
      <c r="F256" t="str">
        <f t="shared" si="3"/>
        <v>2018-05-20</v>
      </c>
      <c r="G256">
        <v>21.98</v>
      </c>
      <c r="H256" t="str">
        <f>"2018-01-30"</f>
        <v>2018-01-30</v>
      </c>
      <c r="I256" t="s">
        <v>26</v>
      </c>
      <c r="J256" t="str">
        <f>"2017-12-28"</f>
        <v>2017-12-28</v>
      </c>
      <c r="K256" t="s">
        <v>27</v>
      </c>
      <c r="L256">
        <v>2.3472353899999998</v>
      </c>
      <c r="M256">
        <v>255</v>
      </c>
      <c r="N256" s="1">
        <v>0.3543</v>
      </c>
      <c r="O256" s="1">
        <v>1.0833999999999999</v>
      </c>
      <c r="P256" s="1">
        <v>0</v>
      </c>
      <c r="Q256" s="1">
        <v>3.39E-2</v>
      </c>
      <c r="R256" s="1">
        <v>0.11459999999999999</v>
      </c>
      <c r="S256" s="1">
        <v>0.27639999999999998</v>
      </c>
      <c r="T256" s="1">
        <v>0.3669</v>
      </c>
      <c r="U256" s="1">
        <v>0.43469999999999998</v>
      </c>
    </row>
    <row r="257" spans="1:21" x14ac:dyDescent="0.25">
      <c r="A257" t="s">
        <v>637</v>
      </c>
      <c r="B257" t="s">
        <v>638</v>
      </c>
      <c r="C257" t="s">
        <v>30</v>
      </c>
      <c r="D257" t="s">
        <v>31</v>
      </c>
      <c r="E257" t="s">
        <v>31</v>
      </c>
      <c r="F257" t="str">
        <f t="shared" si="3"/>
        <v>2018-05-20</v>
      </c>
      <c r="G257">
        <v>30.7</v>
      </c>
      <c r="H257" t="str">
        <f>"2016-07-03"</f>
        <v>2016-07-03</v>
      </c>
      <c r="I257" t="s">
        <v>26</v>
      </c>
      <c r="J257" t="str">
        <f>"2016-05-05"</f>
        <v>2016-05-05</v>
      </c>
      <c r="K257" t="s">
        <v>27</v>
      </c>
      <c r="L257">
        <v>2.3471280000000001</v>
      </c>
      <c r="M257">
        <v>256</v>
      </c>
      <c r="N257" s="1">
        <v>0.85719999999999996</v>
      </c>
      <c r="O257" s="1">
        <v>1.0828</v>
      </c>
      <c r="P257" s="1">
        <v>0</v>
      </c>
      <c r="Q257" s="1">
        <v>6.6E-3</v>
      </c>
      <c r="R257" s="1">
        <v>5.1400000000000001E-2</v>
      </c>
      <c r="S257" s="1">
        <v>3.8899999999999997E-2</v>
      </c>
      <c r="T257" s="1">
        <v>8.1000000000000003E-2</v>
      </c>
      <c r="U257" s="1">
        <v>0.22550000000000001</v>
      </c>
    </row>
    <row r="258" spans="1:21" x14ac:dyDescent="0.25">
      <c r="A258" t="s">
        <v>639</v>
      </c>
      <c r="B258" t="s">
        <v>640</v>
      </c>
      <c r="C258" t="s">
        <v>43</v>
      </c>
      <c r="D258" t="s">
        <v>169</v>
      </c>
      <c r="E258" t="s">
        <v>641</v>
      </c>
      <c r="F258" t="str">
        <f t="shared" ref="F258:F321" si="4">"2018-05-20"</f>
        <v>2018-05-20</v>
      </c>
      <c r="G258">
        <v>28</v>
      </c>
      <c r="H258" t="str">
        <f>"2017-11-06"</f>
        <v>2017-11-06</v>
      </c>
      <c r="I258" t="s">
        <v>26</v>
      </c>
      <c r="J258" t="str">
        <f>"2017-10-15"</f>
        <v>2017-10-15</v>
      </c>
      <c r="K258" t="s">
        <v>27</v>
      </c>
      <c r="L258">
        <v>2.3469640599999999</v>
      </c>
      <c r="M258">
        <v>257</v>
      </c>
      <c r="N258" s="1">
        <v>0.1966</v>
      </c>
      <c r="O258" s="1">
        <v>1.0818000000000001</v>
      </c>
      <c r="P258" s="1">
        <v>-8.5000000000000006E-2</v>
      </c>
      <c r="Q258" s="1">
        <v>1.8200000000000001E-2</v>
      </c>
      <c r="R258" s="1">
        <v>1.0800000000000001E-2</v>
      </c>
      <c r="S258" s="1">
        <v>-4.2700000000000002E-2</v>
      </c>
      <c r="T258" s="1">
        <v>8.9999999999999993E-3</v>
      </c>
      <c r="U258" s="1">
        <v>0.48149999999999998</v>
      </c>
    </row>
    <row r="259" spans="1:21" x14ac:dyDescent="0.25">
      <c r="A259" t="s">
        <v>642</v>
      </c>
      <c r="B259" t="s">
        <v>643</v>
      </c>
      <c r="C259" t="s">
        <v>109</v>
      </c>
      <c r="D259" t="s">
        <v>110</v>
      </c>
      <c r="E259" t="s">
        <v>251</v>
      </c>
      <c r="F259" t="str">
        <f t="shared" si="4"/>
        <v>2018-05-20</v>
      </c>
      <c r="G259">
        <v>125.73</v>
      </c>
      <c r="H259" t="str">
        <f>"2017-03-07"</f>
        <v>2017-03-07</v>
      </c>
      <c r="I259" t="s">
        <v>26</v>
      </c>
      <c r="J259" t="str">
        <f>"2017-02-21"</f>
        <v>2017-02-21</v>
      </c>
      <c r="K259" t="s">
        <v>27</v>
      </c>
      <c r="L259">
        <v>2.3453931099999998</v>
      </c>
      <c r="M259">
        <v>258</v>
      </c>
      <c r="N259" s="1">
        <v>0.73229999999999995</v>
      </c>
      <c r="O259" s="1">
        <v>1.0724</v>
      </c>
      <c r="P259" s="1">
        <v>-3.0800000000000001E-2</v>
      </c>
      <c r="Q259" s="1">
        <v>-5.4000000000000003E-3</v>
      </c>
      <c r="R259" s="1">
        <v>1.1000000000000001E-3</v>
      </c>
      <c r="S259" s="1">
        <v>8.5199999999999998E-2</v>
      </c>
      <c r="T259" s="1">
        <v>8.1199999999999994E-2</v>
      </c>
      <c r="U259" s="1">
        <v>0.51649999999999996</v>
      </c>
    </row>
    <row r="260" spans="1:21" x14ac:dyDescent="0.25">
      <c r="A260" t="s">
        <v>644</v>
      </c>
      <c r="B260" t="s">
        <v>645</v>
      </c>
      <c r="C260" t="s">
        <v>114</v>
      </c>
      <c r="D260" t="s">
        <v>646</v>
      </c>
      <c r="E260" t="s">
        <v>647</v>
      </c>
      <c r="F260" t="str">
        <f t="shared" si="4"/>
        <v>2018-05-20</v>
      </c>
      <c r="G260">
        <v>31.32</v>
      </c>
      <c r="H260" t="str">
        <f>"2017-10-05"</f>
        <v>2017-10-05</v>
      </c>
      <c r="I260" t="s">
        <v>26</v>
      </c>
      <c r="J260" t="str">
        <f>"2017-09-12"</f>
        <v>2017-09-12</v>
      </c>
      <c r="K260" t="s">
        <v>27</v>
      </c>
      <c r="L260">
        <v>2.3450099099999999</v>
      </c>
      <c r="M260">
        <v>259</v>
      </c>
      <c r="N260" s="1">
        <v>0.41210000000000002</v>
      </c>
      <c r="O260" s="1">
        <v>1.0701000000000001</v>
      </c>
      <c r="P260" s="1">
        <v>-8.5000000000000006E-3</v>
      </c>
      <c r="Q260" s="1">
        <v>-5.9999999999999995E-4</v>
      </c>
      <c r="R260" s="1">
        <v>5.8099999999999999E-2</v>
      </c>
      <c r="S260" s="1">
        <v>0.1079</v>
      </c>
      <c r="T260" s="1">
        <v>0.36890000000000001</v>
      </c>
      <c r="U260" s="1">
        <v>0.91210000000000002</v>
      </c>
    </row>
    <row r="261" spans="1:21" x14ac:dyDescent="0.25">
      <c r="A261" t="s">
        <v>648</v>
      </c>
      <c r="B261" t="s">
        <v>649</v>
      </c>
      <c r="C261" t="s">
        <v>23</v>
      </c>
      <c r="D261" t="s">
        <v>24</v>
      </c>
      <c r="E261" t="s">
        <v>494</v>
      </c>
      <c r="F261" t="str">
        <f t="shared" si="4"/>
        <v>2018-05-20</v>
      </c>
      <c r="G261">
        <v>52.08</v>
      </c>
      <c r="H261" t="str">
        <f>"2017-05-01"</f>
        <v>2017-05-01</v>
      </c>
      <c r="I261" t="s">
        <v>26</v>
      </c>
      <c r="J261" t="str">
        <f>"2017-03-06"</f>
        <v>2017-03-06</v>
      </c>
      <c r="K261" t="s">
        <v>40</v>
      </c>
      <c r="L261">
        <v>2.3449920500000001</v>
      </c>
      <c r="M261">
        <v>260</v>
      </c>
      <c r="N261" s="1">
        <v>0.75060000000000004</v>
      </c>
      <c r="O261" s="1">
        <v>1.07</v>
      </c>
      <c r="P261" s="1">
        <v>-4.1599999999999998E-2</v>
      </c>
      <c r="Q261" s="1">
        <v>4.7999999999999996E-3</v>
      </c>
      <c r="R261" s="1">
        <v>2.06E-2</v>
      </c>
      <c r="S261" s="1">
        <v>3.8300000000000001E-2</v>
      </c>
      <c r="T261" s="1">
        <v>0.15970000000000001</v>
      </c>
      <c r="U261" s="1">
        <v>0.75649999999999995</v>
      </c>
    </row>
    <row r="262" spans="1:21" x14ac:dyDescent="0.25">
      <c r="A262" t="s">
        <v>650</v>
      </c>
      <c r="B262" t="s">
        <v>651</v>
      </c>
      <c r="C262" t="s">
        <v>87</v>
      </c>
      <c r="D262" t="s">
        <v>88</v>
      </c>
      <c r="E262" t="s">
        <v>89</v>
      </c>
      <c r="F262" t="str">
        <f t="shared" si="4"/>
        <v>2018-05-20</v>
      </c>
      <c r="G262">
        <v>13</v>
      </c>
      <c r="H262" t="str">
        <f>"2017-09-12"</f>
        <v>2017-09-12</v>
      </c>
      <c r="I262" t="s">
        <v>26</v>
      </c>
      <c r="J262" t="str">
        <f>"2017-03-21"</f>
        <v>2017-03-21</v>
      </c>
      <c r="K262" t="s">
        <v>40</v>
      </c>
      <c r="L262">
        <v>2.3444621099999998</v>
      </c>
      <c r="M262">
        <v>261</v>
      </c>
      <c r="N262" s="1">
        <v>0.6169</v>
      </c>
      <c r="O262" s="1">
        <v>1.0668</v>
      </c>
      <c r="P262" s="1">
        <v>0</v>
      </c>
      <c r="Q262" s="1">
        <v>1.4800000000000001E-2</v>
      </c>
      <c r="R262" s="1">
        <v>8.6999999999999994E-2</v>
      </c>
      <c r="S262" s="1">
        <v>0.15659999999999999</v>
      </c>
      <c r="T262" s="1">
        <v>0.38</v>
      </c>
      <c r="U262" s="1">
        <v>0.7833</v>
      </c>
    </row>
    <row r="263" spans="1:21" x14ac:dyDescent="0.25">
      <c r="A263" t="s">
        <v>652</v>
      </c>
      <c r="B263" t="s">
        <v>653</v>
      </c>
      <c r="C263" t="s">
        <v>30</v>
      </c>
      <c r="D263" t="s">
        <v>31</v>
      </c>
      <c r="E263" t="s">
        <v>31</v>
      </c>
      <c r="F263" t="str">
        <f t="shared" si="4"/>
        <v>2018-05-20</v>
      </c>
      <c r="G263">
        <v>46.4</v>
      </c>
      <c r="H263" t="str">
        <f>"2016-07-25"</f>
        <v>2016-07-25</v>
      </c>
      <c r="I263" t="s">
        <v>26</v>
      </c>
      <c r="J263" t="str">
        <f>"2016-06-12"</f>
        <v>2016-06-12</v>
      </c>
      <c r="K263" t="s">
        <v>27</v>
      </c>
      <c r="L263">
        <v>2.3411263</v>
      </c>
      <c r="M263">
        <v>262</v>
      </c>
      <c r="N263" s="1">
        <v>0.95040000000000002</v>
      </c>
      <c r="O263" s="1">
        <v>1.0468</v>
      </c>
      <c r="P263" s="1">
        <v>0</v>
      </c>
      <c r="Q263" s="1">
        <v>2.1999999999999999E-2</v>
      </c>
      <c r="R263" s="1">
        <v>3.2300000000000002E-2</v>
      </c>
      <c r="S263" s="1">
        <v>3.1099999999999999E-2</v>
      </c>
      <c r="T263" s="1">
        <v>4.2700000000000002E-2</v>
      </c>
      <c r="U263" s="1">
        <v>0.2291</v>
      </c>
    </row>
    <row r="264" spans="1:21" x14ac:dyDescent="0.25">
      <c r="A264" t="s">
        <v>654</v>
      </c>
      <c r="B264" t="s">
        <v>655</v>
      </c>
      <c r="C264" t="s">
        <v>43</v>
      </c>
      <c r="D264" t="s">
        <v>44</v>
      </c>
      <c r="E264" t="s">
        <v>246</v>
      </c>
      <c r="F264" t="str">
        <f t="shared" si="4"/>
        <v>2018-05-20</v>
      </c>
      <c r="G264">
        <v>21.9</v>
      </c>
      <c r="H264" t="str">
        <f>"2018-02-15"</f>
        <v>2018-02-15</v>
      </c>
      <c r="I264" t="s">
        <v>26</v>
      </c>
      <c r="J264" t="str">
        <f>"2017-12-17"</f>
        <v>2017-12-17</v>
      </c>
      <c r="K264" t="s">
        <v>27</v>
      </c>
      <c r="L264">
        <v>2.3411214999999999</v>
      </c>
      <c r="M264">
        <v>263</v>
      </c>
      <c r="N264" s="1">
        <v>0.24790000000000001</v>
      </c>
      <c r="O264" s="1">
        <v>1.0467</v>
      </c>
      <c r="P264" s="1">
        <v>0</v>
      </c>
      <c r="Q264" s="1">
        <v>5.04E-2</v>
      </c>
      <c r="R264" s="1">
        <v>7.6200000000000004E-2</v>
      </c>
      <c r="S264" s="1">
        <v>0.29199999999999998</v>
      </c>
      <c r="T264" s="1">
        <v>0.22009999999999999</v>
      </c>
      <c r="U264" s="1">
        <v>-0.1116</v>
      </c>
    </row>
    <row r="265" spans="1:21" x14ac:dyDescent="0.25">
      <c r="A265" t="s">
        <v>656</v>
      </c>
      <c r="B265" t="s">
        <v>657</v>
      </c>
      <c r="C265" t="s">
        <v>37</v>
      </c>
      <c r="D265" t="s">
        <v>66</v>
      </c>
      <c r="E265" t="s">
        <v>94</v>
      </c>
      <c r="F265" t="str">
        <f t="shared" si="4"/>
        <v>2018-05-20</v>
      </c>
      <c r="G265">
        <v>63.19</v>
      </c>
      <c r="H265" t="str">
        <f>"2016-05-05"</f>
        <v>2016-05-05</v>
      </c>
      <c r="I265" t="s">
        <v>26</v>
      </c>
      <c r="J265" t="str">
        <f>"2015-11-09"</f>
        <v>2015-11-09</v>
      </c>
      <c r="K265" t="s">
        <v>57</v>
      </c>
      <c r="L265">
        <v>2.3407203700000001</v>
      </c>
      <c r="M265">
        <v>264</v>
      </c>
      <c r="N265" s="1">
        <v>0.55069999999999997</v>
      </c>
      <c r="O265" s="1">
        <v>1.0443</v>
      </c>
      <c r="P265" s="1">
        <v>-7.7000000000000002E-3</v>
      </c>
      <c r="Q265" s="1">
        <v>4.5999999999999999E-3</v>
      </c>
      <c r="R265" s="1">
        <v>7.0000000000000001E-3</v>
      </c>
      <c r="S265" s="1">
        <v>9.2899999999999996E-2</v>
      </c>
      <c r="T265" s="1">
        <v>0.17849999999999999</v>
      </c>
      <c r="U265" s="1">
        <v>0.36070000000000002</v>
      </c>
    </row>
    <row r="266" spans="1:21" x14ac:dyDescent="0.25">
      <c r="A266" t="s">
        <v>658</v>
      </c>
      <c r="B266" t="s">
        <v>659</v>
      </c>
      <c r="C266" t="s">
        <v>30</v>
      </c>
      <c r="D266" t="s">
        <v>31</v>
      </c>
      <c r="E266" t="s">
        <v>31</v>
      </c>
      <c r="F266" t="str">
        <f t="shared" si="4"/>
        <v>2018-05-20</v>
      </c>
      <c r="G266">
        <v>15.875</v>
      </c>
      <c r="H266" t="str">
        <f>"2016-01-04"</f>
        <v>2016-01-04</v>
      </c>
      <c r="I266" t="s">
        <v>26</v>
      </c>
      <c r="J266" t="str">
        <f>"2015-12-07"</f>
        <v>2015-12-07</v>
      </c>
      <c r="K266" t="s">
        <v>40</v>
      </c>
      <c r="L266">
        <v>2.3405190899999999</v>
      </c>
      <c r="M266">
        <v>265</v>
      </c>
      <c r="N266" s="1">
        <v>0.81430000000000002</v>
      </c>
      <c r="O266" s="1">
        <v>1.0430999999999999</v>
      </c>
      <c r="P266" s="1">
        <v>-1.6000000000000001E-3</v>
      </c>
      <c r="Q266" s="1">
        <v>4.7000000000000002E-3</v>
      </c>
      <c r="R266" s="1">
        <v>2.4199999999999999E-2</v>
      </c>
      <c r="S266" s="1">
        <v>5.8299999999999998E-2</v>
      </c>
      <c r="T266" s="1">
        <v>0.114</v>
      </c>
      <c r="U266" s="1">
        <v>0.16300000000000001</v>
      </c>
    </row>
    <row r="267" spans="1:21" x14ac:dyDescent="0.25">
      <c r="A267" t="s">
        <v>660</v>
      </c>
      <c r="B267" t="s">
        <v>661</v>
      </c>
      <c r="C267" t="s">
        <v>114</v>
      </c>
      <c r="D267" t="s">
        <v>225</v>
      </c>
      <c r="E267" t="s">
        <v>226</v>
      </c>
      <c r="F267" t="str">
        <f t="shared" si="4"/>
        <v>2018-05-20</v>
      </c>
      <c r="G267">
        <v>38.659999999999997</v>
      </c>
      <c r="H267" t="str">
        <f>"2017-09-05"</f>
        <v>2017-09-05</v>
      </c>
      <c r="I267" t="s">
        <v>26</v>
      </c>
      <c r="J267" t="str">
        <f>"2017-06-28"</f>
        <v>2017-06-28</v>
      </c>
      <c r="K267" t="s">
        <v>27</v>
      </c>
      <c r="L267">
        <v>2.3403768299999999</v>
      </c>
      <c r="M267">
        <v>266</v>
      </c>
      <c r="N267" s="1">
        <v>0.40379999999999999</v>
      </c>
      <c r="O267" s="1">
        <v>1.0423</v>
      </c>
      <c r="P267" s="1">
        <v>-4.5400000000000003E-2</v>
      </c>
      <c r="Q267" s="1">
        <v>-3.5999999999999999E-3</v>
      </c>
      <c r="R267" s="1">
        <v>3.2000000000000001E-2</v>
      </c>
      <c r="S267" s="1">
        <v>0.10299999999999999</v>
      </c>
      <c r="T267" s="1">
        <v>3.0700000000000002E-2</v>
      </c>
      <c r="U267" s="1">
        <v>0.93589999999999995</v>
      </c>
    </row>
    <row r="268" spans="1:21" x14ac:dyDescent="0.25">
      <c r="A268" t="s">
        <v>662</v>
      </c>
      <c r="B268" t="s">
        <v>663</v>
      </c>
      <c r="C268" t="s">
        <v>87</v>
      </c>
      <c r="D268" t="s">
        <v>664</v>
      </c>
      <c r="E268" t="s">
        <v>665</v>
      </c>
      <c r="F268" t="str">
        <f t="shared" si="4"/>
        <v>2018-05-20</v>
      </c>
      <c r="G268">
        <v>27.05</v>
      </c>
      <c r="H268" t="str">
        <f>"2017-08-09"</f>
        <v>2017-08-09</v>
      </c>
      <c r="I268" t="s">
        <v>26</v>
      </c>
      <c r="J268" t="str">
        <f>"2016-07-24"</f>
        <v>2016-07-24</v>
      </c>
      <c r="K268" t="s">
        <v>34</v>
      </c>
      <c r="L268">
        <v>2.3402515699999999</v>
      </c>
      <c r="M268">
        <v>267</v>
      </c>
      <c r="N268" s="1">
        <v>0.26400000000000001</v>
      </c>
      <c r="O268" s="1">
        <v>1.0415000000000001</v>
      </c>
      <c r="P268" s="1">
        <v>-2.7699999999999999E-2</v>
      </c>
      <c r="Q268" s="1">
        <v>2.6200000000000001E-2</v>
      </c>
      <c r="R268" s="1">
        <v>2.1499999999999998E-2</v>
      </c>
      <c r="S268" s="1">
        <v>0.19109999999999999</v>
      </c>
      <c r="T268" s="1">
        <v>0.32269999999999999</v>
      </c>
      <c r="U268" s="1">
        <v>0.67910000000000004</v>
      </c>
    </row>
    <row r="269" spans="1:21" x14ac:dyDescent="0.25">
      <c r="A269" t="s">
        <v>666</v>
      </c>
      <c r="B269" t="s">
        <v>667</v>
      </c>
      <c r="C269" t="s">
        <v>30</v>
      </c>
      <c r="D269" t="s">
        <v>31</v>
      </c>
      <c r="E269" t="s">
        <v>31</v>
      </c>
      <c r="F269" t="str">
        <f t="shared" si="4"/>
        <v>2018-05-20</v>
      </c>
      <c r="G269">
        <v>20.3</v>
      </c>
      <c r="H269" t="str">
        <f>"2016-07-18"</f>
        <v>2016-07-18</v>
      </c>
      <c r="I269" t="s">
        <v>26</v>
      </c>
      <c r="J269" t="str">
        <f>"2016-04-21"</f>
        <v>2016-04-21</v>
      </c>
      <c r="K269" t="s">
        <v>27</v>
      </c>
      <c r="L269">
        <v>2.3400335000000001</v>
      </c>
      <c r="M269">
        <v>268</v>
      </c>
      <c r="N269" s="1">
        <v>0.71889999999999998</v>
      </c>
      <c r="O269" s="1">
        <v>1.0402</v>
      </c>
      <c r="P269" s="1">
        <v>-6.2399999999999997E-2</v>
      </c>
      <c r="Q269" s="1">
        <v>1.2500000000000001E-2</v>
      </c>
      <c r="R269" s="1">
        <v>3.0499999999999999E-2</v>
      </c>
      <c r="S269" s="1">
        <v>1.4999999999999999E-2</v>
      </c>
      <c r="T269" s="1">
        <v>2.2700000000000001E-2</v>
      </c>
      <c r="U269" s="1">
        <v>7.6899999999999996E-2</v>
      </c>
    </row>
    <row r="270" spans="1:21" x14ac:dyDescent="0.25">
      <c r="A270" t="s">
        <v>668</v>
      </c>
      <c r="B270" t="s">
        <v>669</v>
      </c>
      <c r="C270" t="s">
        <v>37</v>
      </c>
      <c r="D270" t="s">
        <v>66</v>
      </c>
      <c r="E270" t="s">
        <v>72</v>
      </c>
      <c r="F270" t="str">
        <f t="shared" si="4"/>
        <v>2018-05-20</v>
      </c>
      <c r="G270">
        <v>5.87</v>
      </c>
      <c r="H270" t="str">
        <f>"2018-03-14"</f>
        <v>2018-03-14</v>
      </c>
      <c r="I270" t="s">
        <v>26</v>
      </c>
      <c r="J270" t="str">
        <f>"2018-03-05"</f>
        <v>2018-03-05</v>
      </c>
      <c r="K270" t="s">
        <v>27</v>
      </c>
      <c r="L270">
        <v>2.33969907</v>
      </c>
      <c r="M270">
        <v>269</v>
      </c>
      <c r="N270" s="1">
        <v>1.5599999999999999E-2</v>
      </c>
      <c r="O270" s="1">
        <v>1.0382</v>
      </c>
      <c r="P270" s="1">
        <v>-6.6799999999999998E-2</v>
      </c>
      <c r="Q270" s="1">
        <v>-2.98E-2</v>
      </c>
      <c r="R270" s="1">
        <v>0.2306</v>
      </c>
      <c r="S270" s="1">
        <v>0.46750000000000003</v>
      </c>
      <c r="T270" s="1">
        <v>0.22800000000000001</v>
      </c>
      <c r="U270" s="1">
        <v>-0.23369999999999999</v>
      </c>
    </row>
    <row r="271" spans="1:21" x14ac:dyDescent="0.25">
      <c r="A271" t="s">
        <v>670</v>
      </c>
      <c r="B271" t="s">
        <v>671</v>
      </c>
      <c r="C271" t="s">
        <v>37</v>
      </c>
      <c r="D271" t="s">
        <v>66</v>
      </c>
      <c r="E271" t="s">
        <v>72</v>
      </c>
      <c r="F271" t="str">
        <f t="shared" si="4"/>
        <v>2018-05-20</v>
      </c>
      <c r="G271">
        <v>42.6</v>
      </c>
      <c r="H271" t="str">
        <f>"2016-08-01"</f>
        <v>2016-08-01</v>
      </c>
      <c r="I271" t="s">
        <v>26</v>
      </c>
      <c r="J271" t="str">
        <f>"2016-07-11"</f>
        <v>2016-07-11</v>
      </c>
      <c r="K271" t="s">
        <v>27</v>
      </c>
      <c r="L271">
        <v>2.3392259900000001</v>
      </c>
      <c r="M271">
        <v>270</v>
      </c>
      <c r="N271" s="1">
        <v>0.42620000000000002</v>
      </c>
      <c r="O271" s="1">
        <v>1.0354000000000001</v>
      </c>
      <c r="P271" s="1">
        <v>-7.51E-2</v>
      </c>
      <c r="Q271" s="1">
        <v>5.0000000000000001E-4</v>
      </c>
      <c r="R271" s="1">
        <v>1.14E-2</v>
      </c>
      <c r="S271" s="1">
        <v>0.124</v>
      </c>
      <c r="T271" s="1">
        <v>0.19289999999999999</v>
      </c>
      <c r="U271" s="1">
        <v>8.7800000000000003E-2</v>
      </c>
    </row>
    <row r="272" spans="1:21" x14ac:dyDescent="0.25">
      <c r="A272" t="s">
        <v>672</v>
      </c>
      <c r="B272" t="s">
        <v>673</v>
      </c>
      <c r="C272" t="s">
        <v>43</v>
      </c>
      <c r="D272" t="s">
        <v>119</v>
      </c>
      <c r="E272" t="s">
        <v>205</v>
      </c>
      <c r="F272" t="str">
        <f t="shared" si="4"/>
        <v>2018-05-20</v>
      </c>
      <c r="G272">
        <v>59.68</v>
      </c>
      <c r="H272" t="str">
        <f>"2016-04-25"</f>
        <v>2016-04-25</v>
      </c>
      <c r="I272" t="s">
        <v>26</v>
      </c>
      <c r="J272" t="str">
        <f>"2016-03-07"</f>
        <v>2016-03-07</v>
      </c>
      <c r="K272" t="s">
        <v>27</v>
      </c>
      <c r="L272">
        <v>2.33740389</v>
      </c>
      <c r="M272">
        <v>271</v>
      </c>
      <c r="N272" s="1">
        <v>0.42259999999999998</v>
      </c>
      <c r="O272" s="1">
        <v>1.0244</v>
      </c>
      <c r="P272" s="1">
        <v>-9.4E-2</v>
      </c>
      <c r="Q272" s="1">
        <v>-1.5E-3</v>
      </c>
      <c r="R272" s="1">
        <v>1.4999999999999999E-2</v>
      </c>
      <c r="S272" s="1">
        <v>-4.24E-2</v>
      </c>
      <c r="T272" s="1">
        <v>-3.56E-2</v>
      </c>
      <c r="U272" s="1">
        <v>0.1797</v>
      </c>
    </row>
    <row r="273" spans="1:21" x14ac:dyDescent="0.25">
      <c r="A273" t="s">
        <v>674</v>
      </c>
      <c r="B273" t="s">
        <v>675</v>
      </c>
      <c r="C273" t="s">
        <v>30</v>
      </c>
      <c r="D273" t="s">
        <v>31</v>
      </c>
      <c r="E273" t="s">
        <v>31</v>
      </c>
      <c r="F273" t="str">
        <f t="shared" si="4"/>
        <v>2018-05-20</v>
      </c>
      <c r="G273">
        <v>48.46</v>
      </c>
      <c r="H273" t="str">
        <f>"2017-09-28"</f>
        <v>2017-09-28</v>
      </c>
      <c r="I273" t="s">
        <v>26</v>
      </c>
      <c r="J273" t="str">
        <f>"2016-09-18"</f>
        <v>2016-09-18</v>
      </c>
      <c r="K273" t="s">
        <v>34</v>
      </c>
      <c r="L273">
        <v>2.33638762</v>
      </c>
      <c r="M273">
        <v>272</v>
      </c>
      <c r="N273" s="1">
        <v>0.33100000000000002</v>
      </c>
      <c r="O273" s="1">
        <v>1.0183</v>
      </c>
      <c r="P273" s="1">
        <v>-1.2999999999999999E-2</v>
      </c>
      <c r="Q273" s="1">
        <v>1.17E-2</v>
      </c>
      <c r="R273" s="1">
        <v>1.5900000000000001E-2</v>
      </c>
      <c r="S273" s="1">
        <v>4.48E-2</v>
      </c>
      <c r="T273" s="1">
        <v>3.5499999999999997E-2</v>
      </c>
      <c r="U273" s="1">
        <v>0.45529999999999998</v>
      </c>
    </row>
    <row r="274" spans="1:21" x14ac:dyDescent="0.25">
      <c r="A274" t="s">
        <v>676</v>
      </c>
      <c r="B274" t="s">
        <v>677</v>
      </c>
      <c r="C274" t="s">
        <v>43</v>
      </c>
      <c r="D274" t="s">
        <v>169</v>
      </c>
      <c r="E274" t="s">
        <v>170</v>
      </c>
      <c r="F274" t="str">
        <f t="shared" si="4"/>
        <v>2018-05-20</v>
      </c>
      <c r="G274">
        <v>24.15</v>
      </c>
      <c r="H274" t="str">
        <f>"2016-12-15"</f>
        <v>2016-12-15</v>
      </c>
      <c r="I274" t="s">
        <v>26</v>
      </c>
      <c r="J274" t="str">
        <f>"2016-11-13"</f>
        <v>2016-11-13</v>
      </c>
      <c r="K274" t="s">
        <v>27</v>
      </c>
      <c r="L274">
        <v>2.3359766300000002</v>
      </c>
      <c r="M274">
        <v>273</v>
      </c>
      <c r="N274" s="1">
        <v>0.45050000000000001</v>
      </c>
      <c r="O274" s="1">
        <v>1.0159</v>
      </c>
      <c r="P274" s="1">
        <v>-3.4000000000000002E-2</v>
      </c>
      <c r="Q274" s="1">
        <v>1.0500000000000001E-2</v>
      </c>
      <c r="R274" s="1">
        <v>-6.1999999999999998E-3</v>
      </c>
      <c r="S274" s="1">
        <v>9.5200000000000007E-2</v>
      </c>
      <c r="T274" s="1">
        <v>3.6499999999999998E-2</v>
      </c>
      <c r="U274" s="1">
        <v>0.8649</v>
      </c>
    </row>
    <row r="275" spans="1:21" x14ac:dyDescent="0.25">
      <c r="A275" t="s">
        <v>678</v>
      </c>
      <c r="B275" t="s">
        <v>679</v>
      </c>
      <c r="C275" t="s">
        <v>37</v>
      </c>
      <c r="D275" t="s">
        <v>38</v>
      </c>
      <c r="E275" t="s">
        <v>39</v>
      </c>
      <c r="F275" t="str">
        <f t="shared" si="4"/>
        <v>2018-05-20</v>
      </c>
      <c r="G275">
        <v>30.52</v>
      </c>
      <c r="H275" t="str">
        <f>"2018-01-11"</f>
        <v>2018-01-11</v>
      </c>
      <c r="I275" t="s">
        <v>26</v>
      </c>
      <c r="J275" t="str">
        <f>"2017-11-15"</f>
        <v>2017-11-15</v>
      </c>
      <c r="K275" t="s">
        <v>40</v>
      </c>
      <c r="L275">
        <v>2.3359753400000001</v>
      </c>
      <c r="M275">
        <v>274</v>
      </c>
      <c r="N275" s="1">
        <v>0.40579999999999999</v>
      </c>
      <c r="O275" s="1">
        <v>1.0159</v>
      </c>
      <c r="P275" s="1">
        <v>-6.3500000000000001E-2</v>
      </c>
      <c r="Q275" s="1">
        <v>-4.5999999999999999E-2</v>
      </c>
      <c r="R275" s="1">
        <v>3.6299999999999999E-2</v>
      </c>
      <c r="S275" s="1">
        <v>0.17249999999999999</v>
      </c>
      <c r="T275" s="1">
        <v>0.16089999999999999</v>
      </c>
      <c r="U275" s="1">
        <v>1.2759</v>
      </c>
    </row>
    <row r="276" spans="1:21" x14ac:dyDescent="0.25">
      <c r="A276" t="s">
        <v>680</v>
      </c>
      <c r="B276" t="s">
        <v>681</v>
      </c>
      <c r="C276" t="s">
        <v>23</v>
      </c>
      <c r="D276" t="s">
        <v>52</v>
      </c>
      <c r="E276" t="s">
        <v>56</v>
      </c>
      <c r="F276" t="str">
        <f t="shared" si="4"/>
        <v>2018-05-20</v>
      </c>
      <c r="G276">
        <v>75</v>
      </c>
      <c r="H276" t="str">
        <f>"2017-05-10"</f>
        <v>2017-05-10</v>
      </c>
      <c r="I276" t="s">
        <v>26</v>
      </c>
      <c r="J276" t="str">
        <f>"2016-12-15"</f>
        <v>2016-12-15</v>
      </c>
      <c r="K276" t="s">
        <v>57</v>
      </c>
      <c r="L276">
        <v>2.33557047</v>
      </c>
      <c r="M276">
        <v>275</v>
      </c>
      <c r="N276" s="1">
        <v>0.56610000000000005</v>
      </c>
      <c r="O276" s="1">
        <v>1.0134000000000001</v>
      </c>
      <c r="P276" s="1">
        <v>-4.02E-2</v>
      </c>
      <c r="Q276" s="1">
        <v>4.5999999999999999E-3</v>
      </c>
      <c r="R276" s="1">
        <v>4.1399999999999999E-2</v>
      </c>
      <c r="S276" s="1">
        <v>-3.4299999999999997E-2</v>
      </c>
      <c r="T276" s="1">
        <v>0.14799999999999999</v>
      </c>
      <c r="U276" s="1">
        <v>0.60570000000000002</v>
      </c>
    </row>
    <row r="277" spans="1:21" x14ac:dyDescent="0.25">
      <c r="A277" t="s">
        <v>682</v>
      </c>
      <c r="B277" t="s">
        <v>683</v>
      </c>
      <c r="C277" t="s">
        <v>114</v>
      </c>
      <c r="D277" t="s">
        <v>225</v>
      </c>
      <c r="E277" t="s">
        <v>355</v>
      </c>
      <c r="F277" t="str">
        <f t="shared" si="4"/>
        <v>2018-05-20</v>
      </c>
      <c r="G277">
        <v>104.64</v>
      </c>
      <c r="H277" t="str">
        <f>"2017-05-21"</f>
        <v>2017-05-21</v>
      </c>
      <c r="I277" t="s">
        <v>26</v>
      </c>
      <c r="J277" t="str">
        <f>"2017-03-28"</f>
        <v>2017-03-28</v>
      </c>
      <c r="K277" t="s">
        <v>27</v>
      </c>
      <c r="L277">
        <v>2.33467665</v>
      </c>
      <c r="M277">
        <v>276</v>
      </c>
      <c r="N277" s="1">
        <v>0.77329999999999999</v>
      </c>
      <c r="O277" s="1">
        <v>1.0081</v>
      </c>
      <c r="P277" s="1">
        <v>0</v>
      </c>
      <c r="Q277" s="1">
        <v>3.1E-2</v>
      </c>
      <c r="R277" s="1">
        <v>5.7599999999999998E-2</v>
      </c>
      <c r="S277" s="1">
        <v>0.1653</v>
      </c>
      <c r="T277" s="1">
        <v>8.8800000000000004E-2</v>
      </c>
      <c r="U277" s="1">
        <v>0.76400000000000001</v>
      </c>
    </row>
    <row r="278" spans="1:21" x14ac:dyDescent="0.25">
      <c r="A278" t="s">
        <v>684</v>
      </c>
      <c r="B278" t="s">
        <v>685</v>
      </c>
      <c r="C278" t="s">
        <v>30</v>
      </c>
      <c r="D278" t="s">
        <v>48</v>
      </c>
      <c r="E278" t="s">
        <v>485</v>
      </c>
      <c r="F278" t="str">
        <f t="shared" si="4"/>
        <v>2018-05-20</v>
      </c>
      <c r="G278">
        <v>28.05</v>
      </c>
      <c r="H278" t="str">
        <f>"2018-02-26"</f>
        <v>2018-02-26</v>
      </c>
      <c r="I278" t="s">
        <v>26</v>
      </c>
      <c r="J278" t="str">
        <f>"2017-11-21"</f>
        <v>2017-11-21</v>
      </c>
      <c r="K278" t="s">
        <v>27</v>
      </c>
      <c r="L278">
        <v>2.3339285699999999</v>
      </c>
      <c r="M278">
        <v>277</v>
      </c>
      <c r="N278" s="1">
        <v>0.3453</v>
      </c>
      <c r="O278" s="1">
        <v>1.0036</v>
      </c>
      <c r="P278" s="1">
        <v>0</v>
      </c>
      <c r="Q278" s="1">
        <v>2.5600000000000001E-2</v>
      </c>
      <c r="R278" s="1">
        <v>0.1043</v>
      </c>
      <c r="S278" s="1">
        <v>0.42030000000000001</v>
      </c>
      <c r="T278" s="1">
        <v>0.3453</v>
      </c>
      <c r="U278" s="1">
        <v>0.28079999999999999</v>
      </c>
    </row>
    <row r="279" spans="1:21" x14ac:dyDescent="0.25">
      <c r="A279" t="s">
        <v>686</v>
      </c>
      <c r="B279" t="s">
        <v>687</v>
      </c>
      <c r="C279" t="s">
        <v>43</v>
      </c>
      <c r="D279" t="s">
        <v>44</v>
      </c>
      <c r="E279" t="s">
        <v>45</v>
      </c>
      <c r="F279" t="str">
        <f t="shared" si="4"/>
        <v>2018-05-20</v>
      </c>
      <c r="G279">
        <v>38.9</v>
      </c>
      <c r="H279" t="str">
        <f>"2017-11-21"</f>
        <v>2017-11-21</v>
      </c>
      <c r="I279" t="s">
        <v>26</v>
      </c>
      <c r="J279" t="str">
        <f>"2017-11-01"</f>
        <v>2017-11-01</v>
      </c>
      <c r="K279" t="s">
        <v>27</v>
      </c>
      <c r="L279">
        <v>2.3324786300000002</v>
      </c>
      <c r="M279">
        <v>278</v>
      </c>
      <c r="N279" s="1">
        <v>0.57489999999999997</v>
      </c>
      <c r="O279" s="1">
        <v>0.99490000000000001</v>
      </c>
      <c r="P279" s="1">
        <v>-1.2999999999999999E-3</v>
      </c>
      <c r="Q279" s="1">
        <v>-1.2999999999999999E-3</v>
      </c>
      <c r="R279" s="1">
        <v>2.5000000000000001E-2</v>
      </c>
      <c r="S279" s="1">
        <v>0.2006</v>
      </c>
      <c r="T279" s="1">
        <v>0.52849999999999997</v>
      </c>
      <c r="U279" s="1">
        <v>0.76819999999999999</v>
      </c>
    </row>
    <row r="280" spans="1:21" x14ac:dyDescent="0.25">
      <c r="A280" t="s">
        <v>688</v>
      </c>
      <c r="B280" t="s">
        <v>689</v>
      </c>
      <c r="C280" t="s">
        <v>30</v>
      </c>
      <c r="D280" t="s">
        <v>31</v>
      </c>
      <c r="E280" t="s">
        <v>31</v>
      </c>
      <c r="F280" t="str">
        <f t="shared" si="4"/>
        <v>2018-05-20</v>
      </c>
      <c r="G280">
        <v>40.950000000000003</v>
      </c>
      <c r="H280" t="str">
        <f>"2017-07-20"</f>
        <v>2017-07-20</v>
      </c>
      <c r="I280" t="s">
        <v>26</v>
      </c>
      <c r="J280" t="str">
        <f>"2017-05-17"</f>
        <v>2017-05-17</v>
      </c>
      <c r="K280" t="s">
        <v>40</v>
      </c>
      <c r="L280">
        <v>2.3321167900000002</v>
      </c>
      <c r="M280">
        <v>279</v>
      </c>
      <c r="N280" s="1">
        <v>0.5111</v>
      </c>
      <c r="O280" s="1">
        <v>0.99270000000000003</v>
      </c>
      <c r="P280" s="1">
        <v>-6.1899999999999997E-2</v>
      </c>
      <c r="Q280" s="1">
        <v>9.9000000000000008E-3</v>
      </c>
      <c r="R280" s="1">
        <v>3.6700000000000003E-2</v>
      </c>
      <c r="S280" s="1">
        <v>4.3299999999999998E-2</v>
      </c>
      <c r="T280" s="1">
        <v>-9.7000000000000003E-3</v>
      </c>
      <c r="U280" s="1">
        <v>0.8871</v>
      </c>
    </row>
    <row r="281" spans="1:21" x14ac:dyDescent="0.25">
      <c r="A281" t="s">
        <v>690</v>
      </c>
      <c r="B281" t="s">
        <v>691</v>
      </c>
      <c r="C281" t="s">
        <v>43</v>
      </c>
      <c r="D281" t="s">
        <v>169</v>
      </c>
      <c r="E281" t="s">
        <v>170</v>
      </c>
      <c r="F281" t="str">
        <f t="shared" si="4"/>
        <v>2018-05-20</v>
      </c>
      <c r="G281">
        <v>31.76</v>
      </c>
      <c r="H281" t="str">
        <f>"2017-08-23"</f>
        <v>2017-08-23</v>
      </c>
      <c r="I281" t="s">
        <v>26</v>
      </c>
      <c r="J281" t="str">
        <f>"2017-08-07"</f>
        <v>2017-08-07</v>
      </c>
      <c r="K281" t="s">
        <v>27</v>
      </c>
      <c r="L281">
        <v>2.3308333299999999</v>
      </c>
      <c r="M281">
        <v>280</v>
      </c>
      <c r="N281" s="1">
        <v>0.5131</v>
      </c>
      <c r="O281" s="1">
        <v>0.98499999999999999</v>
      </c>
      <c r="P281" s="1">
        <v>-8.9999999999999993E-3</v>
      </c>
      <c r="Q281" s="1">
        <v>1.44E-2</v>
      </c>
      <c r="R281" s="1">
        <v>1.37E-2</v>
      </c>
      <c r="S281" s="1">
        <v>6.5100000000000005E-2</v>
      </c>
      <c r="T281" s="1">
        <v>0.15409999999999999</v>
      </c>
      <c r="U281" s="1">
        <v>0.87709999999999999</v>
      </c>
    </row>
    <row r="282" spans="1:21" x14ac:dyDescent="0.25">
      <c r="A282" t="s">
        <v>692</v>
      </c>
      <c r="B282" t="s">
        <v>693</v>
      </c>
      <c r="C282" t="s">
        <v>83</v>
      </c>
      <c r="D282" t="s">
        <v>84</v>
      </c>
      <c r="E282" t="s">
        <v>84</v>
      </c>
      <c r="F282" t="str">
        <f t="shared" si="4"/>
        <v>2018-05-20</v>
      </c>
      <c r="G282">
        <v>11.7</v>
      </c>
      <c r="H282" t="str">
        <f>"2016-05-02"</f>
        <v>2016-05-02</v>
      </c>
      <c r="I282" t="s">
        <v>26</v>
      </c>
      <c r="J282" t="str">
        <f>"2015-11-18"</f>
        <v>2015-11-18</v>
      </c>
      <c r="K282" t="s">
        <v>27</v>
      </c>
      <c r="L282">
        <v>2.3305084699999998</v>
      </c>
      <c r="M282">
        <v>281</v>
      </c>
      <c r="N282" s="1">
        <v>0.37490000000000001</v>
      </c>
      <c r="O282" s="1">
        <v>0.98309999999999997</v>
      </c>
      <c r="P282" s="1">
        <v>-8.9499999999999996E-2</v>
      </c>
      <c r="Q282" s="1">
        <v>1.2999999999999999E-2</v>
      </c>
      <c r="R282" s="1">
        <v>4.3E-3</v>
      </c>
      <c r="S282" s="1">
        <v>-8.2400000000000001E-2</v>
      </c>
      <c r="T282" s="1">
        <v>-4.3E-3</v>
      </c>
      <c r="U282" s="1">
        <v>0.1759</v>
      </c>
    </row>
    <row r="283" spans="1:21" x14ac:dyDescent="0.25">
      <c r="A283" t="s">
        <v>694</v>
      </c>
      <c r="B283" t="s">
        <v>695</v>
      </c>
      <c r="C283" t="s">
        <v>43</v>
      </c>
      <c r="D283" t="s">
        <v>193</v>
      </c>
      <c r="E283" t="s">
        <v>194</v>
      </c>
      <c r="F283" t="str">
        <f t="shared" si="4"/>
        <v>2018-05-20</v>
      </c>
      <c r="G283">
        <v>5.65</v>
      </c>
      <c r="H283" t="str">
        <f>"2016-04-27"</f>
        <v>2016-04-27</v>
      </c>
      <c r="I283" t="s">
        <v>26</v>
      </c>
      <c r="J283" t="str">
        <f>"2016-04-13"</f>
        <v>2016-04-13</v>
      </c>
      <c r="K283" t="s">
        <v>27</v>
      </c>
      <c r="L283">
        <v>2.33040936</v>
      </c>
      <c r="M283">
        <v>282</v>
      </c>
      <c r="N283" s="1">
        <v>0.35489999999999999</v>
      </c>
      <c r="O283" s="1">
        <v>0.98250000000000004</v>
      </c>
      <c r="P283" s="1">
        <v>-5.04E-2</v>
      </c>
      <c r="Q283" s="1">
        <v>1.7999999999999999E-2</v>
      </c>
      <c r="R283" s="1">
        <v>1.7999999999999999E-2</v>
      </c>
      <c r="S283" s="1">
        <v>-8.8000000000000005E-3</v>
      </c>
      <c r="T283" s="1">
        <v>-8.8000000000000005E-3</v>
      </c>
      <c r="U283" s="1">
        <v>0.14369999999999999</v>
      </c>
    </row>
    <row r="284" spans="1:21" x14ac:dyDescent="0.25">
      <c r="A284" t="s">
        <v>696</v>
      </c>
      <c r="B284" t="s">
        <v>697</v>
      </c>
      <c r="C284" t="s">
        <v>87</v>
      </c>
      <c r="D284" t="s">
        <v>88</v>
      </c>
      <c r="E284" t="s">
        <v>89</v>
      </c>
      <c r="F284" t="str">
        <f t="shared" si="4"/>
        <v>2018-05-20</v>
      </c>
      <c r="G284">
        <v>3.23</v>
      </c>
      <c r="H284" t="str">
        <f>"2017-11-06"</f>
        <v>2017-11-06</v>
      </c>
      <c r="I284" t="s">
        <v>26</v>
      </c>
      <c r="J284" t="str">
        <f>"2017-09-26"</f>
        <v>2017-09-26</v>
      </c>
      <c r="K284" t="s">
        <v>27</v>
      </c>
      <c r="L284">
        <v>2.33026585</v>
      </c>
      <c r="M284">
        <v>283</v>
      </c>
      <c r="N284" s="1">
        <v>0.47489999999999999</v>
      </c>
      <c r="O284" s="1">
        <v>0.98160000000000003</v>
      </c>
      <c r="P284" s="1">
        <v>0</v>
      </c>
      <c r="Q284" s="1">
        <v>3.8600000000000002E-2</v>
      </c>
      <c r="R284" s="1">
        <v>0.13730000000000001</v>
      </c>
      <c r="S284" s="1">
        <v>0.1176</v>
      </c>
      <c r="T284" s="1">
        <v>0.39829999999999999</v>
      </c>
      <c r="U284" s="1">
        <v>0.71809999999999996</v>
      </c>
    </row>
    <row r="285" spans="1:21" x14ac:dyDescent="0.25">
      <c r="A285" t="s">
        <v>698</v>
      </c>
      <c r="B285" t="s">
        <v>699</v>
      </c>
      <c r="C285" t="s">
        <v>43</v>
      </c>
      <c r="D285" t="s">
        <v>44</v>
      </c>
      <c r="E285" t="s">
        <v>599</v>
      </c>
      <c r="F285" t="str">
        <f t="shared" si="4"/>
        <v>2018-05-20</v>
      </c>
      <c r="G285">
        <v>60.15</v>
      </c>
      <c r="H285" t="str">
        <f>"2016-05-10"</f>
        <v>2016-05-10</v>
      </c>
      <c r="I285" t="s">
        <v>26</v>
      </c>
      <c r="J285" t="str">
        <f>"2016-03-10"</f>
        <v>2016-03-10</v>
      </c>
      <c r="K285" t="s">
        <v>27</v>
      </c>
      <c r="L285">
        <v>2.32912016</v>
      </c>
      <c r="M285">
        <v>284</v>
      </c>
      <c r="N285" s="1">
        <v>0.35630000000000001</v>
      </c>
      <c r="O285" s="1">
        <v>0.97470000000000001</v>
      </c>
      <c r="P285" s="1">
        <v>0</v>
      </c>
      <c r="Q285" s="1">
        <v>2.0400000000000001E-2</v>
      </c>
      <c r="R285" s="1">
        <v>3.7100000000000001E-2</v>
      </c>
      <c r="S285" s="1">
        <v>7.51E-2</v>
      </c>
      <c r="T285" s="1">
        <v>9.5600000000000004E-2</v>
      </c>
      <c r="U285" s="1">
        <v>0.1923</v>
      </c>
    </row>
    <row r="286" spans="1:21" x14ac:dyDescent="0.25">
      <c r="A286" t="s">
        <v>700</v>
      </c>
      <c r="B286" t="s">
        <v>701</v>
      </c>
      <c r="C286" t="s">
        <v>30</v>
      </c>
      <c r="D286" t="s">
        <v>31</v>
      </c>
      <c r="E286" t="s">
        <v>31</v>
      </c>
      <c r="F286" t="str">
        <f t="shared" si="4"/>
        <v>2018-05-20</v>
      </c>
      <c r="G286">
        <v>21.55</v>
      </c>
      <c r="H286" t="str">
        <f>"2016-07-28"</f>
        <v>2016-07-28</v>
      </c>
      <c r="I286" t="s">
        <v>26</v>
      </c>
      <c r="J286" t="str">
        <f>"2016-04-24"</f>
        <v>2016-04-24</v>
      </c>
      <c r="K286" t="s">
        <v>27</v>
      </c>
      <c r="L286">
        <v>2.3289072000000002</v>
      </c>
      <c r="M286">
        <v>285</v>
      </c>
      <c r="N286" s="1">
        <v>0.72809999999999997</v>
      </c>
      <c r="O286" s="1">
        <v>0.97340000000000004</v>
      </c>
      <c r="P286" s="1">
        <v>-4.5999999999999999E-3</v>
      </c>
      <c r="Q286" s="1">
        <v>7.4999999999999997E-3</v>
      </c>
      <c r="R286" s="1">
        <v>2.81E-2</v>
      </c>
      <c r="S286" s="1">
        <v>6.5199999999999994E-2</v>
      </c>
      <c r="T286" s="1">
        <v>9.7299999999999998E-2</v>
      </c>
      <c r="U286" s="1">
        <v>0.3528</v>
      </c>
    </row>
    <row r="287" spans="1:21" x14ac:dyDescent="0.25">
      <c r="A287" t="s">
        <v>702</v>
      </c>
      <c r="B287" t="s">
        <v>703</v>
      </c>
      <c r="C287" t="s">
        <v>109</v>
      </c>
      <c r="D287" t="s">
        <v>156</v>
      </c>
      <c r="E287" t="s">
        <v>277</v>
      </c>
      <c r="F287" t="str">
        <f t="shared" si="4"/>
        <v>2018-05-20</v>
      </c>
      <c r="G287">
        <v>45.54</v>
      </c>
      <c r="H287" t="str">
        <f>"2017-09-25"</f>
        <v>2017-09-25</v>
      </c>
      <c r="I287" t="s">
        <v>26</v>
      </c>
      <c r="J287" t="str">
        <f>"2017-07-17"</f>
        <v>2017-07-17</v>
      </c>
      <c r="K287" t="s">
        <v>27</v>
      </c>
      <c r="L287">
        <v>2.32871373</v>
      </c>
      <c r="M287">
        <v>286</v>
      </c>
      <c r="N287" s="1">
        <v>0.73819999999999997</v>
      </c>
      <c r="O287" s="1">
        <v>0.97230000000000005</v>
      </c>
      <c r="P287" s="1">
        <v>0</v>
      </c>
      <c r="Q287" s="1">
        <v>2.6800000000000001E-2</v>
      </c>
      <c r="R287" s="1">
        <v>7.5800000000000006E-2</v>
      </c>
      <c r="S287" s="1">
        <v>0.1278</v>
      </c>
      <c r="T287" s="1">
        <v>0.22220000000000001</v>
      </c>
      <c r="U287" s="1">
        <v>0.86180000000000001</v>
      </c>
    </row>
    <row r="288" spans="1:21" x14ac:dyDescent="0.25">
      <c r="A288" t="s">
        <v>704</v>
      </c>
      <c r="B288" t="s">
        <v>705</v>
      </c>
      <c r="C288" t="s">
        <v>114</v>
      </c>
      <c r="D288" t="s">
        <v>225</v>
      </c>
      <c r="E288" t="s">
        <v>355</v>
      </c>
      <c r="F288" t="str">
        <f t="shared" si="4"/>
        <v>2018-05-20</v>
      </c>
      <c r="G288">
        <v>32.93</v>
      </c>
      <c r="H288" t="str">
        <f>"2016-06-09"</f>
        <v>2016-06-09</v>
      </c>
      <c r="I288" t="s">
        <v>26</v>
      </c>
      <c r="J288" t="str">
        <f>"2016-06-08"</f>
        <v>2016-06-08</v>
      </c>
      <c r="K288" t="s">
        <v>27</v>
      </c>
      <c r="L288">
        <v>2.3280533999999999</v>
      </c>
      <c r="M288">
        <v>287</v>
      </c>
      <c r="N288" s="1">
        <v>0.64239999999999997</v>
      </c>
      <c r="O288" s="1">
        <v>0.96830000000000005</v>
      </c>
      <c r="P288" s="1">
        <v>-1.9400000000000001E-2</v>
      </c>
      <c r="Q288" s="1">
        <v>1.95E-2</v>
      </c>
      <c r="R288" s="1">
        <v>5.3800000000000001E-2</v>
      </c>
      <c r="S288" s="1">
        <v>0.12239999999999999</v>
      </c>
      <c r="T288" s="1">
        <v>8.43E-2</v>
      </c>
      <c r="U288" s="1">
        <v>0.31140000000000001</v>
      </c>
    </row>
    <row r="289" spans="1:21" x14ac:dyDescent="0.25">
      <c r="A289" t="s">
        <v>706</v>
      </c>
      <c r="B289" t="s">
        <v>707</v>
      </c>
      <c r="C289" t="s">
        <v>23</v>
      </c>
      <c r="D289" t="s">
        <v>173</v>
      </c>
      <c r="E289" t="s">
        <v>174</v>
      </c>
      <c r="F289" t="str">
        <f t="shared" si="4"/>
        <v>2018-05-20</v>
      </c>
      <c r="G289">
        <v>24</v>
      </c>
      <c r="H289" t="str">
        <f>"2016-12-11"</f>
        <v>2016-12-11</v>
      </c>
      <c r="I289" t="s">
        <v>26</v>
      </c>
      <c r="J289" t="str">
        <f>"2016-11-21"</f>
        <v>2016-11-21</v>
      </c>
      <c r="K289" t="s">
        <v>27</v>
      </c>
      <c r="L289">
        <v>2.3278688500000002</v>
      </c>
      <c r="M289">
        <v>288</v>
      </c>
      <c r="N289" s="1">
        <v>0.70209999999999995</v>
      </c>
      <c r="O289" s="1">
        <v>0.96719999999999995</v>
      </c>
      <c r="P289" s="1">
        <v>-5.33E-2</v>
      </c>
      <c r="Q289" s="1">
        <v>0</v>
      </c>
      <c r="R289" s="1">
        <v>5.7299999999999997E-2</v>
      </c>
      <c r="S289" s="1">
        <v>6.9000000000000006E-2</v>
      </c>
      <c r="T289" s="1">
        <v>-5.33E-2</v>
      </c>
      <c r="U289" s="1">
        <v>0.37930000000000003</v>
      </c>
    </row>
    <row r="290" spans="1:21" x14ac:dyDescent="0.25">
      <c r="A290" t="s">
        <v>708</v>
      </c>
      <c r="B290" t="s">
        <v>709</v>
      </c>
      <c r="C290" t="s">
        <v>30</v>
      </c>
      <c r="D290" t="s">
        <v>48</v>
      </c>
      <c r="E290" t="s">
        <v>49</v>
      </c>
      <c r="F290" t="str">
        <f t="shared" si="4"/>
        <v>2018-05-20</v>
      </c>
      <c r="G290">
        <v>36.200000000000003</v>
      </c>
      <c r="H290" t="str">
        <f>"2017-06-13"</f>
        <v>2017-06-13</v>
      </c>
      <c r="I290" t="s">
        <v>26</v>
      </c>
      <c r="J290" t="str">
        <f>"2017-03-22"</f>
        <v>2017-03-22</v>
      </c>
      <c r="K290" t="s">
        <v>40</v>
      </c>
      <c r="L290">
        <v>2.3275425300000001</v>
      </c>
      <c r="M290">
        <v>289</v>
      </c>
      <c r="N290" s="1">
        <v>0.52739999999999998</v>
      </c>
      <c r="O290" s="1">
        <v>0.96530000000000005</v>
      </c>
      <c r="P290" s="1">
        <v>-3.0000000000000001E-3</v>
      </c>
      <c r="Q290" s="1">
        <v>-8.0000000000000004E-4</v>
      </c>
      <c r="R290" s="1">
        <v>3.3399999999999999E-2</v>
      </c>
      <c r="S290" s="1">
        <v>7.7100000000000002E-2</v>
      </c>
      <c r="T290" s="1">
        <v>0.1792</v>
      </c>
      <c r="U290" s="1">
        <v>0.76590000000000003</v>
      </c>
    </row>
    <row r="291" spans="1:21" x14ac:dyDescent="0.25">
      <c r="A291" t="s">
        <v>710</v>
      </c>
      <c r="B291" t="s">
        <v>711</v>
      </c>
      <c r="C291" t="s">
        <v>37</v>
      </c>
      <c r="D291" t="s">
        <v>38</v>
      </c>
      <c r="E291" t="s">
        <v>97</v>
      </c>
      <c r="F291" t="str">
        <f t="shared" si="4"/>
        <v>2018-05-20</v>
      </c>
      <c r="G291">
        <v>24.1</v>
      </c>
      <c r="H291" t="str">
        <f>"2018-03-25"</f>
        <v>2018-03-25</v>
      </c>
      <c r="I291" t="s">
        <v>26</v>
      </c>
      <c r="J291" t="str">
        <f>"2018-02-28"</f>
        <v>2018-02-28</v>
      </c>
      <c r="K291" t="s">
        <v>27</v>
      </c>
      <c r="L291">
        <v>2.32655827</v>
      </c>
      <c r="M291">
        <v>290</v>
      </c>
      <c r="N291" s="1">
        <v>0.25190000000000001</v>
      </c>
      <c r="O291" s="1">
        <v>0.95930000000000004</v>
      </c>
      <c r="P291" s="1">
        <v>-2.23E-2</v>
      </c>
      <c r="Q291" s="1">
        <v>-2.23E-2</v>
      </c>
      <c r="R291" s="1">
        <v>5.0099999999999999E-2</v>
      </c>
      <c r="S291" s="1">
        <v>0.22339999999999999</v>
      </c>
      <c r="T291" s="1">
        <v>0.21110000000000001</v>
      </c>
      <c r="U291" s="1">
        <v>0.30270000000000002</v>
      </c>
    </row>
    <row r="292" spans="1:21" x14ac:dyDescent="0.25">
      <c r="A292" t="s">
        <v>712</v>
      </c>
      <c r="B292" t="s">
        <v>713</v>
      </c>
      <c r="C292" t="s">
        <v>30</v>
      </c>
      <c r="D292" t="s">
        <v>31</v>
      </c>
      <c r="E292" t="s">
        <v>31</v>
      </c>
      <c r="F292" t="str">
        <f t="shared" si="4"/>
        <v>2018-05-20</v>
      </c>
      <c r="G292">
        <v>45.39</v>
      </c>
      <c r="H292" t="str">
        <f>"2016-08-28"</f>
        <v>2016-08-28</v>
      </c>
      <c r="I292" t="s">
        <v>26</v>
      </c>
      <c r="J292" t="str">
        <f>"2016-08-22"</f>
        <v>2016-08-22</v>
      </c>
      <c r="K292" t="s">
        <v>27</v>
      </c>
      <c r="L292">
        <v>2.3264997799999998</v>
      </c>
      <c r="M292">
        <v>291</v>
      </c>
      <c r="N292" s="1">
        <v>0.58819999999999995</v>
      </c>
      <c r="O292" s="1">
        <v>0.95899999999999996</v>
      </c>
      <c r="P292" s="1">
        <v>0</v>
      </c>
      <c r="Q292" s="1">
        <v>8.6999999999999994E-3</v>
      </c>
      <c r="R292" s="1">
        <v>3.9399999999999998E-2</v>
      </c>
      <c r="S292" s="1">
        <v>6.2300000000000001E-2</v>
      </c>
      <c r="T292" s="1">
        <v>0.113</v>
      </c>
      <c r="U292" s="1">
        <v>0.35049999999999998</v>
      </c>
    </row>
    <row r="293" spans="1:21" x14ac:dyDescent="0.25">
      <c r="A293" t="s">
        <v>714</v>
      </c>
      <c r="B293" t="s">
        <v>715</v>
      </c>
      <c r="C293" t="s">
        <v>30</v>
      </c>
      <c r="D293" t="s">
        <v>31</v>
      </c>
      <c r="E293" t="s">
        <v>31</v>
      </c>
      <c r="F293" t="str">
        <f t="shared" si="4"/>
        <v>2018-05-20</v>
      </c>
      <c r="G293">
        <v>31.05</v>
      </c>
      <c r="H293" t="str">
        <f>"2016-07-13"</f>
        <v>2016-07-13</v>
      </c>
      <c r="I293" t="s">
        <v>26</v>
      </c>
      <c r="J293" t="str">
        <f>"2016-04-28"</f>
        <v>2016-04-28</v>
      </c>
      <c r="K293" t="s">
        <v>57</v>
      </c>
      <c r="L293">
        <v>2.3261554599999998</v>
      </c>
      <c r="M293">
        <v>292</v>
      </c>
      <c r="N293" s="1">
        <v>0.77290000000000003</v>
      </c>
      <c r="O293" s="1">
        <v>0.95689999999999997</v>
      </c>
      <c r="P293" s="1">
        <v>0</v>
      </c>
      <c r="Q293" s="1">
        <v>1.7399999999999999E-2</v>
      </c>
      <c r="R293" s="1">
        <v>4.8300000000000003E-2</v>
      </c>
      <c r="S293" s="1">
        <v>3.1899999999999998E-2</v>
      </c>
      <c r="T293" s="1">
        <v>4.9700000000000001E-2</v>
      </c>
      <c r="U293" s="1">
        <v>0.22339999999999999</v>
      </c>
    </row>
    <row r="294" spans="1:21" x14ac:dyDescent="0.25">
      <c r="A294" t="s">
        <v>716</v>
      </c>
      <c r="B294" t="s">
        <v>717</v>
      </c>
      <c r="C294" t="s">
        <v>30</v>
      </c>
      <c r="D294" t="s">
        <v>31</v>
      </c>
      <c r="E294" t="s">
        <v>31</v>
      </c>
      <c r="F294" t="str">
        <f t="shared" si="4"/>
        <v>2018-05-20</v>
      </c>
      <c r="G294">
        <v>32.299999999999997</v>
      </c>
      <c r="H294" t="str">
        <f>"2016-05-18"</f>
        <v>2016-05-18</v>
      </c>
      <c r="I294" t="s">
        <v>26</v>
      </c>
      <c r="J294" t="str">
        <f>"2016-01-21"</f>
        <v>2016-01-21</v>
      </c>
      <c r="K294" t="s">
        <v>40</v>
      </c>
      <c r="L294">
        <v>2.3254736</v>
      </c>
      <c r="M294">
        <v>293</v>
      </c>
      <c r="N294" s="1">
        <v>0.76890000000000003</v>
      </c>
      <c r="O294" s="1">
        <v>0.95279999999999998</v>
      </c>
      <c r="P294" s="1">
        <v>-1.0699999999999999E-2</v>
      </c>
      <c r="Q294" s="1">
        <v>1.5699999999999999E-2</v>
      </c>
      <c r="R294" s="1">
        <v>1.89E-2</v>
      </c>
      <c r="S294" s="1">
        <v>2.2200000000000001E-2</v>
      </c>
      <c r="T294" s="1">
        <v>3.1899999999999998E-2</v>
      </c>
      <c r="U294" s="1">
        <v>0.34300000000000003</v>
      </c>
    </row>
    <row r="295" spans="1:21" x14ac:dyDescent="0.25">
      <c r="A295" t="s">
        <v>718</v>
      </c>
      <c r="B295" t="s">
        <v>719</v>
      </c>
      <c r="C295" t="s">
        <v>30</v>
      </c>
      <c r="D295" t="s">
        <v>31</v>
      </c>
      <c r="E295" t="s">
        <v>31</v>
      </c>
      <c r="F295" t="str">
        <f t="shared" si="4"/>
        <v>2018-05-20</v>
      </c>
      <c r="G295">
        <v>40.200000000000003</v>
      </c>
      <c r="H295" t="str">
        <f>"2016-11-22"</f>
        <v>2016-11-22</v>
      </c>
      <c r="I295" t="s">
        <v>26</v>
      </c>
      <c r="J295" t="str">
        <f>"2015-11-11"</f>
        <v>2015-11-11</v>
      </c>
      <c r="K295" t="s">
        <v>34</v>
      </c>
      <c r="L295">
        <v>2.32540068</v>
      </c>
      <c r="M295">
        <v>294</v>
      </c>
      <c r="N295" s="1">
        <v>0.27660000000000001</v>
      </c>
      <c r="O295" s="1">
        <v>0.95240000000000002</v>
      </c>
      <c r="P295" s="1">
        <v>-1.2E-2</v>
      </c>
      <c r="Q295" s="1">
        <v>1.11E-2</v>
      </c>
      <c r="R295" s="1">
        <v>2.1299999999999999E-2</v>
      </c>
      <c r="S295" s="1">
        <v>2.1100000000000001E-2</v>
      </c>
      <c r="T295" s="1">
        <v>6.7699999999999996E-2</v>
      </c>
      <c r="U295" s="1">
        <v>0.34360000000000002</v>
      </c>
    </row>
    <row r="296" spans="1:21" x14ac:dyDescent="0.25">
      <c r="A296" t="s">
        <v>720</v>
      </c>
      <c r="B296" t="s">
        <v>721</v>
      </c>
      <c r="C296" t="s">
        <v>30</v>
      </c>
      <c r="D296" t="s">
        <v>31</v>
      </c>
      <c r="E296" t="s">
        <v>31</v>
      </c>
      <c r="F296" t="str">
        <f t="shared" si="4"/>
        <v>2018-05-20</v>
      </c>
      <c r="G296">
        <v>56.75</v>
      </c>
      <c r="H296" t="str">
        <f>"2016-07-25"</f>
        <v>2016-07-25</v>
      </c>
      <c r="I296" t="s">
        <v>26</v>
      </c>
      <c r="J296" t="str">
        <f>"2016-07-05"</f>
        <v>2016-07-05</v>
      </c>
      <c r="K296" t="s">
        <v>40</v>
      </c>
      <c r="L296">
        <v>2.3251403700000002</v>
      </c>
      <c r="M296">
        <v>295</v>
      </c>
      <c r="N296" s="1">
        <v>0.74129999999999996</v>
      </c>
      <c r="O296" s="1">
        <v>0.95079999999999998</v>
      </c>
      <c r="P296" s="1">
        <v>-2.3199999999999998E-2</v>
      </c>
      <c r="Q296" s="1">
        <v>1.2500000000000001E-2</v>
      </c>
      <c r="R296" s="1">
        <v>3.56E-2</v>
      </c>
      <c r="S296" s="1">
        <v>8.9300000000000004E-2</v>
      </c>
      <c r="T296" s="1">
        <v>2.9899999999999999E-2</v>
      </c>
      <c r="U296" s="1">
        <v>0.2782</v>
      </c>
    </row>
    <row r="297" spans="1:21" x14ac:dyDescent="0.25">
      <c r="A297" t="s">
        <v>722</v>
      </c>
      <c r="B297" t="s">
        <v>723</v>
      </c>
      <c r="C297" t="s">
        <v>30</v>
      </c>
      <c r="D297" t="s">
        <v>31</v>
      </c>
      <c r="E297" t="s">
        <v>31</v>
      </c>
      <c r="F297" t="str">
        <f t="shared" si="4"/>
        <v>2018-05-20</v>
      </c>
      <c r="G297">
        <v>47.1</v>
      </c>
      <c r="H297" t="str">
        <f>"2016-06-29"</f>
        <v>2016-06-29</v>
      </c>
      <c r="I297" t="s">
        <v>26</v>
      </c>
      <c r="J297" t="str">
        <f>"2016-05-02"</f>
        <v>2016-05-02</v>
      </c>
      <c r="K297" t="s">
        <v>27</v>
      </c>
      <c r="L297">
        <v>2.32478279</v>
      </c>
      <c r="M297">
        <v>296</v>
      </c>
      <c r="N297" s="1">
        <v>0.65029999999999999</v>
      </c>
      <c r="O297" s="1">
        <v>0.94869999999999999</v>
      </c>
      <c r="P297" s="1">
        <v>0</v>
      </c>
      <c r="Q297" s="1">
        <v>7.4999999999999997E-3</v>
      </c>
      <c r="R297" s="1">
        <v>3.5200000000000002E-2</v>
      </c>
      <c r="S297" s="1">
        <v>1.5100000000000001E-2</v>
      </c>
      <c r="T297" s="1">
        <v>3.9699999999999999E-2</v>
      </c>
      <c r="U297" s="1">
        <v>0.14460000000000001</v>
      </c>
    </row>
    <row r="298" spans="1:21" x14ac:dyDescent="0.25">
      <c r="A298" t="s">
        <v>724</v>
      </c>
      <c r="B298" t="s">
        <v>725</v>
      </c>
      <c r="C298" t="s">
        <v>23</v>
      </c>
      <c r="D298" t="s">
        <v>52</v>
      </c>
      <c r="E298" t="s">
        <v>53</v>
      </c>
      <c r="F298" t="str">
        <f t="shared" si="4"/>
        <v>2018-05-20</v>
      </c>
      <c r="G298">
        <v>73.22</v>
      </c>
      <c r="H298" t="str">
        <f>"2017-04-13"</f>
        <v>2017-04-13</v>
      </c>
      <c r="I298" t="s">
        <v>26</v>
      </c>
      <c r="J298" t="str">
        <f>"2017-03-05"</f>
        <v>2017-03-05</v>
      </c>
      <c r="K298" t="s">
        <v>57</v>
      </c>
      <c r="L298">
        <v>2.3247294699999999</v>
      </c>
      <c r="M298">
        <v>297</v>
      </c>
      <c r="N298" s="1">
        <v>0.62280000000000002</v>
      </c>
      <c r="O298" s="1">
        <v>0.94840000000000002</v>
      </c>
      <c r="P298" s="1">
        <v>-4.7199999999999999E-2</v>
      </c>
      <c r="Q298" s="1">
        <v>-2.1499999999999998E-2</v>
      </c>
      <c r="R298" s="1">
        <v>1.29E-2</v>
      </c>
      <c r="S298" s="1">
        <v>-2.5000000000000001E-3</v>
      </c>
      <c r="T298" s="1">
        <v>9.6100000000000005E-2</v>
      </c>
      <c r="U298" s="1">
        <v>0.3886</v>
      </c>
    </row>
    <row r="299" spans="1:21" x14ac:dyDescent="0.25">
      <c r="A299" t="s">
        <v>726</v>
      </c>
      <c r="B299" t="s">
        <v>727</v>
      </c>
      <c r="C299" t="s">
        <v>87</v>
      </c>
      <c r="D299" t="s">
        <v>144</v>
      </c>
      <c r="E299" t="s">
        <v>145</v>
      </c>
      <c r="F299" t="str">
        <f t="shared" si="4"/>
        <v>2018-05-20</v>
      </c>
      <c r="G299">
        <v>19.899999999999999</v>
      </c>
      <c r="H299" t="str">
        <f>"2017-11-07"</f>
        <v>2017-11-07</v>
      </c>
      <c r="I299" t="s">
        <v>26</v>
      </c>
      <c r="J299" t="str">
        <f>"2017-11-06"</f>
        <v>2017-11-06</v>
      </c>
      <c r="K299" t="s">
        <v>27</v>
      </c>
      <c r="L299">
        <v>2.3245270699999998</v>
      </c>
      <c r="M299">
        <v>298</v>
      </c>
      <c r="N299" s="1">
        <v>0.19089999999999999</v>
      </c>
      <c r="O299" s="1">
        <v>0.94720000000000004</v>
      </c>
      <c r="P299" s="1">
        <v>-1.14E-2</v>
      </c>
      <c r="Q299" s="1">
        <v>1.5299999999999999E-2</v>
      </c>
      <c r="R299" s="1">
        <v>4.8500000000000001E-2</v>
      </c>
      <c r="S299" s="1">
        <v>3.5400000000000001E-2</v>
      </c>
      <c r="T299" s="1">
        <v>0.28139999999999998</v>
      </c>
      <c r="U299" s="1">
        <v>0.45889999999999997</v>
      </c>
    </row>
    <row r="300" spans="1:21" x14ac:dyDescent="0.25">
      <c r="A300" t="s">
        <v>728</v>
      </c>
      <c r="B300" t="s">
        <v>729</v>
      </c>
      <c r="C300" t="s">
        <v>87</v>
      </c>
      <c r="D300" t="s">
        <v>88</v>
      </c>
      <c r="E300" t="s">
        <v>89</v>
      </c>
      <c r="F300" t="str">
        <f t="shared" si="4"/>
        <v>2018-05-20</v>
      </c>
      <c r="G300">
        <v>65.88</v>
      </c>
      <c r="H300" t="str">
        <f>"2018-05-07"</f>
        <v>2018-05-07</v>
      </c>
      <c r="I300" t="s">
        <v>26</v>
      </c>
      <c r="J300" t="str">
        <f>"2018-05-06"</f>
        <v>2018-05-06</v>
      </c>
      <c r="K300" t="s">
        <v>27</v>
      </c>
      <c r="L300">
        <v>2.3233215500000002</v>
      </c>
      <c r="M300">
        <v>299</v>
      </c>
      <c r="N300" s="1">
        <v>0.40200000000000002</v>
      </c>
      <c r="O300" s="1">
        <v>0.93989999999999996</v>
      </c>
      <c r="P300" s="1">
        <v>-2.53E-2</v>
      </c>
      <c r="Q300" s="1">
        <v>-1.8499999999999999E-2</v>
      </c>
      <c r="R300" s="1">
        <v>7.0300000000000001E-2</v>
      </c>
      <c r="S300" s="1">
        <v>0.43840000000000001</v>
      </c>
      <c r="T300" s="1">
        <v>0.68489999999999995</v>
      </c>
      <c r="U300" s="1">
        <v>0.48209999999999997</v>
      </c>
    </row>
    <row r="301" spans="1:21" x14ac:dyDescent="0.25">
      <c r="A301" t="s">
        <v>730</v>
      </c>
      <c r="B301" t="s">
        <v>731</v>
      </c>
      <c r="C301" t="s">
        <v>109</v>
      </c>
      <c r="D301" t="s">
        <v>110</v>
      </c>
      <c r="E301" t="s">
        <v>732</v>
      </c>
      <c r="F301" t="str">
        <f t="shared" si="4"/>
        <v>2018-05-20</v>
      </c>
      <c r="G301">
        <v>37.15</v>
      </c>
      <c r="H301" t="str">
        <f>"2018-02-27"</f>
        <v>2018-02-27</v>
      </c>
      <c r="I301" t="s">
        <v>26</v>
      </c>
      <c r="J301" t="str">
        <f>"2017-11-15"</f>
        <v>2017-11-15</v>
      </c>
      <c r="K301" t="s">
        <v>40</v>
      </c>
      <c r="L301">
        <v>2.32248264</v>
      </c>
      <c r="M301">
        <v>300</v>
      </c>
      <c r="N301" s="1">
        <v>0.51629999999999998</v>
      </c>
      <c r="O301" s="1">
        <v>0.93489999999999995</v>
      </c>
      <c r="P301" s="1">
        <v>0</v>
      </c>
      <c r="Q301" s="1">
        <v>1.09E-2</v>
      </c>
      <c r="R301" s="1">
        <v>0.1057</v>
      </c>
      <c r="S301" s="1">
        <v>0.41789999999999999</v>
      </c>
      <c r="T301" s="1">
        <v>0.48899999999999999</v>
      </c>
      <c r="U301" s="1">
        <v>0.78180000000000005</v>
      </c>
    </row>
    <row r="302" spans="1:21" x14ac:dyDescent="0.25">
      <c r="A302" t="s">
        <v>733</v>
      </c>
      <c r="B302" t="s">
        <v>734</v>
      </c>
      <c r="C302" t="s">
        <v>43</v>
      </c>
      <c r="D302" t="s">
        <v>119</v>
      </c>
      <c r="E302" t="s">
        <v>205</v>
      </c>
      <c r="F302" t="str">
        <f t="shared" si="4"/>
        <v>2018-05-20</v>
      </c>
      <c r="G302">
        <v>29.85</v>
      </c>
      <c r="H302" t="str">
        <f>"2017-07-30"</f>
        <v>2017-07-30</v>
      </c>
      <c r="I302" t="s">
        <v>26</v>
      </c>
      <c r="J302" t="str">
        <f>"2017-05-18"</f>
        <v>2017-05-18</v>
      </c>
      <c r="K302" t="s">
        <v>40</v>
      </c>
      <c r="L302">
        <v>2.3220064699999998</v>
      </c>
      <c r="M302">
        <v>301</v>
      </c>
      <c r="N302" s="1">
        <v>0.56279999999999997</v>
      </c>
      <c r="O302" s="1">
        <v>0.93200000000000005</v>
      </c>
      <c r="P302" s="1">
        <v>-6.7000000000000002E-3</v>
      </c>
      <c r="Q302" s="1">
        <v>0</v>
      </c>
      <c r="R302" s="1">
        <v>0</v>
      </c>
      <c r="S302" s="1">
        <v>8.3999999999999995E-3</v>
      </c>
      <c r="T302" s="1">
        <v>-1.6999999999999999E-3</v>
      </c>
      <c r="U302" s="1">
        <v>0.93200000000000005</v>
      </c>
    </row>
    <row r="303" spans="1:21" x14ac:dyDescent="0.25">
      <c r="A303" t="s">
        <v>735</v>
      </c>
      <c r="B303" t="s">
        <v>736</v>
      </c>
      <c r="C303" t="s">
        <v>43</v>
      </c>
      <c r="D303" t="s">
        <v>150</v>
      </c>
      <c r="E303" t="s">
        <v>151</v>
      </c>
      <c r="F303" t="str">
        <f t="shared" si="4"/>
        <v>2018-05-20</v>
      </c>
      <c r="G303">
        <v>30.85</v>
      </c>
      <c r="H303" t="str">
        <f>"2016-08-04"</f>
        <v>2016-08-04</v>
      </c>
      <c r="I303" t="s">
        <v>26</v>
      </c>
      <c r="J303" t="str">
        <f>"2016-07-24"</f>
        <v>2016-07-24</v>
      </c>
      <c r="K303" t="s">
        <v>27</v>
      </c>
      <c r="L303">
        <v>2.3219578400000001</v>
      </c>
      <c r="M303">
        <v>302</v>
      </c>
      <c r="N303" s="1">
        <v>0.68210000000000004</v>
      </c>
      <c r="O303" s="1">
        <v>0.93169999999999997</v>
      </c>
      <c r="P303" s="1">
        <v>-1.44E-2</v>
      </c>
      <c r="Q303" s="1">
        <v>6.4999999999999997E-3</v>
      </c>
      <c r="R303" s="1">
        <v>2.3199999999999998E-2</v>
      </c>
      <c r="S303" s="1">
        <v>9.98E-2</v>
      </c>
      <c r="T303" s="1">
        <v>0.1321</v>
      </c>
      <c r="U303" s="1">
        <v>8.2500000000000004E-2</v>
      </c>
    </row>
    <row r="304" spans="1:21" x14ac:dyDescent="0.25">
      <c r="A304" t="s">
        <v>737</v>
      </c>
      <c r="B304" t="s">
        <v>738</v>
      </c>
      <c r="C304" t="s">
        <v>109</v>
      </c>
      <c r="D304" t="s">
        <v>110</v>
      </c>
      <c r="E304" t="s">
        <v>251</v>
      </c>
      <c r="F304" t="str">
        <f t="shared" si="4"/>
        <v>2018-05-20</v>
      </c>
      <c r="G304">
        <v>30.81</v>
      </c>
      <c r="H304" t="str">
        <f>"2017-09-21"</f>
        <v>2017-09-21</v>
      </c>
      <c r="I304" t="s">
        <v>26</v>
      </c>
      <c r="J304" t="str">
        <f>"2017-07-20"</f>
        <v>2017-07-20</v>
      </c>
      <c r="K304" t="s">
        <v>27</v>
      </c>
      <c r="L304">
        <v>2.3219435700000002</v>
      </c>
      <c r="M304">
        <v>303</v>
      </c>
      <c r="N304" s="1">
        <v>0.65110000000000001</v>
      </c>
      <c r="O304" s="1">
        <v>0.93169999999999997</v>
      </c>
      <c r="P304" s="1">
        <v>0</v>
      </c>
      <c r="Q304" s="1">
        <v>1.6799999999999999E-2</v>
      </c>
      <c r="R304" s="1">
        <v>1.78E-2</v>
      </c>
      <c r="S304" s="1">
        <v>0.1027</v>
      </c>
      <c r="T304" s="1">
        <v>0.1565</v>
      </c>
      <c r="U304" s="1">
        <v>0.63800000000000001</v>
      </c>
    </row>
    <row r="305" spans="1:21" x14ac:dyDescent="0.25">
      <c r="A305" t="s">
        <v>739</v>
      </c>
      <c r="B305" t="s">
        <v>740</v>
      </c>
      <c r="C305" t="s">
        <v>30</v>
      </c>
      <c r="D305" t="s">
        <v>48</v>
      </c>
      <c r="E305" t="s">
        <v>387</v>
      </c>
      <c r="F305" t="str">
        <f t="shared" si="4"/>
        <v>2018-05-20</v>
      </c>
      <c r="G305">
        <v>128.85</v>
      </c>
      <c r="H305" t="str">
        <f>"2016-09-08"</f>
        <v>2016-09-08</v>
      </c>
      <c r="I305" t="s">
        <v>26</v>
      </c>
      <c r="J305" t="str">
        <f>"2016-07-17"</f>
        <v>2016-07-17</v>
      </c>
      <c r="K305" t="s">
        <v>27</v>
      </c>
      <c r="L305">
        <v>2.32143392</v>
      </c>
      <c r="M305">
        <v>304</v>
      </c>
      <c r="N305" s="1">
        <v>0.40479999999999999</v>
      </c>
      <c r="O305" s="1">
        <v>0.92859999999999998</v>
      </c>
      <c r="P305" s="1">
        <v>-4.0599999999999997E-2</v>
      </c>
      <c r="Q305" s="1">
        <v>3.0999999999999999E-3</v>
      </c>
      <c r="R305" s="1">
        <v>4.1599999999999998E-2</v>
      </c>
      <c r="S305" s="1">
        <v>0.1263</v>
      </c>
      <c r="T305" s="1">
        <v>0.04</v>
      </c>
      <c r="U305" s="1">
        <v>0.23119999999999999</v>
      </c>
    </row>
    <row r="306" spans="1:21" x14ac:dyDescent="0.25">
      <c r="A306" t="s">
        <v>741</v>
      </c>
      <c r="B306" t="s">
        <v>742</v>
      </c>
      <c r="C306" t="s">
        <v>43</v>
      </c>
      <c r="D306" t="s">
        <v>150</v>
      </c>
      <c r="E306" t="s">
        <v>151</v>
      </c>
      <c r="F306" t="str">
        <f t="shared" si="4"/>
        <v>2018-05-20</v>
      </c>
      <c r="G306">
        <v>47.1</v>
      </c>
      <c r="H306" t="str">
        <f>"2016-03-29"</f>
        <v>2016-03-29</v>
      </c>
      <c r="I306" t="s">
        <v>26</v>
      </c>
      <c r="J306" t="str">
        <f>"2016-03-07"</f>
        <v>2016-03-07</v>
      </c>
      <c r="K306" t="s">
        <v>27</v>
      </c>
      <c r="L306">
        <v>2.32119476</v>
      </c>
      <c r="M306">
        <v>305</v>
      </c>
      <c r="N306" s="1">
        <v>0.43990000000000001</v>
      </c>
      <c r="O306" s="1">
        <v>0.92720000000000002</v>
      </c>
      <c r="P306" s="1">
        <v>0</v>
      </c>
      <c r="Q306" s="1">
        <v>2.6100000000000002E-2</v>
      </c>
      <c r="R306" s="1">
        <v>4.6699999999999998E-2</v>
      </c>
      <c r="S306" s="1">
        <v>9.4100000000000003E-2</v>
      </c>
      <c r="T306" s="1">
        <v>0.1336</v>
      </c>
      <c r="U306" s="1">
        <v>0.25769999999999998</v>
      </c>
    </row>
    <row r="307" spans="1:21" x14ac:dyDescent="0.25">
      <c r="A307" t="s">
        <v>743</v>
      </c>
      <c r="B307" t="s">
        <v>744</v>
      </c>
      <c r="C307" t="s">
        <v>43</v>
      </c>
      <c r="D307" t="s">
        <v>44</v>
      </c>
      <c r="E307" t="s">
        <v>246</v>
      </c>
      <c r="F307" t="str">
        <f t="shared" si="4"/>
        <v>2018-05-20</v>
      </c>
      <c r="G307">
        <v>61.49</v>
      </c>
      <c r="H307" t="str">
        <f>"2017-11-12"</f>
        <v>2017-11-12</v>
      </c>
      <c r="I307" t="s">
        <v>26</v>
      </c>
      <c r="J307" t="str">
        <f>"2017-09-26"</f>
        <v>2017-09-26</v>
      </c>
      <c r="K307" t="s">
        <v>27</v>
      </c>
      <c r="L307">
        <v>2.3209625200000001</v>
      </c>
      <c r="M307">
        <v>306</v>
      </c>
      <c r="N307" s="1">
        <v>0.45710000000000001</v>
      </c>
      <c r="O307" s="1">
        <v>0.92579999999999996</v>
      </c>
      <c r="P307" s="1">
        <v>0</v>
      </c>
      <c r="Q307" s="1">
        <v>1.2200000000000001E-2</v>
      </c>
      <c r="R307" s="1">
        <v>3.4299999999999997E-2</v>
      </c>
      <c r="S307" s="1">
        <v>0.214</v>
      </c>
      <c r="T307" s="1">
        <v>0.2485</v>
      </c>
      <c r="U307" s="1">
        <v>0.75790000000000002</v>
      </c>
    </row>
    <row r="308" spans="1:21" x14ac:dyDescent="0.25">
      <c r="A308" t="s">
        <v>745</v>
      </c>
      <c r="B308" t="s">
        <v>746</v>
      </c>
      <c r="C308" t="s">
        <v>23</v>
      </c>
      <c r="D308" t="s">
        <v>24</v>
      </c>
      <c r="E308" t="s">
        <v>747</v>
      </c>
      <c r="F308" t="str">
        <f t="shared" si="4"/>
        <v>2018-05-20</v>
      </c>
      <c r="G308">
        <v>58.5</v>
      </c>
      <c r="H308" t="str">
        <f>"2017-05-08"</f>
        <v>2017-05-08</v>
      </c>
      <c r="I308" t="s">
        <v>26</v>
      </c>
      <c r="J308" t="str">
        <f>"2017-04-06"</f>
        <v>2017-04-06</v>
      </c>
      <c r="K308" t="s">
        <v>40</v>
      </c>
      <c r="L308">
        <v>2.32072368</v>
      </c>
      <c r="M308">
        <v>307</v>
      </c>
      <c r="N308" s="1">
        <v>0.63870000000000005</v>
      </c>
      <c r="O308" s="1">
        <v>0.92430000000000001</v>
      </c>
      <c r="P308" s="1">
        <v>-2.9899999999999999E-2</v>
      </c>
      <c r="Q308" s="1">
        <v>1.3899999999999999E-2</v>
      </c>
      <c r="R308" s="1">
        <v>5.2200000000000003E-2</v>
      </c>
      <c r="S308" s="1">
        <v>3.3599999999999998E-2</v>
      </c>
      <c r="T308" s="1">
        <v>2.01E-2</v>
      </c>
      <c r="U308" s="1">
        <v>0.70309999999999995</v>
      </c>
    </row>
    <row r="309" spans="1:21" x14ac:dyDescent="0.25">
      <c r="A309" t="s">
        <v>748</v>
      </c>
      <c r="B309" t="s">
        <v>749</v>
      </c>
      <c r="C309" t="s">
        <v>23</v>
      </c>
      <c r="D309" t="s">
        <v>24</v>
      </c>
      <c r="E309" t="s">
        <v>494</v>
      </c>
      <c r="F309" t="str">
        <f t="shared" si="4"/>
        <v>2018-05-20</v>
      </c>
      <c r="G309">
        <v>58.99</v>
      </c>
      <c r="H309" t="str">
        <f>"2017-11-02"</f>
        <v>2017-11-02</v>
      </c>
      <c r="I309" t="s">
        <v>26</v>
      </c>
      <c r="J309" t="str">
        <f>"2017-10-19"</f>
        <v>2017-10-19</v>
      </c>
      <c r="K309" t="s">
        <v>27</v>
      </c>
      <c r="L309">
        <v>2.3206675400000001</v>
      </c>
      <c r="M309">
        <v>308</v>
      </c>
      <c r="N309" s="1">
        <v>0.64319999999999999</v>
      </c>
      <c r="O309" s="1">
        <v>0.92400000000000004</v>
      </c>
      <c r="P309" s="1">
        <v>-1.12E-2</v>
      </c>
      <c r="Q309" s="1">
        <v>9.1000000000000004E-3</v>
      </c>
      <c r="R309" s="1">
        <v>1.7399999999999999E-2</v>
      </c>
      <c r="S309" s="1">
        <v>0.37859999999999999</v>
      </c>
      <c r="T309" s="1">
        <v>0.51259999999999994</v>
      </c>
      <c r="U309" s="1">
        <v>0.55649999999999999</v>
      </c>
    </row>
    <row r="310" spans="1:21" x14ac:dyDescent="0.25">
      <c r="A310" t="s">
        <v>750</v>
      </c>
      <c r="B310" t="s">
        <v>751</v>
      </c>
      <c r="C310" t="s">
        <v>30</v>
      </c>
      <c r="D310" t="s">
        <v>347</v>
      </c>
      <c r="E310" t="s">
        <v>523</v>
      </c>
      <c r="F310" t="str">
        <f t="shared" si="4"/>
        <v>2018-05-20</v>
      </c>
      <c r="G310">
        <v>56.8</v>
      </c>
      <c r="H310" t="str">
        <f>"2016-03-20"</f>
        <v>2016-03-20</v>
      </c>
      <c r="I310" t="s">
        <v>26</v>
      </c>
      <c r="J310" t="str">
        <f>"2016-01-13"</f>
        <v>2016-01-13</v>
      </c>
      <c r="K310" t="s">
        <v>40</v>
      </c>
      <c r="L310">
        <v>2.32014429</v>
      </c>
      <c r="M310">
        <v>309</v>
      </c>
      <c r="N310" s="1">
        <v>0.5897</v>
      </c>
      <c r="O310" s="1">
        <v>0.92090000000000005</v>
      </c>
      <c r="P310" s="1">
        <v>-7.9399999999999998E-2</v>
      </c>
      <c r="Q310" s="1">
        <v>1.2500000000000001E-2</v>
      </c>
      <c r="R310" s="1">
        <v>2.9000000000000001E-2</v>
      </c>
      <c r="S310" s="1">
        <v>-7.5700000000000003E-2</v>
      </c>
      <c r="T310" s="1">
        <v>-3.4799999999999998E-2</v>
      </c>
      <c r="U310" s="1">
        <v>0.12920000000000001</v>
      </c>
    </row>
    <row r="311" spans="1:21" x14ac:dyDescent="0.25">
      <c r="A311" t="s">
        <v>752</v>
      </c>
      <c r="B311" t="s">
        <v>753</v>
      </c>
      <c r="C311" t="s">
        <v>30</v>
      </c>
      <c r="D311" t="s">
        <v>48</v>
      </c>
      <c r="E311" t="s">
        <v>485</v>
      </c>
      <c r="F311" t="str">
        <f t="shared" si="4"/>
        <v>2018-05-20</v>
      </c>
      <c r="G311">
        <v>48.15</v>
      </c>
      <c r="H311" t="str">
        <f>"2016-07-25"</f>
        <v>2016-07-25</v>
      </c>
      <c r="I311" t="s">
        <v>26</v>
      </c>
      <c r="J311" t="str">
        <f>"2016-07-13"</f>
        <v>2016-07-13</v>
      </c>
      <c r="K311" t="s">
        <v>27</v>
      </c>
      <c r="L311">
        <v>2.3188319399999999</v>
      </c>
      <c r="M311">
        <v>310</v>
      </c>
      <c r="N311" s="1">
        <v>0.65459999999999996</v>
      </c>
      <c r="O311" s="1">
        <v>0.91300000000000003</v>
      </c>
      <c r="P311" s="1">
        <v>0</v>
      </c>
      <c r="Q311" s="1">
        <v>2.4899999999999999E-2</v>
      </c>
      <c r="R311" s="1">
        <v>4.3999999999999997E-2</v>
      </c>
      <c r="S311" s="1">
        <v>5.6599999999999998E-2</v>
      </c>
      <c r="T311" s="1">
        <v>0.2208</v>
      </c>
      <c r="U311" s="1">
        <v>0.39929999999999999</v>
      </c>
    </row>
    <row r="312" spans="1:21" x14ac:dyDescent="0.25">
      <c r="A312" t="s">
        <v>754</v>
      </c>
      <c r="B312" t="s">
        <v>755</v>
      </c>
      <c r="C312" t="s">
        <v>23</v>
      </c>
      <c r="D312" t="s">
        <v>24</v>
      </c>
      <c r="E312" t="s">
        <v>494</v>
      </c>
      <c r="F312" t="str">
        <f t="shared" si="4"/>
        <v>2018-05-20</v>
      </c>
      <c r="G312">
        <v>26.75</v>
      </c>
      <c r="H312" t="str">
        <f>"2016-12-14"</f>
        <v>2016-12-14</v>
      </c>
      <c r="I312" t="s">
        <v>26</v>
      </c>
      <c r="J312" t="str">
        <f>"2016-11-14"</f>
        <v>2016-11-14</v>
      </c>
      <c r="K312" t="s">
        <v>27</v>
      </c>
      <c r="L312">
        <v>2.31868001</v>
      </c>
      <c r="M312">
        <v>311</v>
      </c>
      <c r="N312" s="1">
        <v>0.4042</v>
      </c>
      <c r="O312" s="1">
        <v>0.91210000000000002</v>
      </c>
      <c r="P312" s="1">
        <v>-6.3E-2</v>
      </c>
      <c r="Q312" s="1">
        <v>9.4000000000000004E-3</v>
      </c>
      <c r="R312" s="1">
        <v>-1.11E-2</v>
      </c>
      <c r="S312" s="1">
        <v>1.52E-2</v>
      </c>
      <c r="T312" s="1">
        <v>7.2099999999999997E-2</v>
      </c>
      <c r="U312" s="1">
        <v>0.25290000000000001</v>
      </c>
    </row>
    <row r="313" spans="1:21" x14ac:dyDescent="0.25">
      <c r="A313" t="s">
        <v>756</v>
      </c>
      <c r="B313" t="s">
        <v>757</v>
      </c>
      <c r="C313" t="s">
        <v>109</v>
      </c>
      <c r="D313" t="s">
        <v>110</v>
      </c>
      <c r="E313" t="s">
        <v>111</v>
      </c>
      <c r="F313" t="str">
        <f t="shared" si="4"/>
        <v>2018-05-20</v>
      </c>
      <c r="G313">
        <v>41.63</v>
      </c>
      <c r="H313" t="str">
        <f>"2017-11-28"</f>
        <v>2017-11-28</v>
      </c>
      <c r="I313" t="s">
        <v>26</v>
      </c>
      <c r="J313" t="str">
        <f>"2016-10-30"</f>
        <v>2016-10-30</v>
      </c>
      <c r="K313" t="s">
        <v>34</v>
      </c>
      <c r="L313">
        <v>2.3185644299999999</v>
      </c>
      <c r="M313">
        <v>312</v>
      </c>
      <c r="N313" s="1">
        <v>8.6099999999999996E-2</v>
      </c>
      <c r="O313" s="1">
        <v>0.91139999999999999</v>
      </c>
      <c r="P313" s="1">
        <v>-7.5899999999999995E-2</v>
      </c>
      <c r="Q313" s="1">
        <v>1.1900000000000001E-2</v>
      </c>
      <c r="R313" s="1">
        <v>2.8500000000000001E-2</v>
      </c>
      <c r="S313" s="1">
        <v>1.61E-2</v>
      </c>
      <c r="T313" s="1">
        <v>6.3E-3</v>
      </c>
      <c r="U313" s="1">
        <v>0.27389999999999998</v>
      </c>
    </row>
    <row r="314" spans="1:21" x14ac:dyDescent="0.25">
      <c r="A314" t="s">
        <v>758</v>
      </c>
      <c r="B314" t="s">
        <v>759</v>
      </c>
      <c r="C314" t="s">
        <v>109</v>
      </c>
      <c r="D314" t="s">
        <v>110</v>
      </c>
      <c r="E314" t="s">
        <v>732</v>
      </c>
      <c r="F314" t="str">
        <f t="shared" si="4"/>
        <v>2018-05-20</v>
      </c>
      <c r="G314">
        <v>50</v>
      </c>
      <c r="H314" t="str">
        <f>"2015-12-08"</f>
        <v>2015-12-08</v>
      </c>
      <c r="I314" t="s">
        <v>26</v>
      </c>
      <c r="J314" t="str">
        <f>"2015-11-05"</f>
        <v>2015-11-05</v>
      </c>
      <c r="K314" t="s">
        <v>27</v>
      </c>
      <c r="L314">
        <v>2.3185525</v>
      </c>
      <c r="M314">
        <v>313</v>
      </c>
      <c r="N314" s="1">
        <v>0.47710000000000002</v>
      </c>
      <c r="O314" s="1">
        <v>0.9113</v>
      </c>
      <c r="P314" s="1">
        <v>-7.2400000000000006E-2</v>
      </c>
      <c r="Q314" s="1">
        <v>2E-3</v>
      </c>
      <c r="R314" s="1">
        <v>1.21E-2</v>
      </c>
      <c r="S314" s="1">
        <v>5.4899999999999997E-2</v>
      </c>
      <c r="T314" s="1">
        <v>0.13120000000000001</v>
      </c>
      <c r="U314" s="1">
        <v>0.29199999999999998</v>
      </c>
    </row>
    <row r="315" spans="1:21" x14ac:dyDescent="0.25">
      <c r="A315" t="s">
        <v>760</v>
      </c>
      <c r="B315" t="s">
        <v>761</v>
      </c>
      <c r="C315" t="s">
        <v>100</v>
      </c>
      <c r="D315" t="s">
        <v>217</v>
      </c>
      <c r="E315" t="s">
        <v>762</v>
      </c>
      <c r="F315" t="str">
        <f t="shared" si="4"/>
        <v>2018-05-20</v>
      </c>
      <c r="G315">
        <v>28.45</v>
      </c>
      <c r="H315" t="str">
        <f>"2017-08-22"</f>
        <v>2017-08-22</v>
      </c>
      <c r="I315" t="s">
        <v>26</v>
      </c>
      <c r="J315" t="str">
        <f>"2017-05-03"</f>
        <v>2017-05-03</v>
      </c>
      <c r="K315" t="s">
        <v>40</v>
      </c>
      <c r="L315">
        <v>2.3184463800000001</v>
      </c>
      <c r="M315">
        <v>314</v>
      </c>
      <c r="N315" s="1">
        <v>0.3987</v>
      </c>
      <c r="O315" s="1">
        <v>0.91069999999999995</v>
      </c>
      <c r="P315" s="1">
        <v>-4.4299999999999999E-2</v>
      </c>
      <c r="Q315" s="1">
        <v>-3.5000000000000001E-3</v>
      </c>
      <c r="R315" s="1">
        <v>1.14E-2</v>
      </c>
      <c r="S315" s="1">
        <v>9.8500000000000004E-2</v>
      </c>
      <c r="T315" s="1">
        <v>5.4100000000000002E-2</v>
      </c>
      <c r="U315" s="1">
        <v>0.79949999999999999</v>
      </c>
    </row>
    <row r="316" spans="1:21" x14ac:dyDescent="0.25">
      <c r="A316" t="s">
        <v>763</v>
      </c>
      <c r="B316" t="s">
        <v>764</v>
      </c>
      <c r="C316" t="s">
        <v>43</v>
      </c>
      <c r="D316" t="s">
        <v>150</v>
      </c>
      <c r="E316" t="s">
        <v>151</v>
      </c>
      <c r="F316" t="str">
        <f t="shared" si="4"/>
        <v>2018-05-20</v>
      </c>
      <c r="G316">
        <v>76.42</v>
      </c>
      <c r="H316" t="str">
        <f>"2016-01-04"</f>
        <v>2016-01-04</v>
      </c>
      <c r="I316" t="s">
        <v>26</v>
      </c>
      <c r="J316" t="str">
        <f>"2015-11-23"</f>
        <v>2015-11-23</v>
      </c>
      <c r="K316" t="s">
        <v>27</v>
      </c>
      <c r="L316">
        <v>2.31841667</v>
      </c>
      <c r="M316">
        <v>315</v>
      </c>
      <c r="N316" s="1">
        <v>0.53580000000000005</v>
      </c>
      <c r="O316" s="1">
        <v>0.91049999999999998</v>
      </c>
      <c r="P316" s="1">
        <v>-8.3799999999999999E-2</v>
      </c>
      <c r="Q316" s="1">
        <v>1.8499999999999999E-2</v>
      </c>
      <c r="R316" s="1">
        <v>3.9600000000000003E-2</v>
      </c>
      <c r="S316" s="1">
        <v>3.3000000000000002E-2</v>
      </c>
      <c r="T316" s="1">
        <v>4.99E-2</v>
      </c>
      <c r="U316" s="1">
        <v>0.13789999999999999</v>
      </c>
    </row>
    <row r="317" spans="1:21" x14ac:dyDescent="0.25">
      <c r="A317" t="s">
        <v>765</v>
      </c>
      <c r="B317" t="s">
        <v>766</v>
      </c>
      <c r="C317" t="s">
        <v>518</v>
      </c>
      <c r="D317" t="s">
        <v>573</v>
      </c>
      <c r="E317" t="s">
        <v>574</v>
      </c>
      <c r="F317" t="str">
        <f t="shared" si="4"/>
        <v>2018-05-20</v>
      </c>
      <c r="G317">
        <v>63.89</v>
      </c>
      <c r="H317" t="str">
        <f>"2015-09-17"</f>
        <v>2015-09-17</v>
      </c>
      <c r="I317" t="s">
        <v>26</v>
      </c>
      <c r="J317" t="str">
        <f>"2015-05-07"</f>
        <v>2015-05-07</v>
      </c>
      <c r="K317" t="s">
        <v>40</v>
      </c>
      <c r="L317">
        <v>2.3181455999999998</v>
      </c>
      <c r="M317">
        <v>316</v>
      </c>
      <c r="N317" s="1">
        <v>0.79010000000000002</v>
      </c>
      <c r="O317" s="1">
        <v>0.90890000000000004</v>
      </c>
      <c r="P317" s="1">
        <v>-7.6200000000000004E-2</v>
      </c>
      <c r="Q317" s="1">
        <v>2.3999999999999998E-3</v>
      </c>
      <c r="R317" s="1">
        <v>-1.7999999999999999E-2</v>
      </c>
      <c r="S317" s="1">
        <v>-2.9000000000000001E-2</v>
      </c>
      <c r="T317" s="1">
        <v>0.1875</v>
      </c>
      <c r="U317" s="1">
        <v>0.2064</v>
      </c>
    </row>
    <row r="318" spans="1:21" x14ac:dyDescent="0.25">
      <c r="A318" t="s">
        <v>767</v>
      </c>
      <c r="B318" t="s">
        <v>768</v>
      </c>
      <c r="C318" t="s">
        <v>37</v>
      </c>
      <c r="D318" t="s">
        <v>66</v>
      </c>
      <c r="E318" t="s">
        <v>72</v>
      </c>
      <c r="F318" t="str">
        <f t="shared" si="4"/>
        <v>2018-05-20</v>
      </c>
      <c r="G318">
        <v>17.27</v>
      </c>
      <c r="H318" t="str">
        <f>"2018-05-02"</f>
        <v>2018-05-02</v>
      </c>
      <c r="I318" t="s">
        <v>26</v>
      </c>
      <c r="J318" t="str">
        <f>"2018-01-16"</f>
        <v>2018-01-16</v>
      </c>
      <c r="K318" t="s">
        <v>40</v>
      </c>
      <c r="L318">
        <v>2.31769684</v>
      </c>
      <c r="M318">
        <v>317</v>
      </c>
      <c r="N318" s="1">
        <v>0.18129999999999999</v>
      </c>
      <c r="O318" s="1">
        <v>0.90620000000000001</v>
      </c>
      <c r="P318" s="1">
        <v>0</v>
      </c>
      <c r="Q318" s="1">
        <v>1.7100000000000001E-2</v>
      </c>
      <c r="R318" s="1">
        <v>2.6100000000000002E-2</v>
      </c>
      <c r="S318" s="1">
        <v>0.3024</v>
      </c>
      <c r="T318" s="1">
        <v>0.73740000000000006</v>
      </c>
      <c r="U318" s="1">
        <v>1.2965</v>
      </c>
    </row>
    <row r="319" spans="1:21" x14ac:dyDescent="0.25">
      <c r="A319" t="s">
        <v>769</v>
      </c>
      <c r="B319" t="s">
        <v>770</v>
      </c>
      <c r="C319" t="s">
        <v>23</v>
      </c>
      <c r="D319" t="s">
        <v>52</v>
      </c>
      <c r="E319" t="s">
        <v>190</v>
      </c>
      <c r="F319" t="str">
        <f t="shared" si="4"/>
        <v>2018-05-20</v>
      </c>
      <c r="G319">
        <v>30.51</v>
      </c>
      <c r="H319" t="str">
        <f>"2017-05-08"</f>
        <v>2017-05-08</v>
      </c>
      <c r="I319" t="s">
        <v>26</v>
      </c>
      <c r="J319" t="str">
        <f>"2017-02-19"</f>
        <v>2017-02-19</v>
      </c>
      <c r="K319" t="s">
        <v>57</v>
      </c>
      <c r="L319">
        <v>2.3176139899999999</v>
      </c>
      <c r="M319">
        <v>318</v>
      </c>
      <c r="N319" s="1">
        <v>0.58819999999999995</v>
      </c>
      <c r="O319" s="1">
        <v>0.90569999999999995</v>
      </c>
      <c r="P319" s="1">
        <v>-5.0099999999999999E-2</v>
      </c>
      <c r="Q319" s="1">
        <v>2E-3</v>
      </c>
      <c r="R319" s="1">
        <v>3.5999999999999997E-2</v>
      </c>
      <c r="S319" s="1">
        <v>-8.3999999999999995E-3</v>
      </c>
      <c r="T319" s="1">
        <v>0.3548</v>
      </c>
      <c r="U319" s="1">
        <v>0.67090000000000005</v>
      </c>
    </row>
    <row r="320" spans="1:21" x14ac:dyDescent="0.25">
      <c r="A320" t="s">
        <v>771</v>
      </c>
      <c r="B320" t="s">
        <v>772</v>
      </c>
      <c r="C320" t="s">
        <v>87</v>
      </c>
      <c r="D320" t="s">
        <v>144</v>
      </c>
      <c r="E320" t="s">
        <v>145</v>
      </c>
      <c r="F320" t="str">
        <f t="shared" si="4"/>
        <v>2018-05-20</v>
      </c>
      <c r="G320">
        <v>6.01</v>
      </c>
      <c r="H320" t="str">
        <f>"2017-12-26"</f>
        <v>2017-12-26</v>
      </c>
      <c r="I320" t="s">
        <v>26</v>
      </c>
      <c r="J320" t="str">
        <f>"2017-09-26"</f>
        <v>2017-09-26</v>
      </c>
      <c r="K320" t="s">
        <v>27</v>
      </c>
      <c r="L320">
        <v>2.3169831200000002</v>
      </c>
      <c r="M320">
        <v>319</v>
      </c>
      <c r="N320" s="1">
        <v>0.35670000000000002</v>
      </c>
      <c r="O320" s="1">
        <v>0.90190000000000003</v>
      </c>
      <c r="P320" s="1">
        <v>0</v>
      </c>
      <c r="Q320" s="1">
        <v>5.0000000000000001E-3</v>
      </c>
      <c r="R320" s="1">
        <v>0.1171</v>
      </c>
      <c r="S320" s="1">
        <v>0.2417</v>
      </c>
      <c r="T320" s="1">
        <v>0.36899999999999999</v>
      </c>
      <c r="U320" s="1">
        <v>0.30649999999999999</v>
      </c>
    </row>
    <row r="321" spans="1:21" x14ac:dyDescent="0.25">
      <c r="A321" t="s">
        <v>773</v>
      </c>
      <c r="B321" t="s">
        <v>774</v>
      </c>
      <c r="C321" t="s">
        <v>43</v>
      </c>
      <c r="D321" t="s">
        <v>44</v>
      </c>
      <c r="E321" t="s">
        <v>246</v>
      </c>
      <c r="F321" t="str">
        <f t="shared" si="4"/>
        <v>2018-05-20</v>
      </c>
      <c r="G321">
        <v>63.89</v>
      </c>
      <c r="H321" t="str">
        <f>"2017-08-03"</f>
        <v>2017-08-03</v>
      </c>
      <c r="I321" t="s">
        <v>26</v>
      </c>
      <c r="J321" t="str">
        <f>"2017-07-16"</f>
        <v>2017-07-16</v>
      </c>
      <c r="K321" t="s">
        <v>40</v>
      </c>
      <c r="L321">
        <v>2.31691468</v>
      </c>
      <c r="M321">
        <v>320</v>
      </c>
      <c r="N321" s="1">
        <v>0.57909999999999995</v>
      </c>
      <c r="O321" s="1">
        <v>0.90149999999999997</v>
      </c>
      <c r="P321" s="1">
        <v>-8.3999999999999995E-3</v>
      </c>
      <c r="Q321" s="1">
        <v>-8.9999999999999998E-4</v>
      </c>
      <c r="R321" s="1">
        <v>1.12E-2</v>
      </c>
      <c r="S321" s="1">
        <v>7.5600000000000001E-2</v>
      </c>
      <c r="T321" s="1">
        <v>0.31680000000000003</v>
      </c>
      <c r="U321" s="1">
        <v>0.84389999999999998</v>
      </c>
    </row>
    <row r="322" spans="1:21" x14ac:dyDescent="0.25">
      <c r="A322" t="s">
        <v>775</v>
      </c>
      <c r="B322" t="s">
        <v>776</v>
      </c>
      <c r="C322" t="s">
        <v>37</v>
      </c>
      <c r="D322" t="s">
        <v>66</v>
      </c>
      <c r="E322" t="s">
        <v>72</v>
      </c>
      <c r="F322" t="str">
        <f t="shared" ref="F322:F339" si="5">"2018-05-20"</f>
        <v>2018-05-20</v>
      </c>
      <c r="G322">
        <v>84</v>
      </c>
      <c r="H322" t="str">
        <f>"2017-05-01"</f>
        <v>2017-05-01</v>
      </c>
      <c r="I322" t="s">
        <v>26</v>
      </c>
      <c r="J322" t="str">
        <f>"2017-04-06"</f>
        <v>2017-04-06</v>
      </c>
      <c r="K322" t="s">
        <v>27</v>
      </c>
      <c r="L322">
        <v>2.31624125</v>
      </c>
      <c r="M322">
        <v>321</v>
      </c>
      <c r="N322" s="1">
        <v>0.58879999999999999</v>
      </c>
      <c r="O322" s="1">
        <v>0.89739999999999998</v>
      </c>
      <c r="P322" s="1">
        <v>-6.4000000000000001E-2</v>
      </c>
      <c r="Q322" s="1">
        <v>1.6999999999999999E-3</v>
      </c>
      <c r="R322" s="1">
        <v>-1.12E-2</v>
      </c>
      <c r="S322" s="1">
        <v>-5.0500000000000003E-2</v>
      </c>
      <c r="T322" s="1">
        <v>-4.53E-2</v>
      </c>
      <c r="U322" s="1">
        <v>0.43740000000000001</v>
      </c>
    </row>
    <row r="323" spans="1:21" x14ac:dyDescent="0.25">
      <c r="A323" t="s">
        <v>777</v>
      </c>
      <c r="B323" t="s">
        <v>778</v>
      </c>
      <c r="C323" t="s">
        <v>37</v>
      </c>
      <c r="D323" t="s">
        <v>66</v>
      </c>
      <c r="E323" t="s">
        <v>94</v>
      </c>
      <c r="F323" t="str">
        <f t="shared" si="5"/>
        <v>2018-05-20</v>
      </c>
      <c r="G323">
        <v>34.659999999999997</v>
      </c>
      <c r="H323" t="str">
        <f>"2017-07-23"</f>
        <v>2017-07-23</v>
      </c>
      <c r="I323" t="s">
        <v>26</v>
      </c>
      <c r="J323" t="str">
        <f>"2017-06-15"</f>
        <v>2017-06-15</v>
      </c>
      <c r="K323" t="s">
        <v>27</v>
      </c>
      <c r="L323">
        <v>2.3161831799999999</v>
      </c>
      <c r="M323">
        <v>322</v>
      </c>
      <c r="N323" s="1">
        <v>0.52690000000000003</v>
      </c>
      <c r="O323" s="1">
        <v>0.89710000000000001</v>
      </c>
      <c r="P323" s="1">
        <v>-2.3E-3</v>
      </c>
      <c r="Q323" s="1">
        <v>-2.3E-3</v>
      </c>
      <c r="R323" s="1">
        <v>5.3800000000000001E-2</v>
      </c>
      <c r="S323" s="1">
        <v>0.23480000000000001</v>
      </c>
      <c r="T323" s="1">
        <v>0.25940000000000002</v>
      </c>
      <c r="U323" s="1">
        <v>0.85050000000000003</v>
      </c>
    </row>
    <row r="324" spans="1:21" x14ac:dyDescent="0.25">
      <c r="A324" t="s">
        <v>779</v>
      </c>
      <c r="B324" t="s">
        <v>780</v>
      </c>
      <c r="C324" t="s">
        <v>30</v>
      </c>
      <c r="D324" t="s">
        <v>31</v>
      </c>
      <c r="E324" t="s">
        <v>31</v>
      </c>
      <c r="F324" t="str">
        <f t="shared" si="5"/>
        <v>2018-05-20</v>
      </c>
      <c r="G324">
        <v>11.55</v>
      </c>
      <c r="H324" t="str">
        <f>"2016-05-11"</f>
        <v>2016-05-11</v>
      </c>
      <c r="I324" t="s">
        <v>26</v>
      </c>
      <c r="J324" t="str">
        <f>"2016-03-24"</f>
        <v>2016-03-24</v>
      </c>
      <c r="K324" t="s">
        <v>40</v>
      </c>
      <c r="L324">
        <v>2.3160919500000001</v>
      </c>
      <c r="M324">
        <v>323</v>
      </c>
      <c r="N324" s="1">
        <v>0.84799999999999998</v>
      </c>
      <c r="O324" s="1">
        <v>0.89659999999999995</v>
      </c>
      <c r="P324" s="1">
        <v>-5.7099999999999998E-2</v>
      </c>
      <c r="Q324" s="1">
        <v>4.3E-3</v>
      </c>
      <c r="R324" s="1">
        <v>3.1300000000000001E-2</v>
      </c>
      <c r="S324" s="1">
        <v>8.6999999999999994E-3</v>
      </c>
      <c r="T324" s="1">
        <v>4.5199999999999997E-2</v>
      </c>
      <c r="U324" s="1">
        <v>6.4500000000000002E-2</v>
      </c>
    </row>
    <row r="325" spans="1:21" x14ac:dyDescent="0.25">
      <c r="A325" t="s">
        <v>781</v>
      </c>
      <c r="B325" t="s">
        <v>782</v>
      </c>
      <c r="C325" t="s">
        <v>114</v>
      </c>
      <c r="D325" t="s">
        <v>115</v>
      </c>
      <c r="E325" t="s">
        <v>116</v>
      </c>
      <c r="F325" t="str">
        <f t="shared" si="5"/>
        <v>2018-05-20</v>
      </c>
      <c r="G325">
        <v>97</v>
      </c>
      <c r="H325" t="str">
        <f>"2017-05-09"</f>
        <v>2017-05-09</v>
      </c>
      <c r="I325" t="s">
        <v>26</v>
      </c>
      <c r="J325" t="str">
        <f>"2016-11-28"</f>
        <v>2016-11-28</v>
      </c>
      <c r="K325" t="s">
        <v>40</v>
      </c>
      <c r="L325">
        <v>2.3157552099999998</v>
      </c>
      <c r="M325">
        <v>324</v>
      </c>
      <c r="N325" s="1">
        <v>0.46529999999999999</v>
      </c>
      <c r="O325" s="1">
        <v>0.89449999999999996</v>
      </c>
      <c r="P325" s="1">
        <v>-1.52E-2</v>
      </c>
      <c r="Q325" s="1">
        <v>3.6299999999999999E-2</v>
      </c>
      <c r="R325" s="1">
        <v>6.0100000000000001E-2</v>
      </c>
      <c r="S325" s="1">
        <v>2.3199999999999998E-2</v>
      </c>
      <c r="T325" s="1">
        <v>0.10100000000000001</v>
      </c>
      <c r="U325" s="1">
        <v>0.46079999999999999</v>
      </c>
    </row>
    <row r="326" spans="1:21" x14ac:dyDescent="0.25">
      <c r="A326" t="s">
        <v>783</v>
      </c>
      <c r="B326" t="s">
        <v>784</v>
      </c>
      <c r="C326" t="s">
        <v>37</v>
      </c>
      <c r="D326" t="s">
        <v>66</v>
      </c>
      <c r="E326" t="s">
        <v>67</v>
      </c>
      <c r="F326" t="str">
        <f t="shared" si="5"/>
        <v>2018-05-20</v>
      </c>
      <c r="G326">
        <v>83</v>
      </c>
      <c r="H326" t="str">
        <f>"2018-01-16"</f>
        <v>2018-01-16</v>
      </c>
      <c r="I326" t="s">
        <v>26</v>
      </c>
      <c r="J326" t="str">
        <f>"2017-11-21"</f>
        <v>2017-11-21</v>
      </c>
      <c r="K326" t="s">
        <v>27</v>
      </c>
      <c r="L326">
        <v>2.3156853800000001</v>
      </c>
      <c r="M326">
        <v>325</v>
      </c>
      <c r="N326" s="1">
        <v>0.3342</v>
      </c>
      <c r="O326" s="1">
        <v>0.89410000000000001</v>
      </c>
      <c r="P326" s="1">
        <v>-8.6E-3</v>
      </c>
      <c r="Q326" s="1">
        <v>-3.8E-3</v>
      </c>
      <c r="R326" s="1">
        <v>0.15010000000000001</v>
      </c>
      <c r="S326" s="1">
        <v>0.1447</v>
      </c>
      <c r="T326" s="1">
        <v>0.1973</v>
      </c>
      <c r="U326" s="1">
        <v>0.7349</v>
      </c>
    </row>
    <row r="327" spans="1:21" x14ac:dyDescent="0.25">
      <c r="A327" t="s">
        <v>785</v>
      </c>
      <c r="B327" t="s">
        <v>786</v>
      </c>
      <c r="C327" t="s">
        <v>43</v>
      </c>
      <c r="D327" t="s">
        <v>44</v>
      </c>
      <c r="E327" t="s">
        <v>45</v>
      </c>
      <c r="F327" t="str">
        <f t="shared" si="5"/>
        <v>2018-05-20</v>
      </c>
      <c r="G327">
        <v>33.049999999999997</v>
      </c>
      <c r="H327" t="str">
        <f>"2017-11-14"</f>
        <v>2017-11-14</v>
      </c>
      <c r="I327" t="s">
        <v>26</v>
      </c>
      <c r="J327" t="str">
        <f>"2017-09-26"</f>
        <v>2017-09-26</v>
      </c>
      <c r="K327" t="s">
        <v>27</v>
      </c>
      <c r="L327">
        <v>2.3156637999999998</v>
      </c>
      <c r="M327">
        <v>326</v>
      </c>
      <c r="N327" s="1">
        <v>0.34350000000000003</v>
      </c>
      <c r="O327" s="1">
        <v>0.89400000000000002</v>
      </c>
      <c r="P327" s="1">
        <v>-1.5E-3</v>
      </c>
      <c r="Q327" s="1">
        <v>1.23E-2</v>
      </c>
      <c r="R327" s="1">
        <v>3.2800000000000003E-2</v>
      </c>
      <c r="S327" s="1">
        <v>0.1678</v>
      </c>
      <c r="T327" s="1">
        <v>0.1658</v>
      </c>
      <c r="U327" s="1">
        <v>0.78169999999999995</v>
      </c>
    </row>
    <row r="328" spans="1:21" x14ac:dyDescent="0.25">
      <c r="A328" t="s">
        <v>787</v>
      </c>
      <c r="B328" t="s">
        <v>788</v>
      </c>
      <c r="C328" t="s">
        <v>37</v>
      </c>
      <c r="D328" t="s">
        <v>38</v>
      </c>
      <c r="E328" t="s">
        <v>39</v>
      </c>
      <c r="F328" t="str">
        <f t="shared" si="5"/>
        <v>2018-05-20</v>
      </c>
      <c r="G328">
        <v>41.96</v>
      </c>
      <c r="H328" t="str">
        <f>"2017-09-17"</f>
        <v>2017-09-17</v>
      </c>
      <c r="I328" t="s">
        <v>26</v>
      </c>
      <c r="J328" t="str">
        <f>"2016-08-11"</f>
        <v>2016-08-11</v>
      </c>
      <c r="K328" t="s">
        <v>34</v>
      </c>
      <c r="L328">
        <v>2.31529907</v>
      </c>
      <c r="M328">
        <v>327</v>
      </c>
      <c r="N328" s="1">
        <v>0.35310000000000002</v>
      </c>
      <c r="O328" s="1">
        <v>0.89180000000000004</v>
      </c>
      <c r="P328" s="1">
        <v>-1.55E-2</v>
      </c>
      <c r="Q328" s="1">
        <v>-1.55E-2</v>
      </c>
      <c r="R328" s="1">
        <v>-8.3000000000000001E-3</v>
      </c>
      <c r="S328" s="1">
        <v>0.13100000000000001</v>
      </c>
      <c r="T328" s="1">
        <v>7.4499999999999997E-2</v>
      </c>
      <c r="U328" s="1">
        <v>0.56630000000000003</v>
      </c>
    </row>
    <row r="329" spans="1:21" x14ac:dyDescent="0.25">
      <c r="A329" t="s">
        <v>789</v>
      </c>
      <c r="B329" t="s">
        <v>790</v>
      </c>
      <c r="C329" t="s">
        <v>30</v>
      </c>
      <c r="D329" t="s">
        <v>48</v>
      </c>
      <c r="E329" t="s">
        <v>485</v>
      </c>
      <c r="F329" t="str">
        <f t="shared" si="5"/>
        <v>2018-05-20</v>
      </c>
      <c r="G329">
        <v>29.4</v>
      </c>
      <c r="H329" t="str">
        <f>"2017-09-20"</f>
        <v>2017-09-20</v>
      </c>
      <c r="I329" t="s">
        <v>26</v>
      </c>
      <c r="J329" t="str">
        <f>"2017-05-30"</f>
        <v>2017-05-30</v>
      </c>
      <c r="K329" t="s">
        <v>40</v>
      </c>
      <c r="L329">
        <v>2.3151125399999999</v>
      </c>
      <c r="M329">
        <v>328</v>
      </c>
      <c r="N329" s="1">
        <v>0.72430000000000005</v>
      </c>
      <c r="O329" s="1">
        <v>0.89070000000000005</v>
      </c>
      <c r="P329" s="1">
        <v>0</v>
      </c>
      <c r="Q329" s="1">
        <v>1.9099999999999999E-2</v>
      </c>
      <c r="R329" s="1">
        <v>3.3399999999999999E-2</v>
      </c>
      <c r="S329" s="1">
        <v>9.5000000000000001E-2</v>
      </c>
      <c r="T329" s="1">
        <v>9.0899999999999995E-2</v>
      </c>
      <c r="U329" s="1">
        <v>0.83750000000000002</v>
      </c>
    </row>
    <row r="330" spans="1:21" x14ac:dyDescent="0.25">
      <c r="A330" t="s">
        <v>791</v>
      </c>
      <c r="B330" t="s">
        <v>792</v>
      </c>
      <c r="C330" t="s">
        <v>43</v>
      </c>
      <c r="D330" t="s">
        <v>150</v>
      </c>
      <c r="E330" t="s">
        <v>151</v>
      </c>
      <c r="F330" t="str">
        <f t="shared" si="5"/>
        <v>2018-05-20</v>
      </c>
      <c r="G330">
        <v>47.25</v>
      </c>
      <c r="H330" t="str">
        <f>"2016-11-15"</f>
        <v>2016-11-15</v>
      </c>
      <c r="I330" t="s">
        <v>26</v>
      </c>
      <c r="J330" t="str">
        <f>"2016-09-13"</f>
        <v>2016-09-13</v>
      </c>
      <c r="K330" t="s">
        <v>40</v>
      </c>
      <c r="L330">
        <v>2.3149999999999999</v>
      </c>
      <c r="M330">
        <v>329</v>
      </c>
      <c r="N330" s="1">
        <v>0.54159999999999997</v>
      </c>
      <c r="O330" s="1">
        <v>0.89</v>
      </c>
      <c r="P330" s="1">
        <v>-3.3700000000000001E-2</v>
      </c>
      <c r="Q330" s="1">
        <v>5.3E-3</v>
      </c>
      <c r="R330" s="1">
        <v>3.6200000000000003E-2</v>
      </c>
      <c r="S330" s="1">
        <v>2.3800000000000002E-2</v>
      </c>
      <c r="T330" s="1">
        <v>0.1144</v>
      </c>
      <c r="U330" s="1">
        <v>0.6321</v>
      </c>
    </row>
    <row r="331" spans="1:21" x14ac:dyDescent="0.25">
      <c r="A331" t="s">
        <v>793</v>
      </c>
      <c r="B331" t="s">
        <v>794</v>
      </c>
      <c r="C331" t="s">
        <v>37</v>
      </c>
      <c r="D331" t="s">
        <v>38</v>
      </c>
      <c r="E331" t="s">
        <v>97</v>
      </c>
      <c r="F331" t="str">
        <f t="shared" si="5"/>
        <v>2018-05-20</v>
      </c>
      <c r="G331">
        <v>2.5299999999999998</v>
      </c>
      <c r="H331" t="str">
        <f>"2018-04-23"</f>
        <v>2018-04-23</v>
      </c>
      <c r="I331" t="s">
        <v>26</v>
      </c>
      <c r="J331" t="str">
        <f>"2018-02-20"</f>
        <v>2018-02-20</v>
      </c>
      <c r="K331" t="s">
        <v>40</v>
      </c>
      <c r="L331">
        <v>2.3146766200000002</v>
      </c>
      <c r="M331">
        <v>330</v>
      </c>
      <c r="N331" s="1">
        <v>0.21049999999999999</v>
      </c>
      <c r="O331" s="1">
        <v>0.8881</v>
      </c>
      <c r="P331" s="1">
        <v>0</v>
      </c>
      <c r="Q331" s="1">
        <v>3.27E-2</v>
      </c>
      <c r="R331" s="1">
        <v>0.14480000000000001</v>
      </c>
      <c r="S331" s="1">
        <v>0.21049999999999999</v>
      </c>
      <c r="T331" s="1">
        <v>0.83330000000000004</v>
      </c>
      <c r="U331" s="1">
        <v>0.7329</v>
      </c>
    </row>
    <row r="332" spans="1:21" x14ac:dyDescent="0.25">
      <c r="A332" t="s">
        <v>795</v>
      </c>
      <c r="B332" t="s">
        <v>796</v>
      </c>
      <c r="C332" t="s">
        <v>23</v>
      </c>
      <c r="D332" t="s">
        <v>52</v>
      </c>
      <c r="E332" t="s">
        <v>190</v>
      </c>
      <c r="F332" t="str">
        <f t="shared" si="5"/>
        <v>2018-05-20</v>
      </c>
      <c r="G332">
        <v>25.8</v>
      </c>
      <c r="H332" t="str">
        <f>"2017-11-29"</f>
        <v>2017-11-29</v>
      </c>
      <c r="I332" t="s">
        <v>26</v>
      </c>
      <c r="J332" t="str">
        <f>"2017-11-02"</f>
        <v>2017-11-02</v>
      </c>
      <c r="K332" t="s">
        <v>27</v>
      </c>
      <c r="L332">
        <v>2.3138686100000001</v>
      </c>
      <c r="M332">
        <v>331</v>
      </c>
      <c r="N332" s="1">
        <v>6.3899999999999998E-2</v>
      </c>
      <c r="O332" s="1">
        <v>0.88319999999999999</v>
      </c>
      <c r="P332" s="1">
        <v>0</v>
      </c>
      <c r="Q332" s="1">
        <v>7.7999999999999996E-3</v>
      </c>
      <c r="R332" s="1">
        <v>6.6100000000000006E-2</v>
      </c>
      <c r="S332" s="1">
        <v>0.15959999999999999</v>
      </c>
      <c r="T332" s="1">
        <v>0.15440000000000001</v>
      </c>
      <c r="U332" s="1">
        <v>0.49130000000000001</v>
      </c>
    </row>
    <row r="333" spans="1:21" x14ac:dyDescent="0.25">
      <c r="A333" t="s">
        <v>797</v>
      </c>
      <c r="B333" t="s">
        <v>798</v>
      </c>
      <c r="C333" t="s">
        <v>23</v>
      </c>
      <c r="D333" t="s">
        <v>24</v>
      </c>
      <c r="E333" t="s">
        <v>494</v>
      </c>
      <c r="F333" t="str">
        <f t="shared" si="5"/>
        <v>2018-05-20</v>
      </c>
      <c r="G333">
        <v>52.9</v>
      </c>
      <c r="H333" t="str">
        <f>"2018-01-22"</f>
        <v>2018-01-22</v>
      </c>
      <c r="I333" t="s">
        <v>26</v>
      </c>
      <c r="J333" t="str">
        <f>"2017-11-30"</f>
        <v>2017-11-30</v>
      </c>
      <c r="K333" t="s">
        <v>27</v>
      </c>
      <c r="L333">
        <v>2.3137603800000002</v>
      </c>
      <c r="M333">
        <v>332</v>
      </c>
      <c r="N333" s="1">
        <v>0.37759999999999999</v>
      </c>
      <c r="O333" s="1">
        <v>0.88260000000000005</v>
      </c>
      <c r="P333" s="1">
        <v>-6.2899999999999998E-2</v>
      </c>
      <c r="Q333" s="1">
        <v>2.7199999999999998E-2</v>
      </c>
      <c r="R333" s="1">
        <v>1.9300000000000001E-2</v>
      </c>
      <c r="S333" s="1">
        <v>7.7399999999999997E-2</v>
      </c>
      <c r="T333" s="1">
        <v>0.21190000000000001</v>
      </c>
      <c r="U333" s="1">
        <v>0.14879999999999999</v>
      </c>
    </row>
    <row r="334" spans="1:21" x14ac:dyDescent="0.25">
      <c r="A334" t="s">
        <v>799</v>
      </c>
      <c r="B334" t="s">
        <v>800</v>
      </c>
      <c r="C334" t="s">
        <v>109</v>
      </c>
      <c r="D334" t="s">
        <v>110</v>
      </c>
      <c r="E334" t="s">
        <v>251</v>
      </c>
      <c r="F334" t="str">
        <f t="shared" si="5"/>
        <v>2018-05-20</v>
      </c>
      <c r="G334">
        <v>35.799999999999997</v>
      </c>
      <c r="H334" t="str">
        <f>"2017-11-05"</f>
        <v>2017-11-05</v>
      </c>
      <c r="I334" t="s">
        <v>26</v>
      </c>
      <c r="J334" t="str">
        <f>"2017-09-06"</f>
        <v>2017-09-06</v>
      </c>
      <c r="K334" t="s">
        <v>40</v>
      </c>
      <c r="L334">
        <v>2.3132108499999999</v>
      </c>
      <c r="M334">
        <v>333</v>
      </c>
      <c r="N334" s="1">
        <v>0.49170000000000003</v>
      </c>
      <c r="O334" s="1">
        <v>0.87929999999999997</v>
      </c>
      <c r="P334" s="1">
        <v>0</v>
      </c>
      <c r="Q334" s="1">
        <v>4.1999999999999997E-3</v>
      </c>
      <c r="R334" s="1">
        <v>4.8300000000000003E-2</v>
      </c>
      <c r="S334" s="1">
        <v>0.2054</v>
      </c>
      <c r="T334" s="1">
        <v>0.23449999999999999</v>
      </c>
      <c r="U334" s="1">
        <v>0.81730000000000003</v>
      </c>
    </row>
    <row r="335" spans="1:21" x14ac:dyDescent="0.25">
      <c r="A335" t="s">
        <v>801</v>
      </c>
      <c r="B335" t="s">
        <v>802</v>
      </c>
      <c r="C335" t="s">
        <v>114</v>
      </c>
      <c r="D335" t="s">
        <v>803</v>
      </c>
      <c r="E335" t="s">
        <v>804</v>
      </c>
      <c r="F335" t="str">
        <f t="shared" si="5"/>
        <v>2018-05-20</v>
      </c>
      <c r="G335">
        <v>244.1</v>
      </c>
      <c r="H335" t="str">
        <f>"2017-10-02"</f>
        <v>2017-10-02</v>
      </c>
      <c r="I335" t="s">
        <v>26</v>
      </c>
      <c r="J335" t="str">
        <f>"2017-02-12"</f>
        <v>2017-02-12</v>
      </c>
      <c r="K335" t="s">
        <v>57</v>
      </c>
      <c r="L335">
        <v>2.3131896300000001</v>
      </c>
      <c r="M335">
        <v>334</v>
      </c>
      <c r="N335" s="1">
        <v>0.54690000000000005</v>
      </c>
      <c r="O335" s="1">
        <v>0.87909999999999999</v>
      </c>
      <c r="P335" s="1">
        <v>0</v>
      </c>
      <c r="Q335" s="1">
        <v>6.7999999999999996E-3</v>
      </c>
      <c r="R335" s="1">
        <v>5.0099999999999999E-2</v>
      </c>
      <c r="S335" s="1">
        <v>0.1055</v>
      </c>
      <c r="T335" s="1">
        <v>0.44180000000000003</v>
      </c>
      <c r="U335" s="1">
        <v>0.7016</v>
      </c>
    </row>
    <row r="336" spans="1:21" x14ac:dyDescent="0.25">
      <c r="A336" t="s">
        <v>805</v>
      </c>
      <c r="B336" t="s">
        <v>806</v>
      </c>
      <c r="C336" t="s">
        <v>23</v>
      </c>
      <c r="D336" t="s">
        <v>52</v>
      </c>
      <c r="E336" t="s">
        <v>56</v>
      </c>
      <c r="F336" t="str">
        <f t="shared" si="5"/>
        <v>2018-05-20</v>
      </c>
      <c r="G336">
        <v>17.13</v>
      </c>
      <c r="H336" t="str">
        <f>"2017-09-26"</f>
        <v>2017-09-26</v>
      </c>
      <c r="I336" t="s">
        <v>26</v>
      </c>
      <c r="J336" t="str">
        <f>"2017-09-17"</f>
        <v>2017-09-17</v>
      </c>
      <c r="K336" t="s">
        <v>27</v>
      </c>
      <c r="L336">
        <v>2.3127053700000002</v>
      </c>
      <c r="M336">
        <v>335</v>
      </c>
      <c r="N336" s="1">
        <v>0.24129999999999999</v>
      </c>
      <c r="O336" s="1">
        <v>0.87619999999999998</v>
      </c>
      <c r="P336" s="1">
        <v>0</v>
      </c>
      <c r="Q336" s="1">
        <v>6.4999999999999997E-3</v>
      </c>
      <c r="R336" s="1">
        <v>7.1999999999999995E-2</v>
      </c>
      <c r="S336" s="1">
        <v>0.11310000000000001</v>
      </c>
      <c r="T336" s="1">
        <v>7.6E-3</v>
      </c>
      <c r="U336" s="1">
        <v>0.81079999999999997</v>
      </c>
    </row>
    <row r="337" spans="1:21" x14ac:dyDescent="0.25">
      <c r="A337" t="s">
        <v>807</v>
      </c>
      <c r="B337" t="s">
        <v>808</v>
      </c>
      <c r="C337" t="s">
        <v>114</v>
      </c>
      <c r="D337" t="s">
        <v>809</v>
      </c>
      <c r="E337" t="s">
        <v>810</v>
      </c>
      <c r="F337" t="str">
        <f t="shared" si="5"/>
        <v>2018-05-20</v>
      </c>
      <c r="G337">
        <v>177</v>
      </c>
      <c r="H337" t="str">
        <f>"2017-01-11"</f>
        <v>2017-01-11</v>
      </c>
      <c r="I337" t="s">
        <v>26</v>
      </c>
      <c r="J337" t="str">
        <f>"2017-01-09"</f>
        <v>2017-01-09</v>
      </c>
      <c r="K337" t="s">
        <v>40</v>
      </c>
      <c r="L337">
        <v>2.31167459</v>
      </c>
      <c r="M337">
        <v>336</v>
      </c>
      <c r="N337" s="1">
        <v>0.80889999999999995</v>
      </c>
      <c r="O337" s="1">
        <v>0.87</v>
      </c>
      <c r="P337" s="1">
        <v>-3.0099999999999998E-2</v>
      </c>
      <c r="Q337" s="1">
        <v>-1.1000000000000001E-3</v>
      </c>
      <c r="R337" s="1">
        <v>9.1000000000000004E-3</v>
      </c>
      <c r="S337" s="1">
        <v>4.8899999999999999E-2</v>
      </c>
      <c r="T337" s="1">
        <v>1.32E-2</v>
      </c>
      <c r="U337" s="1">
        <v>0.53110000000000002</v>
      </c>
    </row>
    <row r="338" spans="1:21" x14ac:dyDescent="0.25">
      <c r="A338" t="s">
        <v>811</v>
      </c>
      <c r="B338" t="s">
        <v>812</v>
      </c>
      <c r="C338" t="s">
        <v>114</v>
      </c>
      <c r="D338" t="s">
        <v>254</v>
      </c>
      <c r="E338" t="s">
        <v>255</v>
      </c>
      <c r="F338" t="str">
        <f t="shared" si="5"/>
        <v>2018-05-20</v>
      </c>
      <c r="G338">
        <v>7.4</v>
      </c>
      <c r="H338" t="str">
        <f>"2016-08-08"</f>
        <v>2016-08-08</v>
      </c>
      <c r="I338" t="s">
        <v>26</v>
      </c>
      <c r="J338" t="str">
        <f>"2015-10-01"</f>
        <v>2015-10-01</v>
      </c>
      <c r="K338" t="s">
        <v>57</v>
      </c>
      <c r="L338">
        <v>2.3114478100000002</v>
      </c>
      <c r="M338">
        <v>337</v>
      </c>
      <c r="N338" s="1">
        <v>0.55789999999999995</v>
      </c>
      <c r="O338" s="1">
        <v>0.86870000000000003</v>
      </c>
      <c r="P338" s="1">
        <v>-7.4999999999999997E-2</v>
      </c>
      <c r="Q338" s="1">
        <v>6.7999999999999996E-3</v>
      </c>
      <c r="R338" s="1">
        <v>4.2299999999999997E-2</v>
      </c>
      <c r="S338" s="1">
        <v>6.4699999999999994E-2</v>
      </c>
      <c r="T338" s="1">
        <v>8.0299999999999996E-2</v>
      </c>
      <c r="U338" s="1">
        <v>0.2437</v>
      </c>
    </row>
    <row r="339" spans="1:21" x14ac:dyDescent="0.25">
      <c r="A339" t="s">
        <v>813</v>
      </c>
      <c r="B339" t="s">
        <v>814</v>
      </c>
      <c r="C339" t="s">
        <v>30</v>
      </c>
      <c r="D339" t="s">
        <v>48</v>
      </c>
      <c r="E339" t="s">
        <v>505</v>
      </c>
      <c r="F339" t="str">
        <f t="shared" si="5"/>
        <v>2018-05-20</v>
      </c>
      <c r="G339">
        <v>27.4</v>
      </c>
      <c r="H339" t="str">
        <f>"2016-11-03"</f>
        <v>2016-11-03</v>
      </c>
      <c r="I339" t="s">
        <v>26</v>
      </c>
      <c r="J339" t="str">
        <f>"2016-03-14"</f>
        <v>2016-03-14</v>
      </c>
      <c r="K339" t="s">
        <v>57</v>
      </c>
      <c r="L339">
        <v>2.3112928899999998</v>
      </c>
      <c r="M339">
        <v>338</v>
      </c>
      <c r="N339" s="1">
        <v>0.71250000000000002</v>
      </c>
      <c r="O339" s="1">
        <v>0.86780000000000002</v>
      </c>
      <c r="P339" s="1">
        <v>0</v>
      </c>
      <c r="Q339" s="1">
        <v>1.8599999999999998E-2</v>
      </c>
      <c r="R339" s="1">
        <v>0.06</v>
      </c>
      <c r="S339" s="1">
        <v>2.0500000000000001E-2</v>
      </c>
      <c r="T339" s="1">
        <v>0.11840000000000001</v>
      </c>
      <c r="U339" s="1">
        <v>0.21779999999999999</v>
      </c>
    </row>
    <row r="340" spans="1:21" x14ac:dyDescent="0.25">
      <c r="A340" t="s">
        <v>815</v>
      </c>
      <c r="B340" t="s">
        <v>816</v>
      </c>
      <c r="C340" t="s">
        <v>109</v>
      </c>
      <c r="D340" t="s">
        <v>110</v>
      </c>
      <c r="E340" t="s">
        <v>111</v>
      </c>
      <c r="F340" t="str">
        <f>"2018-05-17"</f>
        <v>2018-05-17</v>
      </c>
      <c r="G340">
        <v>22.74</v>
      </c>
      <c r="H340" t="str">
        <f>"2017-08-03"</f>
        <v>2017-08-03</v>
      </c>
      <c r="I340" t="s">
        <v>26</v>
      </c>
      <c r="J340" t="str">
        <f>"2016-07-24"</f>
        <v>2016-07-24</v>
      </c>
      <c r="K340" t="s">
        <v>34</v>
      </c>
      <c r="L340">
        <v>2.3111658500000001</v>
      </c>
      <c r="M340">
        <v>339</v>
      </c>
      <c r="N340" s="1">
        <v>0.19750000000000001</v>
      </c>
      <c r="O340" s="1">
        <v>0.86699999999999999</v>
      </c>
      <c r="P340" s="1">
        <v>0</v>
      </c>
      <c r="Q340" s="1">
        <v>0</v>
      </c>
      <c r="R340" s="1">
        <v>1.2999999999999999E-3</v>
      </c>
      <c r="S340" s="1">
        <v>4.4000000000000003E-3</v>
      </c>
      <c r="T340" s="1">
        <v>0.16439999999999999</v>
      </c>
      <c r="U340" s="1">
        <v>0.32440000000000002</v>
      </c>
    </row>
    <row r="341" spans="1:21" x14ac:dyDescent="0.25">
      <c r="A341" t="s">
        <v>817</v>
      </c>
      <c r="B341" t="s">
        <v>818</v>
      </c>
      <c r="C341" t="s">
        <v>23</v>
      </c>
      <c r="D341" t="s">
        <v>173</v>
      </c>
      <c r="E341" t="s">
        <v>174</v>
      </c>
      <c r="F341" t="str">
        <f t="shared" ref="F341:F372" si="6">"2018-05-20"</f>
        <v>2018-05-20</v>
      </c>
      <c r="G341">
        <v>30.8</v>
      </c>
      <c r="H341" t="str">
        <f>"2017-09-03"</f>
        <v>2017-09-03</v>
      </c>
      <c r="I341" t="s">
        <v>26</v>
      </c>
      <c r="J341" t="str">
        <f>"2017-07-03"</f>
        <v>2017-07-03</v>
      </c>
      <c r="K341" t="s">
        <v>27</v>
      </c>
      <c r="L341">
        <v>2.3109226700000001</v>
      </c>
      <c r="M341">
        <v>340</v>
      </c>
      <c r="N341" s="1">
        <v>0.65680000000000005</v>
      </c>
      <c r="O341" s="1">
        <v>0.86550000000000005</v>
      </c>
      <c r="P341" s="1">
        <v>0</v>
      </c>
      <c r="Q341" s="1">
        <v>3.1099999999999999E-2</v>
      </c>
      <c r="R341" s="1">
        <v>6.6500000000000004E-2</v>
      </c>
      <c r="S341" s="1">
        <v>0.44059999999999999</v>
      </c>
      <c r="T341" s="1">
        <v>0.56579999999999997</v>
      </c>
      <c r="U341" s="1">
        <v>0.7742</v>
      </c>
    </row>
    <row r="342" spans="1:21" x14ac:dyDescent="0.25">
      <c r="A342" t="s">
        <v>819</v>
      </c>
      <c r="B342" t="s">
        <v>820</v>
      </c>
      <c r="C342" t="s">
        <v>30</v>
      </c>
      <c r="D342" t="s">
        <v>482</v>
      </c>
      <c r="E342" t="s">
        <v>482</v>
      </c>
      <c r="F342" t="str">
        <f t="shared" si="6"/>
        <v>2018-05-20</v>
      </c>
      <c r="G342">
        <v>31.05</v>
      </c>
      <c r="H342" t="str">
        <f>"2016-11-13"</f>
        <v>2016-11-13</v>
      </c>
      <c r="I342" t="s">
        <v>26</v>
      </c>
      <c r="J342" t="str">
        <f>"2016-10-09"</f>
        <v>2016-10-09</v>
      </c>
      <c r="K342" t="s">
        <v>27</v>
      </c>
      <c r="L342">
        <v>3</v>
      </c>
      <c r="M342">
        <v>341</v>
      </c>
      <c r="N342" s="1">
        <v>2.375</v>
      </c>
      <c r="O342" s="1">
        <v>5.7207999999999997</v>
      </c>
      <c r="P342" s="1">
        <v>-0.14580000000000001</v>
      </c>
      <c r="Q342" s="1">
        <v>6.7000000000000004E-2</v>
      </c>
      <c r="R342" s="1">
        <v>6.3399999999999998E-2</v>
      </c>
      <c r="S342" s="1">
        <v>0.1109</v>
      </c>
      <c r="T342" s="1">
        <v>3.2000000000000002E-3</v>
      </c>
      <c r="U342" s="1">
        <v>0.54479999999999995</v>
      </c>
    </row>
    <row r="343" spans="1:21" x14ac:dyDescent="0.25">
      <c r="A343" t="s">
        <v>821</v>
      </c>
      <c r="B343" t="s">
        <v>822</v>
      </c>
      <c r="C343" t="s">
        <v>100</v>
      </c>
      <c r="D343" t="s">
        <v>199</v>
      </c>
      <c r="E343" t="s">
        <v>200</v>
      </c>
      <c r="F343" t="str">
        <f t="shared" si="6"/>
        <v>2018-05-20</v>
      </c>
      <c r="G343">
        <v>24.94</v>
      </c>
      <c r="H343" t="str">
        <f>"2016-08-11"</f>
        <v>2016-08-11</v>
      </c>
      <c r="I343" t="s">
        <v>26</v>
      </c>
      <c r="J343" t="str">
        <f>"2016-07-17"</f>
        <v>2016-07-17</v>
      </c>
      <c r="K343" t="s">
        <v>27</v>
      </c>
      <c r="L343">
        <v>3</v>
      </c>
      <c r="M343">
        <v>342</v>
      </c>
      <c r="N343" s="1">
        <v>2.5781999999999998</v>
      </c>
      <c r="O343" s="1">
        <v>5.2350000000000003</v>
      </c>
      <c r="P343" s="1">
        <v>-0.14710000000000001</v>
      </c>
      <c r="Q343" s="1">
        <v>5.5999999999999999E-3</v>
      </c>
      <c r="R343" s="1">
        <v>4.6100000000000002E-2</v>
      </c>
      <c r="S343" s="1">
        <v>4.0000000000000001E-3</v>
      </c>
      <c r="T343" s="1">
        <v>4.3499999999999997E-2</v>
      </c>
      <c r="U343" s="1">
        <v>0.29160000000000003</v>
      </c>
    </row>
    <row r="344" spans="1:21" x14ac:dyDescent="0.25">
      <c r="A344" t="s">
        <v>823</v>
      </c>
      <c r="B344" t="s">
        <v>824</v>
      </c>
      <c r="C344" t="s">
        <v>43</v>
      </c>
      <c r="D344" t="s">
        <v>150</v>
      </c>
      <c r="E344" t="s">
        <v>408</v>
      </c>
      <c r="F344" t="str">
        <f t="shared" si="6"/>
        <v>2018-05-20</v>
      </c>
      <c r="G344">
        <v>40.270000000000003</v>
      </c>
      <c r="H344" t="str">
        <f>"2016-06-08"</f>
        <v>2016-06-08</v>
      </c>
      <c r="I344" t="s">
        <v>26</v>
      </c>
      <c r="J344" t="str">
        <f>"2014-12-17"</f>
        <v>2014-12-17</v>
      </c>
      <c r="K344" t="s">
        <v>57</v>
      </c>
      <c r="L344">
        <v>3</v>
      </c>
      <c r="M344">
        <v>343</v>
      </c>
      <c r="N344" s="1">
        <v>1.7027000000000001</v>
      </c>
      <c r="O344" s="1">
        <v>5.4638999999999998</v>
      </c>
      <c r="P344" s="1">
        <v>-0.15129999999999999</v>
      </c>
      <c r="Q344" s="1">
        <v>3.0000000000000001E-3</v>
      </c>
      <c r="R344" s="1">
        <v>6.5100000000000005E-2</v>
      </c>
      <c r="S344" s="1">
        <v>5.9700000000000003E-2</v>
      </c>
      <c r="T344" s="1">
        <v>3.2300000000000002E-2</v>
      </c>
      <c r="U344" s="1">
        <v>0.52129999999999999</v>
      </c>
    </row>
    <row r="345" spans="1:21" x14ac:dyDescent="0.25">
      <c r="A345" t="s">
        <v>825</v>
      </c>
      <c r="B345" t="s">
        <v>826</v>
      </c>
      <c r="C345" t="s">
        <v>37</v>
      </c>
      <c r="D345" t="s">
        <v>38</v>
      </c>
      <c r="E345" t="s">
        <v>97</v>
      </c>
      <c r="F345" t="str">
        <f t="shared" si="6"/>
        <v>2018-05-20</v>
      </c>
      <c r="G345">
        <v>163.09</v>
      </c>
      <c r="H345" t="str">
        <f>"2016-08-28"</f>
        <v>2016-08-28</v>
      </c>
      <c r="I345" t="s">
        <v>26</v>
      </c>
      <c r="J345" t="str">
        <f>"2016-07-13"</f>
        <v>2016-07-13</v>
      </c>
      <c r="K345" t="s">
        <v>27</v>
      </c>
      <c r="L345">
        <v>3</v>
      </c>
      <c r="M345">
        <v>344</v>
      </c>
      <c r="N345" s="1">
        <v>3.2284000000000002</v>
      </c>
      <c r="O345" s="1">
        <v>5.0492999999999997</v>
      </c>
      <c r="P345" s="1">
        <v>-0.152</v>
      </c>
      <c r="Q345" s="1">
        <v>-7.1000000000000004E-3</v>
      </c>
      <c r="R345" s="1">
        <v>-5.6500000000000002E-2</v>
      </c>
      <c r="S345" s="1">
        <v>0.121</v>
      </c>
      <c r="T345" s="1">
        <v>-2.6200000000000001E-2</v>
      </c>
      <c r="U345" s="1">
        <v>1.4381999999999999</v>
      </c>
    </row>
    <row r="346" spans="1:21" x14ac:dyDescent="0.25">
      <c r="A346" t="s">
        <v>827</v>
      </c>
      <c r="B346" t="s">
        <v>828</v>
      </c>
      <c r="C346" t="s">
        <v>37</v>
      </c>
      <c r="D346" t="s">
        <v>38</v>
      </c>
      <c r="E346" t="s">
        <v>97</v>
      </c>
      <c r="F346" t="str">
        <f t="shared" si="6"/>
        <v>2018-05-20</v>
      </c>
      <c r="G346">
        <v>121.93</v>
      </c>
      <c r="H346" t="str">
        <f>"2016-10-04"</f>
        <v>2016-10-04</v>
      </c>
      <c r="I346" t="s">
        <v>26</v>
      </c>
      <c r="J346" t="str">
        <f>"2016-08-23"</f>
        <v>2016-08-23</v>
      </c>
      <c r="K346" t="s">
        <v>27</v>
      </c>
      <c r="L346">
        <v>3</v>
      </c>
      <c r="M346">
        <v>345</v>
      </c>
      <c r="N346" s="1">
        <v>7.6414</v>
      </c>
      <c r="O346" s="1">
        <v>17.6295</v>
      </c>
      <c r="P346" s="1">
        <v>-0.18190000000000001</v>
      </c>
      <c r="Q346" s="1">
        <v>-7.6100000000000001E-2</v>
      </c>
      <c r="R346" s="1">
        <v>-6.0199999999999997E-2</v>
      </c>
      <c r="S346" s="1">
        <v>3.8600000000000002E-2</v>
      </c>
      <c r="T346" s="1">
        <v>-0.1118</v>
      </c>
      <c r="U346" s="1">
        <v>6.4438000000000004</v>
      </c>
    </row>
    <row r="347" spans="1:21" x14ac:dyDescent="0.25">
      <c r="A347" t="s">
        <v>829</v>
      </c>
      <c r="B347" t="s">
        <v>830</v>
      </c>
      <c r="C347" t="s">
        <v>100</v>
      </c>
      <c r="D347" t="s">
        <v>199</v>
      </c>
      <c r="E347" t="s">
        <v>200</v>
      </c>
      <c r="F347" t="str">
        <f t="shared" si="6"/>
        <v>2018-05-20</v>
      </c>
      <c r="G347">
        <v>7.15</v>
      </c>
      <c r="H347" t="str">
        <f>"2016-06-09"</f>
        <v>2016-06-09</v>
      </c>
      <c r="I347" t="s">
        <v>26</v>
      </c>
      <c r="J347" t="str">
        <f>"2016-04-20"</f>
        <v>2016-04-20</v>
      </c>
      <c r="K347" t="s">
        <v>27</v>
      </c>
      <c r="L347">
        <v>3</v>
      </c>
      <c r="M347">
        <v>346</v>
      </c>
      <c r="N347" s="1">
        <v>2.3885999999999998</v>
      </c>
      <c r="O347" s="1">
        <v>6.6882000000000001</v>
      </c>
      <c r="P347" s="1">
        <v>-0.18659999999999999</v>
      </c>
      <c r="Q347" s="1">
        <v>-1.52E-2</v>
      </c>
      <c r="R347" s="1">
        <v>1.4E-3</v>
      </c>
      <c r="S347" s="1">
        <v>-0.1734</v>
      </c>
      <c r="T347" s="1">
        <v>0.21390000000000001</v>
      </c>
      <c r="U347" s="1">
        <v>1.0665</v>
      </c>
    </row>
    <row r="348" spans="1:21" x14ac:dyDescent="0.25">
      <c r="A348" t="s">
        <v>831</v>
      </c>
      <c r="B348" t="s">
        <v>832</v>
      </c>
      <c r="C348" t="s">
        <v>37</v>
      </c>
      <c r="D348" t="s">
        <v>38</v>
      </c>
      <c r="E348" t="s">
        <v>39</v>
      </c>
      <c r="F348" t="str">
        <f t="shared" si="6"/>
        <v>2018-05-20</v>
      </c>
      <c r="G348">
        <v>10.27</v>
      </c>
      <c r="H348" t="str">
        <f>"2017-03-20"</f>
        <v>2017-03-20</v>
      </c>
      <c r="I348" t="s">
        <v>26</v>
      </c>
      <c r="J348" t="str">
        <f>"2017-02-26"</f>
        <v>2017-02-26</v>
      </c>
      <c r="K348" t="s">
        <v>27</v>
      </c>
      <c r="L348">
        <v>3</v>
      </c>
      <c r="M348">
        <v>347</v>
      </c>
      <c r="N348" s="1">
        <v>1.806</v>
      </c>
      <c r="O348" s="1">
        <v>5.5833000000000004</v>
      </c>
      <c r="P348" s="1">
        <v>-0.2069</v>
      </c>
      <c r="Q348" s="1">
        <v>-3.2000000000000001E-2</v>
      </c>
      <c r="R348" s="1">
        <v>-5.2600000000000001E-2</v>
      </c>
      <c r="S348" s="1">
        <v>1.4800000000000001E-2</v>
      </c>
      <c r="T348" s="1">
        <v>-6.6400000000000001E-2</v>
      </c>
      <c r="U348" s="1">
        <v>0.99029999999999996</v>
      </c>
    </row>
    <row r="349" spans="1:21" x14ac:dyDescent="0.25">
      <c r="A349" t="s">
        <v>833</v>
      </c>
      <c r="B349" t="s">
        <v>834</v>
      </c>
      <c r="C349" t="s">
        <v>37</v>
      </c>
      <c r="D349" t="s">
        <v>38</v>
      </c>
      <c r="E349" t="s">
        <v>39</v>
      </c>
      <c r="F349" t="str">
        <f t="shared" si="6"/>
        <v>2018-05-20</v>
      </c>
      <c r="G349">
        <v>83.47</v>
      </c>
      <c r="H349" t="str">
        <f>"2017-03-29"</f>
        <v>2017-03-29</v>
      </c>
      <c r="I349" t="s">
        <v>26</v>
      </c>
      <c r="J349" t="str">
        <f>"2017-01-30"</f>
        <v>2017-01-30</v>
      </c>
      <c r="K349" t="s">
        <v>57</v>
      </c>
      <c r="L349">
        <v>3</v>
      </c>
      <c r="M349">
        <v>348</v>
      </c>
      <c r="N349" s="1">
        <v>2.4491999999999998</v>
      </c>
      <c r="O349" s="1">
        <v>6.1037999999999997</v>
      </c>
      <c r="P349" s="1">
        <v>-0.2303</v>
      </c>
      <c r="Q349" s="1">
        <v>-2.1499999999999998E-2</v>
      </c>
      <c r="R349" s="1">
        <v>3.1399999999999997E-2</v>
      </c>
      <c r="S349" s="1">
        <v>-2.3199999999999998E-2</v>
      </c>
      <c r="T349" s="1">
        <v>-7.8299999999999995E-2</v>
      </c>
      <c r="U349" s="1">
        <v>3.3294000000000001</v>
      </c>
    </row>
    <row r="350" spans="1:21" x14ac:dyDescent="0.25">
      <c r="A350" t="s">
        <v>835</v>
      </c>
      <c r="B350" t="s">
        <v>836</v>
      </c>
      <c r="C350" t="s">
        <v>37</v>
      </c>
      <c r="D350" t="s">
        <v>38</v>
      </c>
      <c r="E350" t="s">
        <v>97</v>
      </c>
      <c r="F350" t="str">
        <f t="shared" si="6"/>
        <v>2018-05-20</v>
      </c>
      <c r="G350">
        <v>3.34</v>
      </c>
      <c r="H350" t="str">
        <f>"2016-10-18"</f>
        <v>2016-10-18</v>
      </c>
      <c r="I350" t="s">
        <v>26</v>
      </c>
      <c r="J350" t="str">
        <f>"2016-08-24"</f>
        <v>2016-08-24</v>
      </c>
      <c r="K350" t="s">
        <v>27</v>
      </c>
      <c r="L350">
        <v>3</v>
      </c>
      <c r="M350">
        <v>349</v>
      </c>
      <c r="N350" s="1">
        <v>1.6719999999999999</v>
      </c>
      <c r="O350" s="1">
        <v>5.0168999999999997</v>
      </c>
      <c r="P350" s="1">
        <v>-0.2409</v>
      </c>
      <c r="Q350" s="1">
        <v>0</v>
      </c>
      <c r="R350" s="1">
        <v>6.0000000000000001E-3</v>
      </c>
      <c r="S350" s="1">
        <v>0.30470000000000003</v>
      </c>
      <c r="T350" s="1">
        <v>4.7E-2</v>
      </c>
      <c r="U350" s="1">
        <v>0.59809999999999997</v>
      </c>
    </row>
    <row r="351" spans="1:21" x14ac:dyDescent="0.25">
      <c r="A351" t="s">
        <v>837</v>
      </c>
      <c r="B351" t="s">
        <v>838</v>
      </c>
      <c r="C351" t="s">
        <v>100</v>
      </c>
      <c r="D351" t="s">
        <v>217</v>
      </c>
      <c r="E351" t="s">
        <v>839</v>
      </c>
      <c r="F351" t="str">
        <f t="shared" si="6"/>
        <v>2018-05-20</v>
      </c>
      <c r="G351">
        <v>17.350000000000001</v>
      </c>
      <c r="H351" t="str">
        <f>"2016-03-15"</f>
        <v>2016-03-15</v>
      </c>
      <c r="I351" t="s">
        <v>26</v>
      </c>
      <c r="J351" t="str">
        <f>"2016-03-02"</f>
        <v>2016-03-02</v>
      </c>
      <c r="K351" t="s">
        <v>27</v>
      </c>
      <c r="L351">
        <v>3</v>
      </c>
      <c r="M351">
        <v>350</v>
      </c>
      <c r="N351" s="1">
        <v>1.4892000000000001</v>
      </c>
      <c r="O351" s="1">
        <v>5.1963999999999997</v>
      </c>
      <c r="P351" s="1">
        <v>-0.28720000000000001</v>
      </c>
      <c r="Q351" s="1">
        <v>-8.6E-3</v>
      </c>
      <c r="R351" s="1">
        <v>9.0499999999999997E-2</v>
      </c>
      <c r="S351" s="1">
        <v>3.7699999999999997E-2</v>
      </c>
      <c r="T351" s="1">
        <v>-0.15409999999999999</v>
      </c>
      <c r="U351" s="1">
        <v>0.21410000000000001</v>
      </c>
    </row>
    <row r="352" spans="1:21" x14ac:dyDescent="0.25">
      <c r="A352" t="s">
        <v>840</v>
      </c>
      <c r="B352" t="s">
        <v>841</v>
      </c>
      <c r="C352" t="s">
        <v>43</v>
      </c>
      <c r="D352" t="s">
        <v>119</v>
      </c>
      <c r="E352" t="s">
        <v>205</v>
      </c>
      <c r="F352" t="str">
        <f t="shared" si="6"/>
        <v>2018-05-20</v>
      </c>
      <c r="G352">
        <v>18.2</v>
      </c>
      <c r="H352" t="str">
        <f>"2016-06-15"</f>
        <v>2016-06-15</v>
      </c>
      <c r="I352" t="s">
        <v>26</v>
      </c>
      <c r="J352" t="str">
        <f>"2016-04-24"</f>
        <v>2016-04-24</v>
      </c>
      <c r="K352" t="s">
        <v>27</v>
      </c>
      <c r="L352">
        <v>3</v>
      </c>
      <c r="M352">
        <v>351</v>
      </c>
      <c r="N352" s="1">
        <v>5.5232999999999999</v>
      </c>
      <c r="O352" s="1">
        <v>13</v>
      </c>
      <c r="P352" s="1">
        <v>-0.32940000000000003</v>
      </c>
      <c r="Q352" s="1">
        <v>1.9E-2</v>
      </c>
      <c r="R352" s="1">
        <v>-0.1144</v>
      </c>
      <c r="S352" s="1">
        <v>-1.6000000000000001E-3</v>
      </c>
      <c r="T352" s="1">
        <v>5.4999999999999997E-3</v>
      </c>
      <c r="U352" s="1">
        <v>0.4</v>
      </c>
    </row>
    <row r="353" spans="1:21" x14ac:dyDescent="0.25">
      <c r="A353" t="s">
        <v>842</v>
      </c>
      <c r="B353" t="s">
        <v>843</v>
      </c>
      <c r="C353" t="s">
        <v>37</v>
      </c>
      <c r="D353" t="s">
        <v>38</v>
      </c>
      <c r="E353" t="s">
        <v>39</v>
      </c>
      <c r="F353" t="str">
        <f t="shared" si="6"/>
        <v>2018-05-20</v>
      </c>
      <c r="G353">
        <v>15.5</v>
      </c>
      <c r="H353" t="str">
        <f>"2017-04-24"</f>
        <v>2017-04-24</v>
      </c>
      <c r="I353" t="s">
        <v>26</v>
      </c>
      <c r="J353" t="str">
        <f>"2017-02-28"</f>
        <v>2017-02-28</v>
      </c>
      <c r="K353" t="s">
        <v>27</v>
      </c>
      <c r="L353">
        <v>2.95679012</v>
      </c>
      <c r="M353">
        <v>352</v>
      </c>
      <c r="N353" s="1">
        <v>2.6046999999999998</v>
      </c>
      <c r="O353" s="1">
        <v>4.7407000000000004</v>
      </c>
      <c r="P353" s="1">
        <v>-0.4118</v>
      </c>
      <c r="Q353" s="1">
        <v>-2.8199999999999999E-2</v>
      </c>
      <c r="R353" s="1">
        <v>-1.2699999999999999E-2</v>
      </c>
      <c r="S353" s="1">
        <v>-0.14599999999999999</v>
      </c>
      <c r="T353" s="1">
        <v>-0.37880000000000003</v>
      </c>
      <c r="U353" s="1">
        <v>1.0805</v>
      </c>
    </row>
    <row r="354" spans="1:21" x14ac:dyDescent="0.25">
      <c r="A354" t="s">
        <v>844</v>
      </c>
      <c r="B354" t="s">
        <v>845</v>
      </c>
      <c r="C354" t="s">
        <v>37</v>
      </c>
      <c r="D354" t="s">
        <v>38</v>
      </c>
      <c r="E354" t="s">
        <v>39</v>
      </c>
      <c r="F354" t="str">
        <f t="shared" si="6"/>
        <v>2018-05-20</v>
      </c>
      <c r="G354">
        <v>86.95</v>
      </c>
      <c r="H354" t="str">
        <f>"2018-02-07"</f>
        <v>2018-02-07</v>
      </c>
      <c r="I354" t="s">
        <v>26</v>
      </c>
      <c r="J354" t="str">
        <f>"2017-01-26"</f>
        <v>2017-01-26</v>
      </c>
      <c r="K354" t="s">
        <v>34</v>
      </c>
      <c r="L354">
        <v>2.8719414400000001</v>
      </c>
      <c r="M354">
        <v>353</v>
      </c>
      <c r="N354" s="1">
        <v>-0.22320000000000001</v>
      </c>
      <c r="O354" s="1">
        <v>4.2316000000000003</v>
      </c>
      <c r="P354" s="1">
        <v>-0.3236</v>
      </c>
      <c r="Q354" s="1">
        <v>-7.1000000000000004E-3</v>
      </c>
      <c r="R354" s="1">
        <v>-3.1099999999999999E-2</v>
      </c>
      <c r="S354" s="1">
        <v>-6.6600000000000006E-2</v>
      </c>
      <c r="T354" s="1">
        <v>-0.312</v>
      </c>
      <c r="U354" s="1">
        <v>2.2311000000000001</v>
      </c>
    </row>
    <row r="355" spans="1:21" x14ac:dyDescent="0.25">
      <c r="A355" t="s">
        <v>846</v>
      </c>
      <c r="B355" t="s">
        <v>847</v>
      </c>
      <c r="C355" t="s">
        <v>37</v>
      </c>
      <c r="D355" t="s">
        <v>66</v>
      </c>
      <c r="E355" t="s">
        <v>72</v>
      </c>
      <c r="F355" t="str">
        <f t="shared" si="6"/>
        <v>2018-05-20</v>
      </c>
      <c r="G355">
        <v>33.96</v>
      </c>
      <c r="H355" t="str">
        <f>"2015-02-22"</f>
        <v>2015-02-22</v>
      </c>
      <c r="I355" t="s">
        <v>26</v>
      </c>
      <c r="J355" t="str">
        <f>"2014-12-24"</f>
        <v>2014-12-24</v>
      </c>
      <c r="K355" t="s">
        <v>27</v>
      </c>
      <c r="L355">
        <v>2.8447761200000001</v>
      </c>
      <c r="M355">
        <v>354</v>
      </c>
      <c r="N355" s="1">
        <v>3.4508999999999999</v>
      </c>
      <c r="O355" s="1">
        <v>4.0686999999999998</v>
      </c>
      <c r="P355" s="1">
        <v>-0.1721</v>
      </c>
      <c r="Q355" s="1">
        <v>-1.3899999999999999E-2</v>
      </c>
      <c r="R355" s="1">
        <v>1.89E-2</v>
      </c>
      <c r="S355" s="1">
        <v>-0.15229999999999999</v>
      </c>
      <c r="T355" s="1">
        <v>-4.7699999999999999E-2</v>
      </c>
      <c r="U355" s="1">
        <v>0.152</v>
      </c>
    </row>
    <row r="356" spans="1:21" x14ac:dyDescent="0.25">
      <c r="A356" t="s">
        <v>848</v>
      </c>
      <c r="B356" t="s">
        <v>849</v>
      </c>
      <c r="C356" t="s">
        <v>37</v>
      </c>
      <c r="D356" t="s">
        <v>38</v>
      </c>
      <c r="E356" t="s">
        <v>97</v>
      </c>
      <c r="F356" t="str">
        <f t="shared" si="6"/>
        <v>2018-05-20</v>
      </c>
      <c r="G356">
        <v>18.23</v>
      </c>
      <c r="H356" t="str">
        <f>"2016-05-02"</f>
        <v>2016-05-02</v>
      </c>
      <c r="I356" t="s">
        <v>26</v>
      </c>
      <c r="J356" t="str">
        <f>"2016-04-19"</f>
        <v>2016-04-19</v>
      </c>
      <c r="K356" t="s">
        <v>27</v>
      </c>
      <c r="L356">
        <v>2.8016710599999999</v>
      </c>
      <c r="M356">
        <v>355</v>
      </c>
      <c r="N356" s="1">
        <v>2.6099000000000001</v>
      </c>
      <c r="O356" s="1">
        <v>3.81</v>
      </c>
      <c r="P356" s="1">
        <v>-0.28510000000000002</v>
      </c>
      <c r="Q356" s="1">
        <v>-1.78E-2</v>
      </c>
      <c r="R356" s="1">
        <v>6.2399999999999997E-2</v>
      </c>
      <c r="S356" s="1">
        <v>4.65E-2</v>
      </c>
      <c r="T356" s="1">
        <v>0.17080000000000001</v>
      </c>
      <c r="U356" s="1">
        <v>0.53320000000000001</v>
      </c>
    </row>
    <row r="357" spans="1:21" x14ac:dyDescent="0.25">
      <c r="A357" t="s">
        <v>850</v>
      </c>
      <c r="B357" t="s">
        <v>851</v>
      </c>
      <c r="C357" t="s">
        <v>114</v>
      </c>
      <c r="D357" t="s">
        <v>809</v>
      </c>
      <c r="E357" t="s">
        <v>810</v>
      </c>
      <c r="F357" t="str">
        <f t="shared" si="6"/>
        <v>2018-05-20</v>
      </c>
      <c r="G357">
        <v>58.79</v>
      </c>
      <c r="H357" t="str">
        <f>"2015-06-02"</f>
        <v>2015-06-02</v>
      </c>
      <c r="I357" t="s">
        <v>26</v>
      </c>
      <c r="J357" t="str">
        <f>"2015-03-30"</f>
        <v>2015-03-30</v>
      </c>
      <c r="K357" t="s">
        <v>27</v>
      </c>
      <c r="L357">
        <v>2.77426577</v>
      </c>
      <c r="M357">
        <v>356</v>
      </c>
      <c r="N357" s="1">
        <v>2.1625000000000001</v>
      </c>
      <c r="O357" s="1">
        <v>3.6456</v>
      </c>
      <c r="P357" s="1">
        <v>-0.25359999999999999</v>
      </c>
      <c r="Q357" s="1">
        <v>-1.6400000000000001E-2</v>
      </c>
      <c r="R357" s="1">
        <v>-4.9200000000000001E-2</v>
      </c>
      <c r="S357" s="1">
        <v>-0.14899999999999999</v>
      </c>
      <c r="T357" s="1">
        <v>-0.1162</v>
      </c>
      <c r="U357" s="1">
        <v>0.80669999999999997</v>
      </c>
    </row>
    <row r="358" spans="1:21" x14ac:dyDescent="0.25">
      <c r="A358" t="s">
        <v>852</v>
      </c>
      <c r="B358" t="s">
        <v>853</v>
      </c>
      <c r="C358" t="s">
        <v>109</v>
      </c>
      <c r="D358" t="s">
        <v>156</v>
      </c>
      <c r="E358" t="s">
        <v>284</v>
      </c>
      <c r="F358" t="str">
        <f t="shared" si="6"/>
        <v>2018-05-20</v>
      </c>
      <c r="G358">
        <v>62.5</v>
      </c>
      <c r="H358" t="str">
        <f>"2016-08-04"</f>
        <v>2016-08-04</v>
      </c>
      <c r="I358" t="s">
        <v>26</v>
      </c>
      <c r="J358" t="str">
        <f>"2015-07-23"</f>
        <v>2015-07-23</v>
      </c>
      <c r="K358" t="s">
        <v>34</v>
      </c>
      <c r="L358">
        <v>2.7377242700000002</v>
      </c>
      <c r="M358">
        <v>357</v>
      </c>
      <c r="N358" s="1">
        <v>1.0233000000000001</v>
      </c>
      <c r="O358" s="1">
        <v>3.4262999999999999</v>
      </c>
      <c r="P358" s="1">
        <v>-0.1462</v>
      </c>
      <c r="Q358" s="1">
        <v>1.6000000000000001E-3</v>
      </c>
      <c r="R358" s="1">
        <v>-3.1E-2</v>
      </c>
      <c r="S358" s="1">
        <v>0.14779999999999999</v>
      </c>
      <c r="T358" s="1">
        <v>3.2199999999999999E-2</v>
      </c>
      <c r="U358" s="1">
        <v>8.9800000000000005E-2</v>
      </c>
    </row>
    <row r="359" spans="1:21" x14ac:dyDescent="0.25">
      <c r="A359" t="s">
        <v>854</v>
      </c>
      <c r="B359" t="s">
        <v>855</v>
      </c>
      <c r="C359" t="s">
        <v>518</v>
      </c>
      <c r="D359" t="s">
        <v>573</v>
      </c>
      <c r="E359" t="s">
        <v>574</v>
      </c>
      <c r="F359" t="str">
        <f t="shared" si="6"/>
        <v>2018-05-20</v>
      </c>
      <c r="G359">
        <v>12.55</v>
      </c>
      <c r="H359" t="str">
        <f>"2016-05-01"</f>
        <v>2016-05-01</v>
      </c>
      <c r="I359" t="s">
        <v>26</v>
      </c>
      <c r="J359" t="str">
        <f>"2016-04-17"</f>
        <v>2016-04-17</v>
      </c>
      <c r="K359" t="s">
        <v>27</v>
      </c>
      <c r="L359">
        <v>2.7288037200000002</v>
      </c>
      <c r="M359">
        <v>358</v>
      </c>
      <c r="N359" s="1">
        <v>0.93369999999999997</v>
      </c>
      <c r="O359" s="1">
        <v>3.3727999999999998</v>
      </c>
      <c r="P359" s="1">
        <v>-0.2132</v>
      </c>
      <c r="Q359" s="1">
        <v>0</v>
      </c>
      <c r="R359" s="1">
        <v>-1.95E-2</v>
      </c>
      <c r="S359" s="1">
        <v>-5.9900000000000002E-2</v>
      </c>
      <c r="T359" s="1">
        <v>-0.1099</v>
      </c>
      <c r="U359" s="1">
        <v>-0.2006</v>
      </c>
    </row>
    <row r="360" spans="1:21" x14ac:dyDescent="0.25">
      <c r="A360" t="s">
        <v>856</v>
      </c>
      <c r="B360" t="s">
        <v>857</v>
      </c>
      <c r="C360" t="s">
        <v>109</v>
      </c>
      <c r="D360" t="s">
        <v>156</v>
      </c>
      <c r="E360" t="s">
        <v>284</v>
      </c>
      <c r="F360" t="str">
        <f t="shared" si="6"/>
        <v>2018-05-20</v>
      </c>
      <c r="G360">
        <v>9.15</v>
      </c>
      <c r="H360" t="str">
        <f>"2015-10-07"</f>
        <v>2015-10-07</v>
      </c>
      <c r="I360" t="s">
        <v>26</v>
      </c>
      <c r="J360" t="str">
        <f>"2015-08-10"</f>
        <v>2015-08-10</v>
      </c>
      <c r="K360" t="s">
        <v>27</v>
      </c>
      <c r="L360">
        <v>2.7159624400000002</v>
      </c>
      <c r="M360">
        <v>359</v>
      </c>
      <c r="N360" s="1">
        <v>1.5921000000000001</v>
      </c>
      <c r="O360" s="1">
        <v>3.2957999999999998</v>
      </c>
      <c r="P360" s="1">
        <v>-0.39319999999999999</v>
      </c>
      <c r="Q360" s="1">
        <v>-3.3E-3</v>
      </c>
      <c r="R360" s="1">
        <v>0.1255</v>
      </c>
      <c r="S360" s="1">
        <v>-0.15359999999999999</v>
      </c>
      <c r="T360" s="1">
        <v>-0.23619999999999999</v>
      </c>
      <c r="U360" s="1">
        <v>-6.4999999999999997E-3</v>
      </c>
    </row>
    <row r="361" spans="1:21" x14ac:dyDescent="0.25">
      <c r="A361" t="s">
        <v>858</v>
      </c>
      <c r="B361" t="s">
        <v>859</v>
      </c>
      <c r="C361" t="s">
        <v>43</v>
      </c>
      <c r="D361" t="s">
        <v>44</v>
      </c>
      <c r="E361" t="s">
        <v>320</v>
      </c>
      <c r="F361" t="str">
        <f t="shared" si="6"/>
        <v>2018-05-20</v>
      </c>
      <c r="G361">
        <v>39.1</v>
      </c>
      <c r="H361" t="str">
        <f>"2016-06-30"</f>
        <v>2016-06-30</v>
      </c>
      <c r="I361" t="s">
        <v>26</v>
      </c>
      <c r="J361" t="str">
        <f>"2015-06-21"</f>
        <v>2015-06-21</v>
      </c>
      <c r="K361" t="s">
        <v>34</v>
      </c>
      <c r="L361">
        <v>2.7052669599999999</v>
      </c>
      <c r="M361">
        <v>360</v>
      </c>
      <c r="N361" s="1">
        <v>1.4226000000000001</v>
      </c>
      <c r="O361" s="1">
        <v>3.2315999999999998</v>
      </c>
      <c r="P361" s="1">
        <v>-0.12330000000000001</v>
      </c>
      <c r="Q361" s="1">
        <v>-7.6E-3</v>
      </c>
      <c r="R361" s="1">
        <v>1.2999999999999999E-2</v>
      </c>
      <c r="S361" s="1">
        <v>-1.8800000000000001E-2</v>
      </c>
      <c r="T361" s="1">
        <v>3.9899999999999998E-2</v>
      </c>
      <c r="U361" s="1">
        <v>0.38650000000000001</v>
      </c>
    </row>
    <row r="362" spans="1:21" x14ac:dyDescent="0.25">
      <c r="A362" t="s">
        <v>860</v>
      </c>
      <c r="B362" t="s">
        <v>861</v>
      </c>
      <c r="C362" t="s">
        <v>109</v>
      </c>
      <c r="D362" t="s">
        <v>110</v>
      </c>
      <c r="E362" t="s">
        <v>732</v>
      </c>
      <c r="F362" t="str">
        <f t="shared" si="6"/>
        <v>2018-05-20</v>
      </c>
      <c r="G362">
        <v>5.19</v>
      </c>
      <c r="H362" t="str">
        <f>"2016-08-21"</f>
        <v>2016-08-21</v>
      </c>
      <c r="I362" t="s">
        <v>26</v>
      </c>
      <c r="J362" t="str">
        <f>"2016-07-17"</f>
        <v>2016-07-17</v>
      </c>
      <c r="K362" t="s">
        <v>27</v>
      </c>
      <c r="L362">
        <v>2.6865079399999998</v>
      </c>
      <c r="M362">
        <v>361</v>
      </c>
      <c r="N362" s="1">
        <v>1.6080000000000001</v>
      </c>
      <c r="O362" s="1">
        <v>3.1190000000000002</v>
      </c>
      <c r="P362" s="1">
        <v>-0.12920000000000001</v>
      </c>
      <c r="Q362" s="1">
        <v>-3.8E-3</v>
      </c>
      <c r="R362" s="1">
        <v>-1.52E-2</v>
      </c>
      <c r="S362" s="1">
        <v>5.4899999999999997E-2</v>
      </c>
      <c r="T362" s="1">
        <v>0.30399999999999999</v>
      </c>
      <c r="U362" s="1">
        <v>0.66879999999999995</v>
      </c>
    </row>
    <row r="363" spans="1:21" x14ac:dyDescent="0.25">
      <c r="A363" t="s">
        <v>862</v>
      </c>
      <c r="B363" t="s">
        <v>863</v>
      </c>
      <c r="C363" t="s">
        <v>23</v>
      </c>
      <c r="D363" t="s">
        <v>173</v>
      </c>
      <c r="E363" t="s">
        <v>212</v>
      </c>
      <c r="F363" t="str">
        <f t="shared" si="6"/>
        <v>2018-05-20</v>
      </c>
      <c r="G363">
        <v>13</v>
      </c>
      <c r="H363" t="str">
        <f>"2017-04-20"</f>
        <v>2017-04-20</v>
      </c>
      <c r="I363" t="s">
        <v>26</v>
      </c>
      <c r="J363" t="str">
        <f>"2017-03-06"</f>
        <v>2017-03-06</v>
      </c>
      <c r="K363" t="s">
        <v>40</v>
      </c>
      <c r="L363">
        <v>2.6856540099999999</v>
      </c>
      <c r="M363">
        <v>362</v>
      </c>
      <c r="N363" s="1">
        <v>1.8889</v>
      </c>
      <c r="O363" s="1">
        <v>3.1139000000000001</v>
      </c>
      <c r="P363" s="1">
        <v>-0.10340000000000001</v>
      </c>
      <c r="Q363" s="1">
        <v>4.2500000000000003E-2</v>
      </c>
      <c r="R363" s="1">
        <v>-2.8400000000000002E-2</v>
      </c>
      <c r="S363" s="1">
        <v>0.114</v>
      </c>
      <c r="T363" s="1">
        <v>-3.9899999999999998E-2</v>
      </c>
      <c r="U363" s="1">
        <v>2.5813000000000001</v>
      </c>
    </row>
    <row r="364" spans="1:21" x14ac:dyDescent="0.25">
      <c r="A364" t="s">
        <v>864</v>
      </c>
      <c r="B364" t="s">
        <v>865</v>
      </c>
      <c r="C364" t="s">
        <v>37</v>
      </c>
      <c r="D364" t="s">
        <v>66</v>
      </c>
      <c r="E364" t="s">
        <v>72</v>
      </c>
      <c r="F364" t="str">
        <f t="shared" si="6"/>
        <v>2018-05-20</v>
      </c>
      <c r="G364">
        <v>40.75</v>
      </c>
      <c r="H364" t="str">
        <f>"2016-10-12"</f>
        <v>2016-10-12</v>
      </c>
      <c r="I364" t="s">
        <v>26</v>
      </c>
      <c r="J364" t="str">
        <f>"2016-09-22"</f>
        <v>2016-09-22</v>
      </c>
      <c r="K364" t="s">
        <v>27</v>
      </c>
      <c r="L364">
        <v>2.6791666699999999</v>
      </c>
      <c r="M364">
        <v>363</v>
      </c>
      <c r="N364" s="1">
        <v>1.9486000000000001</v>
      </c>
      <c r="O364" s="1">
        <v>3.0750000000000002</v>
      </c>
      <c r="P364" s="1">
        <v>-0.27039999999999997</v>
      </c>
      <c r="Q364" s="1">
        <v>-9.7000000000000003E-3</v>
      </c>
      <c r="R364" s="1">
        <v>8.8099999999999998E-2</v>
      </c>
      <c r="S364" s="1">
        <v>-0.21929999999999999</v>
      </c>
      <c r="T364" s="1">
        <v>-0.10340000000000001</v>
      </c>
      <c r="U364" s="1">
        <v>0.95440000000000003</v>
      </c>
    </row>
    <row r="365" spans="1:21" x14ac:dyDescent="0.25">
      <c r="A365" t="s">
        <v>866</v>
      </c>
      <c r="B365" t="s">
        <v>867</v>
      </c>
      <c r="C365" t="s">
        <v>37</v>
      </c>
      <c r="D365" t="s">
        <v>66</v>
      </c>
      <c r="E365" t="s">
        <v>94</v>
      </c>
      <c r="F365" t="str">
        <f t="shared" si="6"/>
        <v>2018-05-20</v>
      </c>
      <c r="G365">
        <v>38.6</v>
      </c>
      <c r="H365" t="str">
        <f>"2016-07-31"</f>
        <v>2016-07-31</v>
      </c>
      <c r="I365" t="s">
        <v>26</v>
      </c>
      <c r="J365" t="str">
        <f>"2016-04-24"</f>
        <v>2016-04-24</v>
      </c>
      <c r="K365" t="s">
        <v>27</v>
      </c>
      <c r="L365">
        <v>2.6584783399999998</v>
      </c>
      <c r="M365">
        <v>364</v>
      </c>
      <c r="N365" s="1">
        <v>1.2922</v>
      </c>
      <c r="O365" s="1">
        <v>2.9508999999999999</v>
      </c>
      <c r="P365" s="1">
        <v>-0.19670000000000001</v>
      </c>
      <c r="Q365" s="1">
        <v>1.2999999999999999E-3</v>
      </c>
      <c r="R365" s="1">
        <v>2.3900000000000001E-2</v>
      </c>
      <c r="S365" s="1">
        <v>-2.1499999999999998E-2</v>
      </c>
      <c r="T365" s="1">
        <v>-2.4E-2</v>
      </c>
      <c r="U365" s="1">
        <v>0.184</v>
      </c>
    </row>
    <row r="366" spans="1:21" x14ac:dyDescent="0.25">
      <c r="A366" t="s">
        <v>868</v>
      </c>
      <c r="B366" t="s">
        <v>869</v>
      </c>
      <c r="C366" t="s">
        <v>30</v>
      </c>
      <c r="D366" t="s">
        <v>48</v>
      </c>
      <c r="E366" t="s">
        <v>177</v>
      </c>
      <c r="F366" t="str">
        <f t="shared" si="6"/>
        <v>2018-05-20</v>
      </c>
      <c r="G366">
        <v>17.100000000000001</v>
      </c>
      <c r="H366" t="str">
        <f>"2016-08-03"</f>
        <v>2016-08-03</v>
      </c>
      <c r="I366" t="s">
        <v>26</v>
      </c>
      <c r="J366" t="str">
        <f>"2016-07-12"</f>
        <v>2016-07-12</v>
      </c>
      <c r="K366" t="s">
        <v>27</v>
      </c>
      <c r="L366">
        <v>2.6462585000000001</v>
      </c>
      <c r="M366">
        <v>365</v>
      </c>
      <c r="N366" s="1">
        <v>1.5109999999999999</v>
      </c>
      <c r="O366" s="1">
        <v>2.8776000000000002</v>
      </c>
      <c r="P366" s="1">
        <v>-0.21199999999999999</v>
      </c>
      <c r="Q366" s="1">
        <v>0</v>
      </c>
      <c r="R366" s="1">
        <v>6.2100000000000002E-2</v>
      </c>
      <c r="S366" s="1">
        <v>0.2</v>
      </c>
      <c r="T366" s="1">
        <v>-0.21199999999999999</v>
      </c>
      <c r="U366" s="1">
        <v>0.62090000000000001</v>
      </c>
    </row>
    <row r="367" spans="1:21" x14ac:dyDescent="0.25">
      <c r="A367" t="s">
        <v>870</v>
      </c>
      <c r="B367" t="s">
        <v>871</v>
      </c>
      <c r="C367" t="s">
        <v>43</v>
      </c>
      <c r="D367" t="s">
        <v>119</v>
      </c>
      <c r="E367" t="s">
        <v>120</v>
      </c>
      <c r="F367" t="str">
        <f t="shared" si="6"/>
        <v>2018-05-20</v>
      </c>
      <c r="G367">
        <v>19.64</v>
      </c>
      <c r="H367" t="str">
        <f>"2017-01-30"</f>
        <v>2017-01-30</v>
      </c>
      <c r="I367" t="s">
        <v>26</v>
      </c>
      <c r="J367" t="str">
        <f>"2016-12-12"</f>
        <v>2016-12-12</v>
      </c>
      <c r="K367" t="s">
        <v>27</v>
      </c>
      <c r="L367">
        <v>2.6405740400000002</v>
      </c>
      <c r="M367">
        <v>366</v>
      </c>
      <c r="N367" s="1">
        <v>2.0688</v>
      </c>
      <c r="O367" s="1">
        <v>2.8433999999999999</v>
      </c>
      <c r="P367" s="1">
        <v>-0.27229999999999999</v>
      </c>
      <c r="Q367" s="1">
        <v>1.7100000000000001E-2</v>
      </c>
      <c r="R367" s="1">
        <v>-1.3100000000000001E-2</v>
      </c>
      <c r="S367" s="1">
        <v>4.5199999999999997E-2</v>
      </c>
      <c r="T367" s="1">
        <v>8.6900000000000005E-2</v>
      </c>
      <c r="U367" s="1">
        <v>1.4367000000000001</v>
      </c>
    </row>
    <row r="368" spans="1:21" x14ac:dyDescent="0.25">
      <c r="A368" t="s">
        <v>872</v>
      </c>
      <c r="B368" t="s">
        <v>873</v>
      </c>
      <c r="C368" t="s">
        <v>37</v>
      </c>
      <c r="D368" t="s">
        <v>38</v>
      </c>
      <c r="E368" t="s">
        <v>39</v>
      </c>
      <c r="F368" t="str">
        <f t="shared" si="6"/>
        <v>2018-05-20</v>
      </c>
      <c r="G368">
        <v>48.35</v>
      </c>
      <c r="H368" t="str">
        <f>"2017-07-20"</f>
        <v>2017-07-20</v>
      </c>
      <c r="I368" t="s">
        <v>26</v>
      </c>
      <c r="J368" t="str">
        <f>"2017-06-26"</f>
        <v>2017-06-26</v>
      </c>
      <c r="K368" t="s">
        <v>27</v>
      </c>
      <c r="L368">
        <v>2.63955026</v>
      </c>
      <c r="M368">
        <v>367</v>
      </c>
      <c r="N368" s="1">
        <v>2.4784000000000002</v>
      </c>
      <c r="O368" s="1">
        <v>2.8372999999999999</v>
      </c>
      <c r="P368" s="1">
        <v>-0.2087</v>
      </c>
      <c r="Q368" s="1">
        <v>-6.5699999999999995E-2</v>
      </c>
      <c r="R368" s="1">
        <v>3.9800000000000002E-2</v>
      </c>
      <c r="S368" s="1">
        <v>-3.4000000000000002E-2</v>
      </c>
      <c r="T368" s="1">
        <v>-0.2087</v>
      </c>
      <c r="U368" s="1">
        <v>2.6082000000000001</v>
      </c>
    </row>
    <row r="369" spans="1:21" x14ac:dyDescent="0.25">
      <c r="A369" t="s">
        <v>874</v>
      </c>
      <c r="B369" t="s">
        <v>875</v>
      </c>
      <c r="C369" t="s">
        <v>109</v>
      </c>
      <c r="D369" t="s">
        <v>110</v>
      </c>
      <c r="E369" t="s">
        <v>111</v>
      </c>
      <c r="F369" t="str">
        <f t="shared" si="6"/>
        <v>2018-05-20</v>
      </c>
      <c r="G369">
        <v>42.66</v>
      </c>
      <c r="H369" t="str">
        <f>"2016-07-10"</f>
        <v>2016-07-10</v>
      </c>
      <c r="I369" t="s">
        <v>26</v>
      </c>
      <c r="J369" t="str">
        <f>"2015-06-28"</f>
        <v>2015-06-28</v>
      </c>
      <c r="K369" t="s">
        <v>34</v>
      </c>
      <c r="L369">
        <v>2.6209606999999999</v>
      </c>
      <c r="M369">
        <v>368</v>
      </c>
      <c r="N369" s="1">
        <v>0.57130000000000003</v>
      </c>
      <c r="O369" s="1">
        <v>2.7258</v>
      </c>
      <c r="P369" s="1">
        <v>-0.1343</v>
      </c>
      <c r="Q369" s="1">
        <v>9.4999999999999998E-3</v>
      </c>
      <c r="R369" s="1">
        <v>6.25E-2</v>
      </c>
      <c r="S369" s="1">
        <v>2.1299999999999999E-2</v>
      </c>
      <c r="T369" s="1">
        <v>0.106</v>
      </c>
      <c r="U369" s="1">
        <v>0.33310000000000001</v>
      </c>
    </row>
    <row r="370" spans="1:21" x14ac:dyDescent="0.25">
      <c r="A370" t="s">
        <v>876</v>
      </c>
      <c r="B370" t="s">
        <v>877</v>
      </c>
      <c r="C370" t="s">
        <v>37</v>
      </c>
      <c r="D370" t="s">
        <v>38</v>
      </c>
      <c r="E370" t="s">
        <v>39</v>
      </c>
      <c r="F370" t="str">
        <f t="shared" si="6"/>
        <v>2018-05-20</v>
      </c>
      <c r="G370">
        <v>16.25</v>
      </c>
      <c r="H370" t="str">
        <f>"2017-10-12"</f>
        <v>2017-10-12</v>
      </c>
      <c r="I370" t="s">
        <v>26</v>
      </c>
      <c r="J370" t="str">
        <f>"2017-09-10"</f>
        <v>2017-09-10</v>
      </c>
      <c r="K370" t="s">
        <v>27</v>
      </c>
      <c r="L370">
        <v>2.6086142300000001</v>
      </c>
      <c r="M370">
        <v>369</v>
      </c>
      <c r="N370" s="1">
        <v>1.2109000000000001</v>
      </c>
      <c r="O370" s="1">
        <v>2.6516999999999999</v>
      </c>
      <c r="P370" s="1">
        <v>-0.16669999999999999</v>
      </c>
      <c r="Q370" s="1">
        <v>-4.1300000000000003E-2</v>
      </c>
      <c r="R370" s="1">
        <v>8.3299999999999999E-2</v>
      </c>
      <c r="S370" s="1">
        <v>0.1207</v>
      </c>
      <c r="T370" s="1">
        <v>-0.1447</v>
      </c>
      <c r="U370" s="1">
        <v>1.6638999999999999</v>
      </c>
    </row>
    <row r="371" spans="1:21" x14ac:dyDescent="0.25">
      <c r="A371" t="s">
        <v>878</v>
      </c>
      <c r="B371" t="s">
        <v>879</v>
      </c>
      <c r="C371" t="s">
        <v>37</v>
      </c>
      <c r="D371" t="s">
        <v>66</v>
      </c>
      <c r="E371" t="s">
        <v>72</v>
      </c>
      <c r="F371" t="str">
        <f t="shared" si="6"/>
        <v>2018-05-20</v>
      </c>
      <c r="G371">
        <v>16.21</v>
      </c>
      <c r="H371" t="str">
        <f>"2015-12-16"</f>
        <v>2015-12-16</v>
      </c>
      <c r="I371" t="s">
        <v>26</v>
      </c>
      <c r="J371" t="str">
        <f>"2015-11-08"</f>
        <v>2015-11-08</v>
      </c>
      <c r="K371" t="s">
        <v>27</v>
      </c>
      <c r="L371">
        <v>2.6084834799999999</v>
      </c>
      <c r="M371">
        <v>370</v>
      </c>
      <c r="N371" s="1">
        <v>1.4157999999999999</v>
      </c>
      <c r="O371" s="1">
        <v>2.6509</v>
      </c>
      <c r="P371" s="1">
        <v>-0.2893</v>
      </c>
      <c r="Q371" s="1">
        <v>-3.7000000000000002E-3</v>
      </c>
      <c r="R371" s="1">
        <v>2.4E-2</v>
      </c>
      <c r="S371" s="1">
        <v>-5.5899999999999998E-2</v>
      </c>
      <c r="T371" s="1">
        <v>-9.1899999999999996E-2</v>
      </c>
      <c r="U371" s="1">
        <v>0.111</v>
      </c>
    </row>
    <row r="372" spans="1:21" x14ac:dyDescent="0.25">
      <c r="A372" t="s">
        <v>880</v>
      </c>
      <c r="B372" t="s">
        <v>881</v>
      </c>
      <c r="C372" t="s">
        <v>83</v>
      </c>
      <c r="D372" t="s">
        <v>342</v>
      </c>
      <c r="E372" t="s">
        <v>342</v>
      </c>
      <c r="F372" t="str">
        <f t="shared" si="6"/>
        <v>2018-05-20</v>
      </c>
      <c r="G372">
        <v>49.55</v>
      </c>
      <c r="H372" t="str">
        <f>"2016-07-11"</f>
        <v>2016-07-11</v>
      </c>
      <c r="I372" t="s">
        <v>26</v>
      </c>
      <c r="J372" t="str">
        <f>"2016-05-25"</f>
        <v>2016-05-25</v>
      </c>
      <c r="K372" t="s">
        <v>27</v>
      </c>
      <c r="L372">
        <v>2.6063387200000001</v>
      </c>
      <c r="M372">
        <v>371</v>
      </c>
      <c r="N372" s="1">
        <v>1.4937</v>
      </c>
      <c r="O372" s="1">
        <v>2.6379999999999999</v>
      </c>
      <c r="P372" s="1">
        <v>-0.19889999999999999</v>
      </c>
      <c r="Q372" s="1">
        <v>-1.9800000000000002E-2</v>
      </c>
      <c r="R372" s="1">
        <v>-2.0799999999999999E-2</v>
      </c>
      <c r="S372" s="1">
        <v>-5.0000000000000001E-3</v>
      </c>
      <c r="T372" s="1">
        <v>-5.9799999999999999E-2</v>
      </c>
      <c r="U372" s="1">
        <v>0.70569999999999999</v>
      </c>
    </row>
    <row r="373" spans="1:21" x14ac:dyDescent="0.25">
      <c r="A373" t="s">
        <v>882</v>
      </c>
      <c r="B373" t="s">
        <v>883</v>
      </c>
      <c r="C373" t="s">
        <v>30</v>
      </c>
      <c r="D373" t="s">
        <v>48</v>
      </c>
      <c r="E373" t="s">
        <v>177</v>
      </c>
      <c r="F373" t="str">
        <f t="shared" ref="F373:F404" si="7">"2018-05-20"</f>
        <v>2018-05-20</v>
      </c>
      <c r="G373">
        <v>275.64999999999998</v>
      </c>
      <c r="H373" t="str">
        <f>"2016-12-14"</f>
        <v>2016-12-14</v>
      </c>
      <c r="I373" t="s">
        <v>26</v>
      </c>
      <c r="J373" t="str">
        <f>"2016-11-13"</f>
        <v>2016-11-13</v>
      </c>
      <c r="K373" t="s">
        <v>27</v>
      </c>
      <c r="L373">
        <v>2.59610311</v>
      </c>
      <c r="M373">
        <v>372</v>
      </c>
      <c r="N373" s="1">
        <v>1.6775</v>
      </c>
      <c r="O373" s="1">
        <v>2.5766</v>
      </c>
      <c r="P373" s="1">
        <v>-0.31530000000000002</v>
      </c>
      <c r="Q373" s="1">
        <v>-1.09E-2</v>
      </c>
      <c r="R373" s="1">
        <v>-1.32E-2</v>
      </c>
      <c r="S373" s="1">
        <v>-0.14729999999999999</v>
      </c>
      <c r="T373" s="1">
        <v>-0.23269999999999999</v>
      </c>
      <c r="U373" s="1">
        <v>0.75849999999999995</v>
      </c>
    </row>
    <row r="374" spans="1:21" x14ac:dyDescent="0.25">
      <c r="A374" t="s">
        <v>884</v>
      </c>
      <c r="B374" t="s">
        <v>885</v>
      </c>
      <c r="C374" t="s">
        <v>37</v>
      </c>
      <c r="D374" t="s">
        <v>38</v>
      </c>
      <c r="E374" t="s">
        <v>39</v>
      </c>
      <c r="F374" t="str">
        <f t="shared" si="7"/>
        <v>2018-05-20</v>
      </c>
      <c r="G374">
        <v>52.55</v>
      </c>
      <c r="H374" t="str">
        <f>"2016-09-18"</f>
        <v>2016-09-18</v>
      </c>
      <c r="I374" t="s">
        <v>26</v>
      </c>
      <c r="J374" t="str">
        <f>"2016-03-13"</f>
        <v>2016-03-13</v>
      </c>
      <c r="K374" t="s">
        <v>57</v>
      </c>
      <c r="L374">
        <v>2.58978676</v>
      </c>
      <c r="M374">
        <v>373</v>
      </c>
      <c r="N374" s="1">
        <v>1.6144000000000001</v>
      </c>
      <c r="O374" s="1">
        <v>2.5387</v>
      </c>
      <c r="P374" s="1">
        <v>-0.14760000000000001</v>
      </c>
      <c r="Q374" s="1">
        <v>2.7400000000000001E-2</v>
      </c>
      <c r="R374" s="1">
        <v>5.7299999999999997E-2</v>
      </c>
      <c r="S374" s="1">
        <v>0.1338</v>
      </c>
      <c r="T374" s="1">
        <v>-0.1205</v>
      </c>
      <c r="U374" s="1">
        <v>0.97560000000000002</v>
      </c>
    </row>
    <row r="375" spans="1:21" x14ac:dyDescent="0.25">
      <c r="A375" t="s">
        <v>886</v>
      </c>
      <c r="B375" t="s">
        <v>887</v>
      </c>
      <c r="C375" t="s">
        <v>109</v>
      </c>
      <c r="D375" t="s">
        <v>156</v>
      </c>
      <c r="E375" t="s">
        <v>277</v>
      </c>
      <c r="F375" t="str">
        <f t="shared" si="7"/>
        <v>2018-05-20</v>
      </c>
      <c r="G375">
        <v>29.71</v>
      </c>
      <c r="H375" t="str">
        <f>"2016-07-06"</f>
        <v>2016-07-06</v>
      </c>
      <c r="I375" t="s">
        <v>26</v>
      </c>
      <c r="J375" t="str">
        <f>"2016-05-29"</f>
        <v>2016-05-29</v>
      </c>
      <c r="K375" t="s">
        <v>27</v>
      </c>
      <c r="L375">
        <v>2.5839229600000002</v>
      </c>
      <c r="M375">
        <v>374</v>
      </c>
      <c r="N375" s="1">
        <v>1.6887000000000001</v>
      </c>
      <c r="O375" s="1">
        <v>2.5034999999999998</v>
      </c>
      <c r="P375" s="1">
        <v>-0.1361</v>
      </c>
      <c r="Q375" s="1">
        <v>2.3800000000000002E-2</v>
      </c>
      <c r="R375" s="1">
        <v>9.4999999999999998E-3</v>
      </c>
      <c r="S375" s="1">
        <v>0.1578</v>
      </c>
      <c r="T375" s="1">
        <v>7.8399999999999997E-2</v>
      </c>
      <c r="U375" s="1">
        <v>7.9200000000000007E-2</v>
      </c>
    </row>
    <row r="376" spans="1:21" x14ac:dyDescent="0.25">
      <c r="A376" t="s">
        <v>888</v>
      </c>
      <c r="B376" t="s">
        <v>889</v>
      </c>
      <c r="C376" t="s">
        <v>109</v>
      </c>
      <c r="D376" t="s">
        <v>156</v>
      </c>
      <c r="E376" t="s">
        <v>277</v>
      </c>
      <c r="F376" t="str">
        <f t="shared" si="7"/>
        <v>2018-05-20</v>
      </c>
      <c r="G376">
        <v>111.3</v>
      </c>
      <c r="H376" t="str">
        <f>"2016-03-31"</f>
        <v>2016-03-31</v>
      </c>
      <c r="I376" t="s">
        <v>26</v>
      </c>
      <c r="J376" t="str">
        <f>"2016-03-17"</f>
        <v>2016-03-17</v>
      </c>
      <c r="K376" t="s">
        <v>27</v>
      </c>
      <c r="L376">
        <v>2.5800500300000002</v>
      </c>
      <c r="M376">
        <v>375</v>
      </c>
      <c r="N376" s="1">
        <v>1.9561999999999999</v>
      </c>
      <c r="O376" s="1">
        <v>2.4803000000000002</v>
      </c>
      <c r="P376" s="1">
        <v>-0.1128</v>
      </c>
      <c r="Q376" s="1">
        <v>6.3E-3</v>
      </c>
      <c r="R376" s="1">
        <v>-3.2599999999999997E-2</v>
      </c>
      <c r="S376" s="1">
        <v>0.05</v>
      </c>
      <c r="T376" s="1">
        <v>-2.1499999999999998E-2</v>
      </c>
      <c r="U376" s="1">
        <v>0.38950000000000001</v>
      </c>
    </row>
    <row r="377" spans="1:21" x14ac:dyDescent="0.25">
      <c r="A377" t="s">
        <v>890</v>
      </c>
      <c r="B377" t="s">
        <v>891</v>
      </c>
      <c r="C377" t="s">
        <v>37</v>
      </c>
      <c r="D377" t="s">
        <v>38</v>
      </c>
      <c r="E377" t="s">
        <v>39</v>
      </c>
      <c r="F377" t="str">
        <f t="shared" si="7"/>
        <v>2018-05-20</v>
      </c>
      <c r="G377">
        <v>7.6</v>
      </c>
      <c r="H377" t="str">
        <f>"2017-06-01"</f>
        <v>2017-06-01</v>
      </c>
      <c r="I377" t="s">
        <v>26</v>
      </c>
      <c r="J377" t="str">
        <f>"2017-03-19"</f>
        <v>2017-03-19</v>
      </c>
      <c r="K377" t="s">
        <v>27</v>
      </c>
      <c r="L377">
        <v>2.5757575799999999</v>
      </c>
      <c r="M377">
        <v>376</v>
      </c>
      <c r="N377" s="1">
        <v>0.6</v>
      </c>
      <c r="O377" s="1">
        <v>2.4544999999999999</v>
      </c>
      <c r="P377" s="1">
        <v>-0.14119999999999999</v>
      </c>
      <c r="Q377" s="1">
        <v>-1.2999999999999999E-2</v>
      </c>
      <c r="R377" s="1">
        <v>0</v>
      </c>
      <c r="S377" s="1">
        <v>-1.9400000000000001E-2</v>
      </c>
      <c r="T377" s="1">
        <v>0.1515</v>
      </c>
      <c r="U377" s="1">
        <v>0.67030000000000001</v>
      </c>
    </row>
    <row r="378" spans="1:21" x14ac:dyDescent="0.25">
      <c r="A378" t="s">
        <v>892</v>
      </c>
      <c r="B378" t="s">
        <v>893</v>
      </c>
      <c r="C378" t="s">
        <v>109</v>
      </c>
      <c r="D378" t="s">
        <v>156</v>
      </c>
      <c r="E378" t="s">
        <v>277</v>
      </c>
      <c r="F378" t="str">
        <f t="shared" si="7"/>
        <v>2018-05-20</v>
      </c>
      <c r="G378">
        <v>6.55</v>
      </c>
      <c r="H378" t="str">
        <f>"2016-01-11"</f>
        <v>2016-01-11</v>
      </c>
      <c r="I378" t="s">
        <v>26</v>
      </c>
      <c r="J378" t="str">
        <f>"2015-11-24"</f>
        <v>2015-11-24</v>
      </c>
      <c r="K378" t="s">
        <v>27</v>
      </c>
      <c r="L378">
        <v>2.56857639</v>
      </c>
      <c r="M378">
        <v>377</v>
      </c>
      <c r="N378" s="1">
        <v>1.62</v>
      </c>
      <c r="O378" s="1">
        <v>2.4115000000000002</v>
      </c>
      <c r="P378" s="1">
        <v>-0.37169999999999997</v>
      </c>
      <c r="Q378" s="1">
        <v>2.3400000000000001E-2</v>
      </c>
      <c r="R378" s="1">
        <v>-1.4999999999999999E-2</v>
      </c>
      <c r="S378" s="1">
        <v>3.15E-2</v>
      </c>
      <c r="T378" s="1">
        <v>-0.10879999999999999</v>
      </c>
      <c r="U378" s="1">
        <v>-5.0700000000000002E-2</v>
      </c>
    </row>
    <row r="379" spans="1:21" x14ac:dyDescent="0.25">
      <c r="A379" t="s">
        <v>894</v>
      </c>
      <c r="B379" t="s">
        <v>895</v>
      </c>
      <c r="C379" t="s">
        <v>37</v>
      </c>
      <c r="D379" t="s">
        <v>38</v>
      </c>
      <c r="E379" t="s">
        <v>97</v>
      </c>
      <c r="F379" t="str">
        <f t="shared" si="7"/>
        <v>2018-05-20</v>
      </c>
      <c r="G379">
        <v>25.59</v>
      </c>
      <c r="H379" t="str">
        <f>"2017-11-12"</f>
        <v>2017-11-12</v>
      </c>
      <c r="I379" t="s">
        <v>26</v>
      </c>
      <c r="J379" t="str">
        <f>"2017-04-09"</f>
        <v>2017-04-09</v>
      </c>
      <c r="K379" t="s">
        <v>57</v>
      </c>
      <c r="L379">
        <v>2.5619235800000002</v>
      </c>
      <c r="M379">
        <v>378</v>
      </c>
      <c r="N379" s="1">
        <v>0.81620000000000004</v>
      </c>
      <c r="O379" s="1">
        <v>2.3715000000000002</v>
      </c>
      <c r="P379" s="1">
        <v>-0.1239</v>
      </c>
      <c r="Q379" s="1">
        <v>-5.1000000000000004E-3</v>
      </c>
      <c r="R379" s="1">
        <v>1.95E-2</v>
      </c>
      <c r="S379" s="1">
        <v>5.7000000000000002E-2</v>
      </c>
      <c r="T379" s="1">
        <v>4.1099999999999998E-2</v>
      </c>
      <c r="U379" s="1">
        <v>2.032</v>
      </c>
    </row>
    <row r="380" spans="1:21" x14ac:dyDescent="0.25">
      <c r="A380" t="s">
        <v>896</v>
      </c>
      <c r="B380" t="s">
        <v>897</v>
      </c>
      <c r="C380" t="s">
        <v>37</v>
      </c>
      <c r="D380" t="s">
        <v>38</v>
      </c>
      <c r="E380" t="s">
        <v>39</v>
      </c>
      <c r="F380" t="str">
        <f t="shared" si="7"/>
        <v>2018-05-20</v>
      </c>
      <c r="G380">
        <v>13.9</v>
      </c>
      <c r="H380" t="str">
        <f>"2017-03-15"</f>
        <v>2017-03-15</v>
      </c>
      <c r="I380" t="s">
        <v>26</v>
      </c>
      <c r="J380" t="str">
        <f>"2016-12-20"</f>
        <v>2016-12-20</v>
      </c>
      <c r="K380" t="s">
        <v>57</v>
      </c>
      <c r="L380">
        <v>2.5515873</v>
      </c>
      <c r="M380">
        <v>379</v>
      </c>
      <c r="N380" s="1">
        <v>-3.8100000000000002E-2</v>
      </c>
      <c r="O380" s="1">
        <v>2.3094999999999999</v>
      </c>
      <c r="P380" s="1">
        <v>-0.1726</v>
      </c>
      <c r="Q380" s="1">
        <v>-1.0699999999999999E-2</v>
      </c>
      <c r="R380" s="1">
        <v>7.1999999999999998E-3</v>
      </c>
      <c r="S380" s="1">
        <v>-1.0699999999999999E-2</v>
      </c>
      <c r="T380" s="1">
        <v>-1.77E-2</v>
      </c>
      <c r="U380" s="1">
        <v>0.214</v>
      </c>
    </row>
    <row r="381" spans="1:21" x14ac:dyDescent="0.25">
      <c r="A381" t="s">
        <v>898</v>
      </c>
      <c r="B381" t="s">
        <v>899</v>
      </c>
      <c r="C381" t="s">
        <v>37</v>
      </c>
      <c r="D381" t="s">
        <v>38</v>
      </c>
      <c r="E381" t="s">
        <v>39</v>
      </c>
      <c r="F381" t="str">
        <f t="shared" si="7"/>
        <v>2018-05-20</v>
      </c>
      <c r="G381">
        <v>45.65</v>
      </c>
      <c r="H381" t="str">
        <f>"2017-02-26"</f>
        <v>2017-02-26</v>
      </c>
      <c r="I381" t="s">
        <v>26</v>
      </c>
      <c r="J381" t="str">
        <f>"2017-02-16"</f>
        <v>2017-02-16</v>
      </c>
      <c r="K381" t="s">
        <v>27</v>
      </c>
      <c r="L381">
        <v>2.5473621099999999</v>
      </c>
      <c r="M381">
        <v>380</v>
      </c>
      <c r="N381" s="1">
        <v>0.62170000000000003</v>
      </c>
      <c r="O381" s="1">
        <v>2.2841999999999998</v>
      </c>
      <c r="P381" s="1">
        <v>-0.30730000000000002</v>
      </c>
      <c r="Q381" s="1">
        <v>-9.7999999999999997E-3</v>
      </c>
      <c r="R381" s="1">
        <v>-8.5199999999999998E-2</v>
      </c>
      <c r="S381" s="1">
        <v>4.2200000000000001E-2</v>
      </c>
      <c r="T381" s="1">
        <v>-0.26960000000000001</v>
      </c>
      <c r="U381" s="1">
        <v>0.52170000000000005</v>
      </c>
    </row>
    <row r="382" spans="1:21" x14ac:dyDescent="0.25">
      <c r="A382" t="s">
        <v>900</v>
      </c>
      <c r="B382" t="s">
        <v>901</v>
      </c>
      <c r="C382" t="s">
        <v>109</v>
      </c>
      <c r="D382" t="s">
        <v>110</v>
      </c>
      <c r="E382" t="s">
        <v>111</v>
      </c>
      <c r="F382" t="str">
        <f t="shared" si="7"/>
        <v>2018-05-20</v>
      </c>
      <c r="G382">
        <v>102.7</v>
      </c>
      <c r="H382" t="str">
        <f>"2016-05-19"</f>
        <v>2016-05-19</v>
      </c>
      <c r="I382" t="s">
        <v>26</v>
      </c>
      <c r="J382" t="str">
        <f>"2016-04-19"</f>
        <v>2016-04-19</v>
      </c>
      <c r="K382" t="s">
        <v>27</v>
      </c>
      <c r="L382">
        <v>2.5420097099999999</v>
      </c>
      <c r="M382">
        <v>381</v>
      </c>
      <c r="N382" s="1">
        <v>1.5605</v>
      </c>
      <c r="O382" s="1">
        <v>2.2521</v>
      </c>
      <c r="P382" s="1">
        <v>-0.1268</v>
      </c>
      <c r="Q382" s="1">
        <v>-7.9000000000000008E-3</v>
      </c>
      <c r="R382" s="1">
        <v>6.7999999999999996E-3</v>
      </c>
      <c r="S382" s="1">
        <v>-9.9699999999999997E-2</v>
      </c>
      <c r="T382" s="1">
        <v>3.2300000000000002E-2</v>
      </c>
      <c r="U382" s="1">
        <v>0.57999999999999996</v>
      </c>
    </row>
    <row r="383" spans="1:21" x14ac:dyDescent="0.25">
      <c r="A383" t="s">
        <v>902</v>
      </c>
      <c r="B383" t="s">
        <v>903</v>
      </c>
      <c r="C383" t="s">
        <v>43</v>
      </c>
      <c r="D383" t="s">
        <v>169</v>
      </c>
      <c r="E383" t="s">
        <v>904</v>
      </c>
      <c r="F383" t="str">
        <f t="shared" si="7"/>
        <v>2018-05-20</v>
      </c>
      <c r="G383">
        <v>18.600000000000001</v>
      </c>
      <c r="H383" t="str">
        <f>"2016-05-22"</f>
        <v>2016-05-22</v>
      </c>
      <c r="I383" t="s">
        <v>26</v>
      </c>
      <c r="J383" t="str">
        <f>"2016-04-13"</f>
        <v>2016-04-13</v>
      </c>
      <c r="K383" t="s">
        <v>27</v>
      </c>
      <c r="L383">
        <v>2.53633218</v>
      </c>
      <c r="M383">
        <v>382</v>
      </c>
      <c r="N383" s="1">
        <v>0.60899999999999999</v>
      </c>
      <c r="O383" s="1">
        <v>2.218</v>
      </c>
      <c r="P383" s="1">
        <v>-0.16589999999999999</v>
      </c>
      <c r="Q383" s="1">
        <v>8.0999999999999996E-3</v>
      </c>
      <c r="R383" s="1">
        <v>4.4900000000000002E-2</v>
      </c>
      <c r="S383" s="1">
        <v>7.51E-2</v>
      </c>
      <c r="T383" s="1">
        <v>5.0799999999999998E-2</v>
      </c>
      <c r="U383" s="1">
        <v>0.33810000000000001</v>
      </c>
    </row>
    <row r="384" spans="1:21" x14ac:dyDescent="0.25">
      <c r="A384" t="s">
        <v>905</v>
      </c>
      <c r="B384" t="s">
        <v>906</v>
      </c>
      <c r="C384" t="s">
        <v>109</v>
      </c>
      <c r="D384" t="s">
        <v>110</v>
      </c>
      <c r="E384" t="s">
        <v>111</v>
      </c>
      <c r="F384" t="str">
        <f t="shared" si="7"/>
        <v>2018-05-20</v>
      </c>
      <c r="G384">
        <v>98.98</v>
      </c>
      <c r="H384" t="str">
        <f>"2014-08-12"</f>
        <v>2014-08-12</v>
      </c>
      <c r="I384" t="s">
        <v>26</v>
      </c>
      <c r="J384" t="str">
        <f>"2014-05-29"</f>
        <v>2014-05-29</v>
      </c>
      <c r="K384" t="s">
        <v>27</v>
      </c>
      <c r="L384">
        <v>2.5168128699999999</v>
      </c>
      <c r="M384">
        <v>383</v>
      </c>
      <c r="N384" s="1">
        <v>1.7222</v>
      </c>
      <c r="O384" s="1">
        <v>2.1009000000000002</v>
      </c>
      <c r="P384" s="1">
        <v>-0.1103</v>
      </c>
      <c r="Q384" s="1">
        <v>2.8E-3</v>
      </c>
      <c r="R384" s="1">
        <v>-6.6E-3</v>
      </c>
      <c r="S384" s="1">
        <v>-7.6999999999999999E-2</v>
      </c>
      <c r="T384" s="1">
        <v>-4.8800000000000003E-2</v>
      </c>
      <c r="U384" s="1">
        <v>0.20849999999999999</v>
      </c>
    </row>
    <row r="385" spans="1:21" x14ac:dyDescent="0.25">
      <c r="A385" t="s">
        <v>907</v>
      </c>
      <c r="B385" t="s">
        <v>908</v>
      </c>
      <c r="C385" t="s">
        <v>30</v>
      </c>
      <c r="D385" t="s">
        <v>347</v>
      </c>
      <c r="E385" t="s">
        <v>523</v>
      </c>
      <c r="F385" t="str">
        <f t="shared" si="7"/>
        <v>2018-05-20</v>
      </c>
      <c r="G385">
        <v>17.8</v>
      </c>
      <c r="H385" t="str">
        <f>"2014-07-28"</f>
        <v>2014-07-28</v>
      </c>
      <c r="I385" t="s">
        <v>26</v>
      </c>
      <c r="J385" t="str">
        <f>"2014-05-15"</f>
        <v>2014-05-15</v>
      </c>
      <c r="K385" t="s">
        <v>40</v>
      </c>
      <c r="L385">
        <v>2.5159420300000002</v>
      </c>
      <c r="M385">
        <v>384</v>
      </c>
      <c r="N385" s="1">
        <v>1.5685</v>
      </c>
      <c r="O385" s="1">
        <v>2.0956999999999999</v>
      </c>
      <c r="P385" s="1">
        <v>-0.1797</v>
      </c>
      <c r="Q385" s="1">
        <v>8.5000000000000006E-3</v>
      </c>
      <c r="R385" s="1">
        <v>3.7900000000000003E-2</v>
      </c>
      <c r="S385" s="1">
        <v>1.7100000000000001E-2</v>
      </c>
      <c r="T385" s="1">
        <v>-0.1055</v>
      </c>
      <c r="U385" s="1">
        <v>0.19869999999999999</v>
      </c>
    </row>
    <row r="386" spans="1:21" x14ac:dyDescent="0.25">
      <c r="A386" t="s">
        <v>909</v>
      </c>
      <c r="B386" t="s">
        <v>910</v>
      </c>
      <c r="C386" t="s">
        <v>37</v>
      </c>
      <c r="D386" t="s">
        <v>38</v>
      </c>
      <c r="E386" t="s">
        <v>39</v>
      </c>
      <c r="F386" t="str">
        <f t="shared" si="7"/>
        <v>2018-05-20</v>
      </c>
      <c r="G386">
        <v>31.7</v>
      </c>
      <c r="H386" t="str">
        <f>"2016-10-04"</f>
        <v>2016-10-04</v>
      </c>
      <c r="I386" t="s">
        <v>26</v>
      </c>
      <c r="J386" t="str">
        <f>"2015-08-06"</f>
        <v>2015-08-06</v>
      </c>
      <c r="K386" t="s">
        <v>34</v>
      </c>
      <c r="L386">
        <v>2.5149447700000001</v>
      </c>
      <c r="M386">
        <v>385</v>
      </c>
      <c r="N386" s="1">
        <v>0.93769999999999998</v>
      </c>
      <c r="O386" s="1">
        <v>2.0897000000000001</v>
      </c>
      <c r="P386" s="1">
        <v>-0.19850000000000001</v>
      </c>
      <c r="Q386" s="1">
        <v>1.2800000000000001E-2</v>
      </c>
      <c r="R386" s="1">
        <v>5.1799999999999999E-2</v>
      </c>
      <c r="S386" s="1">
        <v>-7.7999999999999996E-3</v>
      </c>
      <c r="T386" s="1">
        <v>5.28E-2</v>
      </c>
      <c r="U386" s="1">
        <v>0.68530000000000002</v>
      </c>
    </row>
    <row r="387" spans="1:21" x14ac:dyDescent="0.25">
      <c r="A387" t="s">
        <v>911</v>
      </c>
      <c r="B387" t="s">
        <v>912</v>
      </c>
      <c r="C387" t="s">
        <v>23</v>
      </c>
      <c r="D387" t="s">
        <v>52</v>
      </c>
      <c r="E387" t="s">
        <v>53</v>
      </c>
      <c r="F387" t="str">
        <f t="shared" si="7"/>
        <v>2018-05-20</v>
      </c>
      <c r="G387">
        <v>45.27</v>
      </c>
      <c r="H387" t="str">
        <f>"2016-07-11"</f>
        <v>2016-07-11</v>
      </c>
      <c r="I387" t="s">
        <v>26</v>
      </c>
      <c r="J387" t="str">
        <f>"2016-07-03"</f>
        <v>2016-07-03</v>
      </c>
      <c r="K387" t="s">
        <v>27</v>
      </c>
      <c r="L387">
        <v>2.5111788599999998</v>
      </c>
      <c r="M387">
        <v>386</v>
      </c>
      <c r="N387" s="1">
        <v>0.97689999999999999</v>
      </c>
      <c r="O387" s="1">
        <v>2.0670999999999999</v>
      </c>
      <c r="P387" s="1">
        <v>-0.17929999999999999</v>
      </c>
      <c r="Q387" s="1">
        <v>1.66E-2</v>
      </c>
      <c r="R387" s="1">
        <v>4.99E-2</v>
      </c>
      <c r="S387" s="1">
        <v>5.0099999999999999E-2</v>
      </c>
      <c r="T387" s="1">
        <v>9.06E-2</v>
      </c>
      <c r="U387" s="1">
        <v>0.23719999999999999</v>
      </c>
    </row>
    <row r="388" spans="1:21" x14ac:dyDescent="0.25">
      <c r="A388" t="s">
        <v>913</v>
      </c>
      <c r="B388" t="s">
        <v>914</v>
      </c>
      <c r="C388" t="s">
        <v>23</v>
      </c>
      <c r="D388" t="s">
        <v>52</v>
      </c>
      <c r="E388" t="s">
        <v>53</v>
      </c>
      <c r="F388" t="str">
        <f t="shared" si="7"/>
        <v>2018-05-20</v>
      </c>
      <c r="G388">
        <v>26.72</v>
      </c>
      <c r="H388" t="str">
        <f>"2018-05-10"</f>
        <v>2018-05-10</v>
      </c>
      <c r="I388" t="s">
        <v>26</v>
      </c>
      <c r="J388" t="str">
        <f>"2017-04-30"</f>
        <v>2017-04-30</v>
      </c>
      <c r="K388" t="s">
        <v>34</v>
      </c>
      <c r="L388">
        <v>2.5107033599999999</v>
      </c>
      <c r="M388">
        <v>387</v>
      </c>
      <c r="N388" s="1">
        <v>-2.2000000000000001E-3</v>
      </c>
      <c r="O388" s="1">
        <v>2.0642</v>
      </c>
      <c r="P388" s="1">
        <v>-0.1123</v>
      </c>
      <c r="Q388" s="1">
        <v>-1.5E-3</v>
      </c>
      <c r="R388" s="1">
        <v>-1.6899999999999998E-2</v>
      </c>
      <c r="S388" s="1">
        <v>-0.1081</v>
      </c>
      <c r="T388" s="1">
        <v>0.22120000000000001</v>
      </c>
      <c r="U388" s="1">
        <v>1.4116</v>
      </c>
    </row>
    <row r="389" spans="1:21" x14ac:dyDescent="0.25">
      <c r="A389" t="s">
        <v>915</v>
      </c>
      <c r="B389" t="s">
        <v>916</v>
      </c>
      <c r="C389" t="s">
        <v>87</v>
      </c>
      <c r="D389" t="s">
        <v>664</v>
      </c>
      <c r="E389" t="s">
        <v>665</v>
      </c>
      <c r="F389" t="str">
        <f t="shared" si="7"/>
        <v>2018-05-20</v>
      </c>
      <c r="G389">
        <v>11.65</v>
      </c>
      <c r="H389" t="str">
        <f>"2016-09-18"</f>
        <v>2016-09-18</v>
      </c>
      <c r="I389" t="s">
        <v>26</v>
      </c>
      <c r="J389" t="str">
        <f>"2016-07-12"</f>
        <v>2016-07-12</v>
      </c>
      <c r="K389" t="s">
        <v>27</v>
      </c>
      <c r="L389">
        <v>2.4940627700000002</v>
      </c>
      <c r="M389">
        <v>388</v>
      </c>
      <c r="N389" s="1">
        <v>1.3069</v>
      </c>
      <c r="O389" s="1">
        <v>1.9643999999999999</v>
      </c>
      <c r="P389" s="1">
        <v>-0.1038</v>
      </c>
      <c r="Q389" s="1">
        <v>0</v>
      </c>
      <c r="R389" s="1">
        <v>3.56E-2</v>
      </c>
      <c r="S389" s="1">
        <v>-4.9000000000000002E-2</v>
      </c>
      <c r="T389" s="1">
        <v>0.38690000000000002</v>
      </c>
      <c r="U389" s="1">
        <v>0.72589999999999999</v>
      </c>
    </row>
    <row r="390" spans="1:21" x14ac:dyDescent="0.25">
      <c r="A390" t="s">
        <v>917</v>
      </c>
      <c r="B390" t="s">
        <v>918</v>
      </c>
      <c r="C390" t="s">
        <v>43</v>
      </c>
      <c r="D390" t="s">
        <v>150</v>
      </c>
      <c r="E390" t="s">
        <v>151</v>
      </c>
      <c r="F390" t="str">
        <f t="shared" si="7"/>
        <v>2018-05-20</v>
      </c>
      <c r="G390">
        <v>101.95</v>
      </c>
      <c r="H390" t="str">
        <f>"2016-04-04"</f>
        <v>2016-04-04</v>
      </c>
      <c r="I390" t="s">
        <v>26</v>
      </c>
      <c r="J390" t="str">
        <f>"2016-03-09"</f>
        <v>2016-03-09</v>
      </c>
      <c r="K390" t="s">
        <v>27</v>
      </c>
      <c r="L390">
        <v>2.4903799900000001</v>
      </c>
      <c r="M390">
        <v>389</v>
      </c>
      <c r="N390" s="1">
        <v>1.2741</v>
      </c>
      <c r="O390" s="1">
        <v>1.9422999999999999</v>
      </c>
      <c r="P390" s="1">
        <v>-0.1026</v>
      </c>
      <c r="Q390" s="1">
        <v>3.8199999999999998E-2</v>
      </c>
      <c r="R390" s="1">
        <v>7.6600000000000001E-2</v>
      </c>
      <c r="S390" s="1">
        <v>5.8099999999999999E-2</v>
      </c>
      <c r="T390" s="1">
        <v>1.49E-2</v>
      </c>
      <c r="U390" s="1">
        <v>0.442</v>
      </c>
    </row>
    <row r="391" spans="1:21" x14ac:dyDescent="0.25">
      <c r="A391" t="s">
        <v>919</v>
      </c>
      <c r="B391" t="s">
        <v>920</v>
      </c>
      <c r="C391" t="s">
        <v>43</v>
      </c>
      <c r="D391" t="s">
        <v>119</v>
      </c>
      <c r="E391" t="s">
        <v>120</v>
      </c>
      <c r="F391" t="str">
        <f t="shared" si="7"/>
        <v>2018-05-20</v>
      </c>
      <c r="G391">
        <v>44.95</v>
      </c>
      <c r="H391" t="str">
        <f>"2015-11-08"</f>
        <v>2015-11-08</v>
      </c>
      <c r="I391" t="s">
        <v>26</v>
      </c>
      <c r="J391" t="str">
        <f>"2015-09-02"</f>
        <v>2015-09-02</v>
      </c>
      <c r="K391" t="s">
        <v>40</v>
      </c>
      <c r="L391">
        <v>2.4883746200000001</v>
      </c>
      <c r="M391">
        <v>390</v>
      </c>
      <c r="N391" s="1">
        <v>1.3998999999999999</v>
      </c>
      <c r="O391" s="1">
        <v>1.9301999999999999</v>
      </c>
      <c r="P391" s="1">
        <v>-0.15110000000000001</v>
      </c>
      <c r="Q391" s="1">
        <v>1.24E-2</v>
      </c>
      <c r="R391" s="1">
        <v>1.1000000000000001E-3</v>
      </c>
      <c r="S391" s="1">
        <v>0.1099</v>
      </c>
      <c r="T391" s="1">
        <v>0.16600000000000001</v>
      </c>
      <c r="U391" s="1">
        <v>0.40910000000000002</v>
      </c>
    </row>
    <row r="392" spans="1:21" x14ac:dyDescent="0.25">
      <c r="A392" t="s">
        <v>921</v>
      </c>
      <c r="B392" t="s">
        <v>912</v>
      </c>
      <c r="C392" t="s">
        <v>23</v>
      </c>
      <c r="D392" t="s">
        <v>52</v>
      </c>
      <c r="E392" t="s">
        <v>53</v>
      </c>
      <c r="F392" t="str">
        <f t="shared" si="7"/>
        <v>2018-05-20</v>
      </c>
      <c r="G392">
        <v>43.56</v>
      </c>
      <c r="H392" t="str">
        <f>"2016-07-12"</f>
        <v>2016-07-12</v>
      </c>
      <c r="I392" t="s">
        <v>26</v>
      </c>
      <c r="J392" t="str">
        <f>"2016-07-03"</f>
        <v>2016-07-03</v>
      </c>
      <c r="K392" t="s">
        <v>27</v>
      </c>
      <c r="L392">
        <v>2.48724832</v>
      </c>
      <c r="M392">
        <v>391</v>
      </c>
      <c r="N392" s="1">
        <v>0.88249999999999995</v>
      </c>
      <c r="O392" s="1">
        <v>1.9235</v>
      </c>
      <c r="P392" s="1">
        <v>-0.17330000000000001</v>
      </c>
      <c r="Q392" s="1">
        <v>2.01E-2</v>
      </c>
      <c r="R392" s="1">
        <v>6.7100000000000007E-2</v>
      </c>
      <c r="S392" s="1">
        <v>8.1199999999999994E-2</v>
      </c>
      <c r="T392" s="1">
        <v>0.1207</v>
      </c>
      <c r="U392" s="1">
        <v>0.29220000000000002</v>
      </c>
    </row>
    <row r="393" spans="1:21" x14ac:dyDescent="0.25">
      <c r="A393" t="s">
        <v>922</v>
      </c>
      <c r="B393" t="s">
        <v>923</v>
      </c>
      <c r="C393" t="s">
        <v>43</v>
      </c>
      <c r="D393" t="s">
        <v>119</v>
      </c>
      <c r="E393" t="s">
        <v>205</v>
      </c>
      <c r="F393" t="str">
        <f t="shared" si="7"/>
        <v>2018-05-20</v>
      </c>
      <c r="G393">
        <v>120.39</v>
      </c>
      <c r="H393" t="str">
        <f>"2016-04-03"</f>
        <v>2016-04-03</v>
      </c>
      <c r="I393" t="s">
        <v>26</v>
      </c>
      <c r="J393" t="str">
        <f>"2016-03-03"</f>
        <v>2016-03-03</v>
      </c>
      <c r="K393" t="s">
        <v>27</v>
      </c>
      <c r="L393">
        <v>2.46924696</v>
      </c>
      <c r="M393">
        <v>392</v>
      </c>
      <c r="N393" s="1">
        <v>1.0203</v>
      </c>
      <c r="O393" s="1">
        <v>1.8154999999999999</v>
      </c>
      <c r="P393" s="1">
        <v>-0.32540000000000002</v>
      </c>
      <c r="Q393" s="1">
        <v>1.0999999999999999E-2</v>
      </c>
      <c r="R393" s="1">
        <v>1.3899999999999999E-2</v>
      </c>
      <c r="S393" s="1">
        <v>1.35E-2</v>
      </c>
      <c r="T393" s="1">
        <v>-0.25219999999999998</v>
      </c>
      <c r="U393" s="1">
        <v>0.12590000000000001</v>
      </c>
    </row>
    <row r="394" spans="1:21" x14ac:dyDescent="0.25">
      <c r="A394" t="s">
        <v>924</v>
      </c>
      <c r="B394" t="s">
        <v>925</v>
      </c>
      <c r="C394" t="s">
        <v>100</v>
      </c>
      <c r="D394" t="s">
        <v>199</v>
      </c>
      <c r="E394" t="s">
        <v>200</v>
      </c>
      <c r="F394" t="str">
        <f t="shared" si="7"/>
        <v>2018-05-20</v>
      </c>
      <c r="G394">
        <v>39.43</v>
      </c>
      <c r="H394" t="str">
        <f>"2017-10-01"</f>
        <v>2017-10-01</v>
      </c>
      <c r="I394" t="s">
        <v>26</v>
      </c>
      <c r="J394" t="str">
        <f>"2016-09-15"</f>
        <v>2016-09-15</v>
      </c>
      <c r="K394" t="s">
        <v>34</v>
      </c>
      <c r="L394">
        <v>2.4690697099999999</v>
      </c>
      <c r="M394">
        <v>393</v>
      </c>
      <c r="N394" s="1">
        <v>-8.0999999999999996E-3</v>
      </c>
      <c r="O394" s="1">
        <v>1.8144</v>
      </c>
      <c r="P394" s="1">
        <v>-0.14779999999999999</v>
      </c>
      <c r="Q394" s="1">
        <v>1.0800000000000001E-2</v>
      </c>
      <c r="R394" s="1">
        <v>4.5900000000000003E-2</v>
      </c>
      <c r="S394" s="1">
        <v>4.0099999999999997E-2</v>
      </c>
      <c r="T394" s="1">
        <v>-2.76E-2</v>
      </c>
      <c r="U394" s="1">
        <v>0.32579999999999998</v>
      </c>
    </row>
    <row r="395" spans="1:21" x14ac:dyDescent="0.25">
      <c r="A395" t="s">
        <v>926</v>
      </c>
      <c r="B395" t="s">
        <v>927</v>
      </c>
      <c r="C395" t="s">
        <v>37</v>
      </c>
      <c r="D395" t="s">
        <v>38</v>
      </c>
      <c r="E395" t="s">
        <v>39</v>
      </c>
      <c r="F395" t="str">
        <f t="shared" si="7"/>
        <v>2018-05-20</v>
      </c>
      <c r="G395">
        <v>42.9</v>
      </c>
      <c r="H395" t="str">
        <f>"2017-11-12"</f>
        <v>2017-11-12</v>
      </c>
      <c r="I395" t="s">
        <v>26</v>
      </c>
      <c r="J395" t="str">
        <f>"2017-06-28"</f>
        <v>2017-06-28</v>
      </c>
      <c r="K395" t="s">
        <v>57</v>
      </c>
      <c r="L395">
        <v>2.4688524599999999</v>
      </c>
      <c r="M395">
        <v>394</v>
      </c>
      <c r="N395" s="1">
        <v>0.88160000000000005</v>
      </c>
      <c r="O395" s="1">
        <v>1.8130999999999999</v>
      </c>
      <c r="P395" s="1">
        <v>-0.2157</v>
      </c>
      <c r="Q395" s="1">
        <v>3.5000000000000001E-3</v>
      </c>
      <c r="R395" s="1">
        <v>9.0200000000000002E-2</v>
      </c>
      <c r="S395" s="1">
        <v>-3.8100000000000002E-2</v>
      </c>
      <c r="T395" s="1">
        <v>-0.1852</v>
      </c>
      <c r="U395" s="1">
        <v>1.0526</v>
      </c>
    </row>
    <row r="396" spans="1:21" x14ac:dyDescent="0.25">
      <c r="A396" t="s">
        <v>928</v>
      </c>
      <c r="B396" t="s">
        <v>929</v>
      </c>
      <c r="C396" t="s">
        <v>43</v>
      </c>
      <c r="D396" t="s">
        <v>44</v>
      </c>
      <c r="E396" t="s">
        <v>246</v>
      </c>
      <c r="F396" t="str">
        <f t="shared" si="7"/>
        <v>2018-05-20</v>
      </c>
      <c r="G396">
        <v>71.400000000000006</v>
      </c>
      <c r="H396" t="str">
        <f>"2016-03-20"</f>
        <v>2016-03-20</v>
      </c>
      <c r="I396" t="s">
        <v>26</v>
      </c>
      <c r="J396" t="str">
        <f>"2016-01-11"</f>
        <v>2016-01-11</v>
      </c>
      <c r="K396" t="s">
        <v>40</v>
      </c>
      <c r="L396">
        <v>2.4569892499999999</v>
      </c>
      <c r="M396">
        <v>395</v>
      </c>
      <c r="N396" s="1">
        <v>1.1976</v>
      </c>
      <c r="O396" s="1">
        <v>1.7419</v>
      </c>
      <c r="P396" s="1">
        <v>-0.18729999999999999</v>
      </c>
      <c r="Q396" s="1">
        <v>1.06E-2</v>
      </c>
      <c r="R396" s="1">
        <v>-3.2500000000000001E-2</v>
      </c>
      <c r="S396" s="1">
        <v>-5.74E-2</v>
      </c>
      <c r="T396" s="1">
        <v>-4.0300000000000002E-2</v>
      </c>
      <c r="U396" s="1">
        <v>0.16950000000000001</v>
      </c>
    </row>
    <row r="397" spans="1:21" x14ac:dyDescent="0.25">
      <c r="A397" t="s">
        <v>930</v>
      </c>
      <c r="B397" t="s">
        <v>931</v>
      </c>
      <c r="C397" t="s">
        <v>37</v>
      </c>
      <c r="D397" t="s">
        <v>38</v>
      </c>
      <c r="E397" t="s">
        <v>39</v>
      </c>
      <c r="F397" t="str">
        <f t="shared" si="7"/>
        <v>2018-05-20</v>
      </c>
      <c r="G397">
        <v>20.13</v>
      </c>
      <c r="H397" t="str">
        <f>"2017-03-14"</f>
        <v>2017-03-14</v>
      </c>
      <c r="I397" t="s">
        <v>26</v>
      </c>
      <c r="J397" t="str">
        <f>"2017-01-03"</f>
        <v>2017-01-03</v>
      </c>
      <c r="K397" t="s">
        <v>27</v>
      </c>
      <c r="L397">
        <v>2.44673768</v>
      </c>
      <c r="M397">
        <v>396</v>
      </c>
      <c r="N397" s="1">
        <v>0.17380000000000001</v>
      </c>
      <c r="O397" s="1">
        <v>1.6803999999999999</v>
      </c>
      <c r="P397" s="1">
        <v>-0.30709999999999998</v>
      </c>
      <c r="Q397" s="1">
        <v>-1.66E-2</v>
      </c>
      <c r="R397" s="1">
        <v>-0.02</v>
      </c>
      <c r="S397" s="1">
        <v>6.7900000000000002E-2</v>
      </c>
      <c r="T397" s="1">
        <v>-0.09</v>
      </c>
      <c r="U397" s="1">
        <v>0.43380000000000002</v>
      </c>
    </row>
    <row r="398" spans="1:21" x14ac:dyDescent="0.25">
      <c r="A398" t="s">
        <v>932</v>
      </c>
      <c r="B398" t="s">
        <v>933</v>
      </c>
      <c r="C398" t="s">
        <v>37</v>
      </c>
      <c r="D398" t="s">
        <v>38</v>
      </c>
      <c r="E398" t="s">
        <v>39</v>
      </c>
      <c r="F398" t="str">
        <f t="shared" si="7"/>
        <v>2018-05-20</v>
      </c>
      <c r="G398">
        <v>24.57</v>
      </c>
      <c r="H398" t="str">
        <f>"2016-10-19"</f>
        <v>2016-10-19</v>
      </c>
      <c r="I398" t="s">
        <v>26</v>
      </c>
      <c r="J398" t="str">
        <f>"2015-10-08"</f>
        <v>2015-10-08</v>
      </c>
      <c r="K398" t="s">
        <v>34</v>
      </c>
      <c r="L398">
        <v>2.4427026999999999</v>
      </c>
      <c r="M398">
        <v>397</v>
      </c>
      <c r="N398" s="1">
        <v>0.92549999999999999</v>
      </c>
      <c r="O398" s="1">
        <v>1.6561999999999999</v>
      </c>
      <c r="P398" s="1">
        <v>-0.28199999999999997</v>
      </c>
      <c r="Q398" s="1">
        <v>-1.01E-2</v>
      </c>
      <c r="R398" s="1">
        <v>5.3600000000000002E-2</v>
      </c>
      <c r="S398" s="1">
        <v>-7.5300000000000006E-2</v>
      </c>
      <c r="T398" s="1">
        <v>-0.16569999999999999</v>
      </c>
      <c r="U398" s="1">
        <v>0.66349999999999998</v>
      </c>
    </row>
    <row r="399" spans="1:21" x14ac:dyDescent="0.25">
      <c r="A399" t="s">
        <v>934</v>
      </c>
      <c r="B399" t="s">
        <v>935</v>
      </c>
      <c r="C399" t="s">
        <v>109</v>
      </c>
      <c r="D399" t="s">
        <v>156</v>
      </c>
      <c r="E399" t="s">
        <v>157</v>
      </c>
      <c r="F399" t="str">
        <f t="shared" si="7"/>
        <v>2018-05-20</v>
      </c>
      <c r="G399">
        <v>35.479999999999997</v>
      </c>
      <c r="H399" t="str">
        <f>"2015-08-12"</f>
        <v>2015-08-12</v>
      </c>
      <c r="I399" t="s">
        <v>26</v>
      </c>
      <c r="J399" t="str">
        <f>"2015-05-26"</f>
        <v>2015-05-26</v>
      </c>
      <c r="K399" t="s">
        <v>40</v>
      </c>
      <c r="L399">
        <v>2.4383493899999999</v>
      </c>
      <c r="M399">
        <v>398</v>
      </c>
      <c r="N399" s="1">
        <v>1.2846</v>
      </c>
      <c r="O399" s="1">
        <v>1.6301000000000001</v>
      </c>
      <c r="P399" s="1">
        <v>-0.34279999999999999</v>
      </c>
      <c r="Q399" s="1">
        <v>-2.5000000000000001E-3</v>
      </c>
      <c r="R399" s="1">
        <v>3.0800000000000001E-2</v>
      </c>
      <c r="S399" s="1">
        <v>-0.21879999999999999</v>
      </c>
      <c r="T399" s="1">
        <v>-0.25990000000000002</v>
      </c>
      <c r="U399" s="1">
        <v>-9.6299999999999997E-2</v>
      </c>
    </row>
    <row r="400" spans="1:21" x14ac:dyDescent="0.25">
      <c r="A400" t="s">
        <v>936</v>
      </c>
      <c r="B400" t="s">
        <v>937</v>
      </c>
      <c r="C400" t="s">
        <v>30</v>
      </c>
      <c r="D400" t="s">
        <v>48</v>
      </c>
      <c r="E400" t="s">
        <v>49</v>
      </c>
      <c r="F400" t="str">
        <f t="shared" si="7"/>
        <v>2018-05-20</v>
      </c>
      <c r="G400">
        <v>43.4</v>
      </c>
      <c r="H400" t="str">
        <f>"2016-12-18"</f>
        <v>2016-12-18</v>
      </c>
      <c r="I400" t="s">
        <v>26</v>
      </c>
      <c r="J400" t="str">
        <f>"2015-11-03"</f>
        <v>2015-11-03</v>
      </c>
      <c r="K400" t="s">
        <v>57</v>
      </c>
      <c r="L400">
        <v>2.4357429700000002</v>
      </c>
      <c r="M400">
        <v>399</v>
      </c>
      <c r="N400" s="1">
        <v>0.62239999999999995</v>
      </c>
      <c r="O400" s="1">
        <v>1.6145</v>
      </c>
      <c r="P400" s="1">
        <v>-0.11609999999999999</v>
      </c>
      <c r="Q400" s="1">
        <v>-6.8999999999999999E-3</v>
      </c>
      <c r="R400" s="1">
        <v>-2.69E-2</v>
      </c>
      <c r="S400" s="1">
        <v>-3.6600000000000001E-2</v>
      </c>
      <c r="T400" s="1">
        <v>4.9599999999999998E-2</v>
      </c>
      <c r="U400" s="1">
        <v>0.14660000000000001</v>
      </c>
    </row>
    <row r="401" spans="1:21" x14ac:dyDescent="0.25">
      <c r="A401" t="s">
        <v>938</v>
      </c>
      <c r="B401" t="s">
        <v>939</v>
      </c>
      <c r="C401" t="s">
        <v>114</v>
      </c>
      <c r="D401" t="s">
        <v>254</v>
      </c>
      <c r="E401" t="s">
        <v>255</v>
      </c>
      <c r="F401" t="str">
        <f t="shared" si="7"/>
        <v>2018-05-20</v>
      </c>
      <c r="G401">
        <v>38.799999999999997</v>
      </c>
      <c r="H401" t="str">
        <f>"2016-06-08"</f>
        <v>2016-06-08</v>
      </c>
      <c r="I401" t="s">
        <v>26</v>
      </c>
      <c r="J401" t="str">
        <f>"2016-05-03"</f>
        <v>2016-05-03</v>
      </c>
      <c r="K401" t="s">
        <v>27</v>
      </c>
      <c r="L401">
        <v>2.4182837400000001</v>
      </c>
      <c r="M401">
        <v>400</v>
      </c>
      <c r="N401" s="1">
        <v>1.1354</v>
      </c>
      <c r="O401" s="1">
        <v>1.5097</v>
      </c>
      <c r="P401" s="1">
        <v>-0.1222</v>
      </c>
      <c r="Q401" s="1">
        <v>1.44E-2</v>
      </c>
      <c r="R401" s="1">
        <v>6.4500000000000002E-2</v>
      </c>
      <c r="S401" s="1">
        <v>0.107</v>
      </c>
      <c r="T401" s="1">
        <v>-3.4799999999999998E-2</v>
      </c>
      <c r="U401" s="1">
        <v>0.19939999999999999</v>
      </c>
    </row>
    <row r="402" spans="1:21" x14ac:dyDescent="0.25">
      <c r="A402" t="s">
        <v>940</v>
      </c>
      <c r="B402" t="s">
        <v>941</v>
      </c>
      <c r="C402" t="s">
        <v>43</v>
      </c>
      <c r="D402" t="s">
        <v>193</v>
      </c>
      <c r="E402" t="s">
        <v>239</v>
      </c>
      <c r="F402" t="str">
        <f t="shared" si="7"/>
        <v>2018-05-20</v>
      </c>
      <c r="G402">
        <v>23.4</v>
      </c>
      <c r="H402" t="str">
        <f>"2016-12-04"</f>
        <v>2016-12-04</v>
      </c>
      <c r="I402" t="s">
        <v>26</v>
      </c>
      <c r="J402" t="str">
        <f>"2016-11-29"</f>
        <v>2016-11-29</v>
      </c>
      <c r="K402" t="s">
        <v>27</v>
      </c>
      <c r="L402">
        <v>2.4180064300000002</v>
      </c>
      <c r="M402">
        <v>401</v>
      </c>
      <c r="N402" s="1">
        <v>0.6895</v>
      </c>
      <c r="O402" s="1">
        <v>1.508</v>
      </c>
      <c r="P402" s="1">
        <v>-0.20810000000000001</v>
      </c>
      <c r="Q402" s="1">
        <v>3.3099999999999997E-2</v>
      </c>
      <c r="R402" s="1">
        <v>5.6399999999999999E-2</v>
      </c>
      <c r="S402" s="1">
        <v>-8.4099999999999994E-2</v>
      </c>
      <c r="T402" s="1">
        <v>-0.18179999999999999</v>
      </c>
      <c r="U402" s="1">
        <v>0.33710000000000001</v>
      </c>
    </row>
    <row r="403" spans="1:21" x14ac:dyDescent="0.25">
      <c r="A403" t="s">
        <v>942</v>
      </c>
      <c r="B403" t="s">
        <v>943</v>
      </c>
      <c r="C403" t="s">
        <v>43</v>
      </c>
      <c r="D403" t="s">
        <v>119</v>
      </c>
      <c r="E403" t="s">
        <v>120</v>
      </c>
      <c r="F403" t="str">
        <f t="shared" si="7"/>
        <v>2018-05-20</v>
      </c>
      <c r="G403">
        <v>53.95</v>
      </c>
      <c r="H403" t="str">
        <f>"2016-05-29"</f>
        <v>2016-05-29</v>
      </c>
      <c r="I403" t="s">
        <v>26</v>
      </c>
      <c r="J403" t="str">
        <f>"2015-06-25"</f>
        <v>2015-06-25</v>
      </c>
      <c r="K403" t="s">
        <v>57</v>
      </c>
      <c r="L403">
        <v>2.41589578</v>
      </c>
      <c r="M403">
        <v>402</v>
      </c>
      <c r="N403" s="1">
        <v>0.53220000000000001</v>
      </c>
      <c r="O403" s="1">
        <v>1.4954000000000001</v>
      </c>
      <c r="P403" s="1">
        <v>-0.1623</v>
      </c>
      <c r="Q403" s="1">
        <v>1.12E-2</v>
      </c>
      <c r="R403" s="1">
        <v>1.6E-2</v>
      </c>
      <c r="S403" s="1">
        <v>-0.14910000000000001</v>
      </c>
      <c r="T403" s="1">
        <v>-0.13120000000000001</v>
      </c>
      <c r="U403" s="1">
        <v>0.53269999999999995</v>
      </c>
    </row>
    <row r="404" spans="1:21" x14ac:dyDescent="0.25">
      <c r="A404" t="s">
        <v>944</v>
      </c>
      <c r="B404" t="s">
        <v>945</v>
      </c>
      <c r="C404" t="s">
        <v>109</v>
      </c>
      <c r="D404" t="s">
        <v>156</v>
      </c>
      <c r="E404" t="s">
        <v>277</v>
      </c>
      <c r="F404" t="str">
        <f t="shared" si="7"/>
        <v>2018-05-20</v>
      </c>
      <c r="G404">
        <v>24.3</v>
      </c>
      <c r="H404" t="str">
        <f>"2018-01-02"</f>
        <v>2018-01-02</v>
      </c>
      <c r="I404" t="s">
        <v>26</v>
      </c>
      <c r="J404" t="str">
        <f>"2016-12-11"</f>
        <v>2016-12-11</v>
      </c>
      <c r="K404" t="s">
        <v>34</v>
      </c>
      <c r="L404">
        <v>2.4145342900000002</v>
      </c>
      <c r="M404">
        <v>403</v>
      </c>
      <c r="N404" s="1">
        <v>-6.1800000000000001E-2</v>
      </c>
      <c r="O404" s="1">
        <v>1.4872000000000001</v>
      </c>
      <c r="P404" s="1">
        <v>-0.29260000000000003</v>
      </c>
      <c r="Q404" s="1">
        <v>-8.0000000000000004E-4</v>
      </c>
      <c r="R404" s="1">
        <v>-9.2600000000000002E-2</v>
      </c>
      <c r="S404" s="1">
        <v>0.1162</v>
      </c>
      <c r="T404" s="1">
        <v>-7.5700000000000003E-2</v>
      </c>
      <c r="U404" s="1">
        <v>8.5300000000000001E-2</v>
      </c>
    </row>
    <row r="405" spans="1:21" x14ac:dyDescent="0.25">
      <c r="A405" t="s">
        <v>946</v>
      </c>
      <c r="B405" t="s">
        <v>947</v>
      </c>
      <c r="C405" t="s">
        <v>37</v>
      </c>
      <c r="D405" t="s">
        <v>38</v>
      </c>
      <c r="E405" t="s">
        <v>39</v>
      </c>
      <c r="F405" t="str">
        <f t="shared" ref="F405:F436" si="8">"2018-05-20"</f>
        <v>2018-05-20</v>
      </c>
      <c r="G405">
        <v>30.35</v>
      </c>
      <c r="H405" t="str">
        <f>"2016-12-20"</f>
        <v>2016-12-20</v>
      </c>
      <c r="I405" t="s">
        <v>26</v>
      </c>
      <c r="J405" t="str">
        <f>"2016-03-22"</f>
        <v>2016-03-22</v>
      </c>
      <c r="K405" t="s">
        <v>57</v>
      </c>
      <c r="L405">
        <v>2.40305445</v>
      </c>
      <c r="M405">
        <v>404</v>
      </c>
      <c r="N405" s="1">
        <v>0.53669999999999995</v>
      </c>
      <c r="O405" s="1">
        <v>1.4182999999999999</v>
      </c>
      <c r="P405" s="1">
        <v>-0.1885</v>
      </c>
      <c r="Q405" s="1">
        <v>-1.6199999999999999E-2</v>
      </c>
      <c r="R405" s="1">
        <v>5.0000000000000001E-3</v>
      </c>
      <c r="S405" s="1">
        <v>2.53E-2</v>
      </c>
      <c r="T405" s="1">
        <v>-5.6000000000000001E-2</v>
      </c>
      <c r="U405" s="1">
        <v>0.4914</v>
      </c>
    </row>
    <row r="406" spans="1:21" x14ac:dyDescent="0.25">
      <c r="A406" t="s">
        <v>948</v>
      </c>
      <c r="B406" t="s">
        <v>949</v>
      </c>
      <c r="C406" t="s">
        <v>114</v>
      </c>
      <c r="D406" t="s">
        <v>646</v>
      </c>
      <c r="E406" t="s">
        <v>647</v>
      </c>
      <c r="F406" t="str">
        <f t="shared" si="8"/>
        <v>2018-05-20</v>
      </c>
      <c r="G406">
        <v>24.32</v>
      </c>
      <c r="H406" t="str">
        <f>"2016-08-21"</f>
        <v>2016-08-21</v>
      </c>
      <c r="I406" t="s">
        <v>26</v>
      </c>
      <c r="J406" t="str">
        <f>"2016-07-25"</f>
        <v>2016-07-25</v>
      </c>
      <c r="K406" t="s">
        <v>27</v>
      </c>
      <c r="L406">
        <v>2.4017178700000001</v>
      </c>
      <c r="M406">
        <v>405</v>
      </c>
      <c r="N406" s="1">
        <v>0.71030000000000004</v>
      </c>
      <c r="O406" s="1">
        <v>1.4103000000000001</v>
      </c>
      <c r="P406" s="1">
        <v>-0.30280000000000001</v>
      </c>
      <c r="Q406" s="1">
        <v>5.4000000000000003E-3</v>
      </c>
      <c r="R406" s="1">
        <v>2.7E-2</v>
      </c>
      <c r="S406" s="1">
        <v>-4.8500000000000001E-2</v>
      </c>
      <c r="T406" s="1">
        <v>-0.1348</v>
      </c>
      <c r="U406" s="1">
        <v>0.22459999999999999</v>
      </c>
    </row>
    <row r="407" spans="1:21" x14ac:dyDescent="0.25">
      <c r="A407" t="s">
        <v>950</v>
      </c>
      <c r="B407" t="s">
        <v>951</v>
      </c>
      <c r="C407" t="s">
        <v>37</v>
      </c>
      <c r="D407" t="s">
        <v>38</v>
      </c>
      <c r="E407" t="s">
        <v>39</v>
      </c>
      <c r="F407" t="str">
        <f t="shared" si="8"/>
        <v>2018-05-20</v>
      </c>
      <c r="G407">
        <v>22.15</v>
      </c>
      <c r="H407" t="str">
        <f>"2017-09-12"</f>
        <v>2017-09-12</v>
      </c>
      <c r="I407" t="s">
        <v>26</v>
      </c>
      <c r="J407" t="str">
        <f>"2016-11-28"</f>
        <v>2016-11-28</v>
      </c>
      <c r="K407" t="s">
        <v>57</v>
      </c>
      <c r="L407">
        <v>2.39866811</v>
      </c>
      <c r="M407">
        <v>406</v>
      </c>
      <c r="N407" s="1">
        <v>7.7299999999999994E-2</v>
      </c>
      <c r="O407" s="1">
        <v>1.3919999999999999</v>
      </c>
      <c r="P407" s="1">
        <v>-0.13100000000000001</v>
      </c>
      <c r="Q407" s="1">
        <v>-1.4200000000000001E-2</v>
      </c>
      <c r="R407" s="1">
        <v>6.6400000000000001E-2</v>
      </c>
      <c r="S407" s="1">
        <v>0.14649999999999999</v>
      </c>
      <c r="T407" s="1">
        <v>8.7900000000000006E-2</v>
      </c>
      <c r="U407" s="1">
        <v>1.0895999999999999</v>
      </c>
    </row>
    <row r="408" spans="1:21" x14ac:dyDescent="0.25">
      <c r="A408" t="s">
        <v>952</v>
      </c>
      <c r="B408" t="s">
        <v>953</v>
      </c>
      <c r="C408" t="s">
        <v>37</v>
      </c>
      <c r="D408" t="s">
        <v>66</v>
      </c>
      <c r="E408" t="s">
        <v>94</v>
      </c>
      <c r="F408" t="str">
        <f t="shared" si="8"/>
        <v>2018-05-20</v>
      </c>
      <c r="G408">
        <v>13.15</v>
      </c>
      <c r="H408" t="str">
        <f>"2017-05-14"</f>
        <v>2017-05-14</v>
      </c>
      <c r="I408" t="s">
        <v>26</v>
      </c>
      <c r="J408" t="str">
        <f>"2017-03-22"</f>
        <v>2017-03-22</v>
      </c>
      <c r="K408" t="s">
        <v>40</v>
      </c>
      <c r="L408">
        <v>2.39848485</v>
      </c>
      <c r="M408">
        <v>407</v>
      </c>
      <c r="N408" s="1">
        <v>1.0230999999999999</v>
      </c>
      <c r="O408" s="1">
        <v>1.3909</v>
      </c>
      <c r="P408" s="1">
        <v>-0.10539999999999999</v>
      </c>
      <c r="Q408" s="1">
        <v>1.15E-2</v>
      </c>
      <c r="R408" s="1">
        <v>1.15E-2</v>
      </c>
      <c r="S408" s="1">
        <v>-2.5899999999999999E-2</v>
      </c>
      <c r="T408" s="1">
        <v>0.29559999999999997</v>
      </c>
      <c r="U408" s="1">
        <v>0.73029999999999995</v>
      </c>
    </row>
    <row r="409" spans="1:21" x14ac:dyDescent="0.25">
      <c r="A409" t="s">
        <v>954</v>
      </c>
      <c r="B409" t="s">
        <v>955</v>
      </c>
      <c r="C409" t="s">
        <v>30</v>
      </c>
      <c r="D409" t="s">
        <v>48</v>
      </c>
      <c r="E409" t="s">
        <v>505</v>
      </c>
      <c r="F409" t="str">
        <f t="shared" si="8"/>
        <v>2018-05-20</v>
      </c>
      <c r="G409">
        <v>20.25</v>
      </c>
      <c r="H409" t="str">
        <f>"2016-05-05"</f>
        <v>2016-05-05</v>
      </c>
      <c r="I409" t="s">
        <v>26</v>
      </c>
      <c r="J409" t="str">
        <f>"2016-04-04"</f>
        <v>2016-04-04</v>
      </c>
      <c r="K409" t="s">
        <v>27</v>
      </c>
      <c r="L409">
        <v>2.3970588199999998</v>
      </c>
      <c r="M409">
        <v>408</v>
      </c>
      <c r="N409" s="1">
        <v>0.86809999999999998</v>
      </c>
      <c r="O409" s="1">
        <v>1.3824000000000001</v>
      </c>
      <c r="P409" s="1">
        <v>-0.17680000000000001</v>
      </c>
      <c r="Q409" s="1">
        <v>5.0000000000000001E-3</v>
      </c>
      <c r="R409" s="1">
        <v>-2.64E-2</v>
      </c>
      <c r="S409" s="1">
        <v>-0.16839999999999999</v>
      </c>
      <c r="T409" s="1">
        <v>-0.15090000000000001</v>
      </c>
      <c r="U409" s="1">
        <v>0.1157</v>
      </c>
    </row>
    <row r="410" spans="1:21" x14ac:dyDescent="0.25">
      <c r="A410" t="s">
        <v>956</v>
      </c>
      <c r="B410" t="s">
        <v>957</v>
      </c>
      <c r="C410" t="s">
        <v>43</v>
      </c>
      <c r="D410" t="s">
        <v>150</v>
      </c>
      <c r="E410" t="s">
        <v>408</v>
      </c>
      <c r="F410" t="str">
        <f t="shared" si="8"/>
        <v>2018-05-20</v>
      </c>
      <c r="G410">
        <v>27.73</v>
      </c>
      <c r="H410" t="str">
        <f>"2016-03-23"</f>
        <v>2016-03-23</v>
      </c>
      <c r="I410" t="s">
        <v>26</v>
      </c>
      <c r="J410" t="str">
        <f>"2016-03-03"</f>
        <v>2016-03-03</v>
      </c>
      <c r="K410" t="s">
        <v>27</v>
      </c>
      <c r="L410">
        <v>2.3944132699999998</v>
      </c>
      <c r="M410">
        <v>409</v>
      </c>
      <c r="N410" s="1">
        <v>0.57920000000000005</v>
      </c>
      <c r="O410" s="1">
        <v>1.3665</v>
      </c>
      <c r="P410" s="1">
        <v>-0.36380000000000001</v>
      </c>
      <c r="Q410" s="1">
        <v>2.3599999999999999E-2</v>
      </c>
      <c r="R410" s="1">
        <v>0.11409999999999999</v>
      </c>
      <c r="S410" s="1">
        <v>-3.5099999999999999E-2</v>
      </c>
      <c r="T410" s="1">
        <v>-0.11260000000000001</v>
      </c>
      <c r="U410" s="1">
        <v>0.20569999999999999</v>
      </c>
    </row>
    <row r="411" spans="1:21" x14ac:dyDescent="0.25">
      <c r="A411" t="s">
        <v>958</v>
      </c>
      <c r="B411" t="s">
        <v>959</v>
      </c>
      <c r="C411" t="s">
        <v>37</v>
      </c>
      <c r="D411" t="s">
        <v>38</v>
      </c>
      <c r="E411" t="s">
        <v>39</v>
      </c>
      <c r="F411" t="str">
        <f t="shared" si="8"/>
        <v>2018-05-20</v>
      </c>
      <c r="G411">
        <v>12.94</v>
      </c>
      <c r="H411" t="str">
        <f>"2018-01-28"</f>
        <v>2018-01-28</v>
      </c>
      <c r="I411" t="s">
        <v>26</v>
      </c>
      <c r="J411" t="str">
        <f>"2017-12-04"</f>
        <v>2017-12-04</v>
      </c>
      <c r="K411" t="s">
        <v>57</v>
      </c>
      <c r="L411">
        <v>2.3899939699999999</v>
      </c>
      <c r="M411">
        <v>410</v>
      </c>
      <c r="N411" s="1">
        <v>0.34510000000000002</v>
      </c>
      <c r="O411" s="1">
        <v>1.34</v>
      </c>
      <c r="P411" s="1">
        <v>-0.1368</v>
      </c>
      <c r="Q411" s="1">
        <v>5.2900000000000003E-2</v>
      </c>
      <c r="R411" s="1">
        <v>0.16470000000000001</v>
      </c>
      <c r="S411" s="1">
        <v>0.2127</v>
      </c>
      <c r="T411" s="1">
        <v>0.3382</v>
      </c>
      <c r="U411" s="1">
        <v>0.82769999999999999</v>
      </c>
    </row>
    <row r="412" spans="1:21" x14ac:dyDescent="0.25">
      <c r="A412" t="s">
        <v>960</v>
      </c>
      <c r="B412" t="s">
        <v>961</v>
      </c>
      <c r="C412" t="s">
        <v>37</v>
      </c>
      <c r="D412" t="s">
        <v>38</v>
      </c>
      <c r="E412" t="s">
        <v>97</v>
      </c>
      <c r="F412" t="str">
        <f t="shared" si="8"/>
        <v>2018-05-20</v>
      </c>
      <c r="G412">
        <v>82.54</v>
      </c>
      <c r="H412" t="str">
        <f>"2017-06-01"</f>
        <v>2017-06-01</v>
      </c>
      <c r="I412" t="s">
        <v>26</v>
      </c>
      <c r="J412" t="str">
        <f>"2017-05-30"</f>
        <v>2017-05-30</v>
      </c>
      <c r="K412" t="s">
        <v>40</v>
      </c>
      <c r="L412">
        <v>2.3891560599999999</v>
      </c>
      <c r="M412">
        <v>411</v>
      </c>
      <c r="N412" s="1">
        <v>1.1596</v>
      </c>
      <c r="O412" s="1">
        <v>1.3349</v>
      </c>
      <c r="P412" s="1">
        <v>-0.1983</v>
      </c>
      <c r="Q412" s="1">
        <v>5.7000000000000002E-3</v>
      </c>
      <c r="R412" s="1">
        <v>1.9400000000000001E-2</v>
      </c>
      <c r="S412" s="1">
        <v>4.3099999999999999E-2</v>
      </c>
      <c r="T412" s="1">
        <v>-9.0899999999999995E-2</v>
      </c>
      <c r="U412" s="1">
        <v>1.0687</v>
      </c>
    </row>
    <row r="413" spans="1:21" x14ac:dyDescent="0.25">
      <c r="A413" t="s">
        <v>962</v>
      </c>
      <c r="B413" t="s">
        <v>963</v>
      </c>
      <c r="C413" t="s">
        <v>37</v>
      </c>
      <c r="D413" t="s">
        <v>38</v>
      </c>
      <c r="E413" t="s">
        <v>39</v>
      </c>
      <c r="F413" t="str">
        <f t="shared" si="8"/>
        <v>2018-05-20</v>
      </c>
      <c r="G413">
        <v>35.68</v>
      </c>
      <c r="H413" t="str">
        <f>"2017-05-10"</f>
        <v>2017-05-10</v>
      </c>
      <c r="I413" t="s">
        <v>26</v>
      </c>
      <c r="J413" t="str">
        <f>"2017-03-12"</f>
        <v>2017-03-12</v>
      </c>
      <c r="K413" t="s">
        <v>27</v>
      </c>
      <c r="L413">
        <v>2.38614719</v>
      </c>
      <c r="M413">
        <v>412</v>
      </c>
      <c r="N413" s="1">
        <v>0.57040000000000002</v>
      </c>
      <c r="O413" s="1">
        <v>1.3169</v>
      </c>
      <c r="P413" s="1">
        <v>-0.13</v>
      </c>
      <c r="Q413" s="1">
        <v>7.9000000000000008E-3</v>
      </c>
      <c r="R413" s="1">
        <v>3.4799999999999998E-2</v>
      </c>
      <c r="S413" s="1">
        <v>0.22489999999999999</v>
      </c>
      <c r="T413" s="1">
        <v>7.0199999999999999E-2</v>
      </c>
      <c r="U413" s="1">
        <v>0.68700000000000006</v>
      </c>
    </row>
    <row r="414" spans="1:21" x14ac:dyDescent="0.25">
      <c r="A414" t="s">
        <v>964</v>
      </c>
      <c r="B414" t="s">
        <v>965</v>
      </c>
      <c r="C414" t="s">
        <v>114</v>
      </c>
      <c r="D414" t="s">
        <v>809</v>
      </c>
      <c r="E414" t="s">
        <v>810</v>
      </c>
      <c r="F414" t="str">
        <f t="shared" si="8"/>
        <v>2018-05-20</v>
      </c>
      <c r="G414">
        <v>31.1</v>
      </c>
      <c r="H414" t="str">
        <f>"2016-08-03"</f>
        <v>2016-08-03</v>
      </c>
      <c r="I414" t="s">
        <v>26</v>
      </c>
      <c r="J414" t="str">
        <f>"2016-04-13"</f>
        <v>2016-04-13</v>
      </c>
      <c r="K414" t="s">
        <v>27</v>
      </c>
      <c r="L414">
        <v>2.38480574</v>
      </c>
      <c r="M414">
        <v>413</v>
      </c>
      <c r="N414" s="1">
        <v>0.55579999999999996</v>
      </c>
      <c r="O414" s="1">
        <v>1.3088</v>
      </c>
      <c r="P414" s="1">
        <v>-0.1239</v>
      </c>
      <c r="Q414" s="1">
        <v>8.0999999999999996E-3</v>
      </c>
      <c r="R414" s="1">
        <v>2.3E-2</v>
      </c>
      <c r="S414" s="1">
        <v>6.3200000000000006E-2</v>
      </c>
      <c r="T414" s="1">
        <v>-2.1999999999999999E-2</v>
      </c>
      <c r="U414" s="1">
        <v>0.19159999999999999</v>
      </c>
    </row>
    <row r="415" spans="1:21" x14ac:dyDescent="0.25">
      <c r="A415" t="s">
        <v>966</v>
      </c>
      <c r="B415" t="s">
        <v>967</v>
      </c>
      <c r="C415" t="s">
        <v>43</v>
      </c>
      <c r="D415" t="s">
        <v>119</v>
      </c>
      <c r="E415" t="s">
        <v>205</v>
      </c>
      <c r="F415" t="str">
        <f t="shared" si="8"/>
        <v>2018-05-20</v>
      </c>
      <c r="G415">
        <v>21.3</v>
      </c>
      <c r="H415" t="str">
        <f>"2016-02-17"</f>
        <v>2016-02-17</v>
      </c>
      <c r="I415" t="s">
        <v>26</v>
      </c>
      <c r="J415" t="str">
        <f>"2015-11-15"</f>
        <v>2015-11-15</v>
      </c>
      <c r="K415" t="s">
        <v>27</v>
      </c>
      <c r="L415">
        <v>2.3817204300000001</v>
      </c>
      <c r="M415">
        <v>414</v>
      </c>
      <c r="N415" s="1">
        <v>0.81899999999999995</v>
      </c>
      <c r="O415" s="1">
        <v>1.2903</v>
      </c>
      <c r="P415" s="1">
        <v>-0.1069</v>
      </c>
      <c r="Q415" s="1">
        <v>1.43E-2</v>
      </c>
      <c r="R415" s="1">
        <v>9.4999999999999998E-3</v>
      </c>
      <c r="S415" s="1">
        <v>0.17680000000000001</v>
      </c>
      <c r="T415" s="1">
        <v>0.13900000000000001</v>
      </c>
      <c r="U415" s="1">
        <v>0.31480000000000002</v>
      </c>
    </row>
    <row r="416" spans="1:21" x14ac:dyDescent="0.25">
      <c r="A416" t="s">
        <v>968</v>
      </c>
      <c r="B416" t="s">
        <v>969</v>
      </c>
      <c r="C416" t="s">
        <v>37</v>
      </c>
      <c r="D416" t="s">
        <v>38</v>
      </c>
      <c r="E416" t="s">
        <v>39</v>
      </c>
      <c r="F416" t="str">
        <f t="shared" si="8"/>
        <v>2018-05-20</v>
      </c>
      <c r="G416">
        <v>26.33</v>
      </c>
      <c r="H416" t="str">
        <f>"2017-09-06"</f>
        <v>2017-09-06</v>
      </c>
      <c r="I416" t="s">
        <v>26</v>
      </c>
      <c r="J416" t="str">
        <f>"2017-08-02"</f>
        <v>2017-08-02</v>
      </c>
      <c r="K416" t="s">
        <v>40</v>
      </c>
      <c r="L416">
        <v>2.37797875</v>
      </c>
      <c r="M416">
        <v>415</v>
      </c>
      <c r="N416" s="1">
        <v>-0.1032</v>
      </c>
      <c r="O416" s="1">
        <v>1.2679</v>
      </c>
      <c r="P416" s="1">
        <v>-0.2019</v>
      </c>
      <c r="Q416" s="1">
        <v>-7.5200000000000003E-2</v>
      </c>
      <c r="R416" s="1">
        <v>-5.4199999999999998E-2</v>
      </c>
      <c r="S416" s="1">
        <v>1.0699999999999999E-2</v>
      </c>
      <c r="T416" s="1">
        <v>-1.9E-3</v>
      </c>
      <c r="U416" s="1">
        <v>0.51580000000000004</v>
      </c>
    </row>
    <row r="417" spans="1:21" x14ac:dyDescent="0.25">
      <c r="A417" t="s">
        <v>970</v>
      </c>
      <c r="B417" t="s">
        <v>971</v>
      </c>
      <c r="C417" t="s">
        <v>43</v>
      </c>
      <c r="D417" t="s">
        <v>169</v>
      </c>
      <c r="E417" t="s">
        <v>170</v>
      </c>
      <c r="F417" t="str">
        <f t="shared" si="8"/>
        <v>2018-05-20</v>
      </c>
      <c r="G417">
        <v>22.1</v>
      </c>
      <c r="H417" t="str">
        <f>"2016-04-14"</f>
        <v>2016-04-14</v>
      </c>
      <c r="I417" t="s">
        <v>26</v>
      </c>
      <c r="J417" t="str">
        <f>"2016-03-23"</f>
        <v>2016-03-23</v>
      </c>
      <c r="K417" t="s">
        <v>27</v>
      </c>
      <c r="L417">
        <v>2.3773133899999999</v>
      </c>
      <c r="M417">
        <v>416</v>
      </c>
      <c r="N417" s="1">
        <v>1.0418000000000001</v>
      </c>
      <c r="O417" s="1">
        <v>1.2639</v>
      </c>
      <c r="P417" s="1">
        <v>-0.1016</v>
      </c>
      <c r="Q417" s="1">
        <v>3.27E-2</v>
      </c>
      <c r="R417" s="1">
        <v>6.7599999999999993E-2</v>
      </c>
      <c r="S417" s="1">
        <v>6.25E-2</v>
      </c>
      <c r="T417" s="1">
        <v>-1.34E-2</v>
      </c>
      <c r="U417" s="1">
        <v>0.53149999999999997</v>
      </c>
    </row>
    <row r="418" spans="1:21" x14ac:dyDescent="0.25">
      <c r="A418" t="s">
        <v>972</v>
      </c>
      <c r="B418" t="s">
        <v>973</v>
      </c>
      <c r="C418" t="s">
        <v>114</v>
      </c>
      <c r="D418" t="s">
        <v>646</v>
      </c>
      <c r="E418" t="s">
        <v>647</v>
      </c>
      <c r="F418" t="str">
        <f t="shared" si="8"/>
        <v>2018-05-20</v>
      </c>
      <c r="G418">
        <v>18.5</v>
      </c>
      <c r="H418" t="str">
        <f>"2016-03-21"</f>
        <v>2016-03-21</v>
      </c>
      <c r="I418" t="s">
        <v>26</v>
      </c>
      <c r="J418" t="str">
        <f>"2016-03-01"</f>
        <v>2016-03-01</v>
      </c>
      <c r="K418" t="s">
        <v>27</v>
      </c>
      <c r="L418">
        <v>2.3769356199999998</v>
      </c>
      <c r="M418">
        <v>417</v>
      </c>
      <c r="N418" s="1">
        <v>0.81189999999999996</v>
      </c>
      <c r="O418" s="1">
        <v>1.2616000000000001</v>
      </c>
      <c r="P418" s="1">
        <v>-0.26290000000000002</v>
      </c>
      <c r="Q418" s="1">
        <v>2.7000000000000001E-3</v>
      </c>
      <c r="R418" s="1">
        <v>3.6400000000000002E-2</v>
      </c>
      <c r="S418" s="1">
        <v>-6.5699999999999995E-2</v>
      </c>
      <c r="T418" s="1">
        <v>-0.26290000000000002</v>
      </c>
      <c r="U418" s="1">
        <v>0.47410000000000002</v>
      </c>
    </row>
    <row r="419" spans="1:21" x14ac:dyDescent="0.25">
      <c r="A419" t="s">
        <v>974</v>
      </c>
      <c r="B419" t="s">
        <v>975</v>
      </c>
      <c r="C419" t="s">
        <v>37</v>
      </c>
      <c r="D419" t="s">
        <v>38</v>
      </c>
      <c r="E419" t="s">
        <v>39</v>
      </c>
      <c r="F419" t="str">
        <f t="shared" si="8"/>
        <v>2018-05-20</v>
      </c>
      <c r="G419">
        <v>1.66</v>
      </c>
      <c r="H419" t="str">
        <f>"2017-11-21"</f>
        <v>2017-11-21</v>
      </c>
      <c r="I419" t="s">
        <v>26</v>
      </c>
      <c r="J419" t="str">
        <f>"2017-08-27"</f>
        <v>2017-08-27</v>
      </c>
      <c r="K419" t="s">
        <v>27</v>
      </c>
      <c r="L419">
        <v>2.3769300599999998</v>
      </c>
      <c r="M419">
        <v>418</v>
      </c>
      <c r="N419" s="1">
        <v>0.17730000000000001</v>
      </c>
      <c r="O419" s="1">
        <v>1.2616000000000001</v>
      </c>
      <c r="P419" s="1">
        <v>-0.314</v>
      </c>
      <c r="Q419" s="1">
        <v>-3.49E-2</v>
      </c>
      <c r="R419" s="1">
        <v>-1.78E-2</v>
      </c>
      <c r="S419" s="1">
        <v>0</v>
      </c>
      <c r="T419" s="1">
        <v>-0.29360000000000003</v>
      </c>
      <c r="U419" s="1">
        <v>0.62749999999999995</v>
      </c>
    </row>
    <row r="420" spans="1:21" x14ac:dyDescent="0.25">
      <c r="A420" t="s">
        <v>976</v>
      </c>
      <c r="B420" t="s">
        <v>977</v>
      </c>
      <c r="C420" t="s">
        <v>37</v>
      </c>
      <c r="D420" t="s">
        <v>38</v>
      </c>
      <c r="E420" t="s">
        <v>39</v>
      </c>
      <c r="F420" t="str">
        <f t="shared" si="8"/>
        <v>2018-05-20</v>
      </c>
      <c r="G420">
        <v>18.63</v>
      </c>
      <c r="H420" t="str">
        <f>"2017-09-28"</f>
        <v>2017-09-28</v>
      </c>
      <c r="I420" t="s">
        <v>26</v>
      </c>
      <c r="J420" t="str">
        <f>"2017-09-10"</f>
        <v>2017-09-10</v>
      </c>
      <c r="K420" t="s">
        <v>27</v>
      </c>
      <c r="L420">
        <v>2.3768203899999998</v>
      </c>
      <c r="M420">
        <v>419</v>
      </c>
      <c r="N420" s="1">
        <v>-4.6100000000000002E-2</v>
      </c>
      <c r="O420" s="1">
        <v>1.2608999999999999</v>
      </c>
      <c r="P420" s="1">
        <v>-0.40500000000000003</v>
      </c>
      <c r="Q420" s="1">
        <v>-6.8999999999999999E-3</v>
      </c>
      <c r="R420" s="1">
        <v>-4.02E-2</v>
      </c>
      <c r="S420" s="1">
        <v>3.7900000000000003E-2</v>
      </c>
      <c r="T420" s="1">
        <v>-0.37480000000000002</v>
      </c>
      <c r="U420" s="1">
        <v>1.0184</v>
      </c>
    </row>
    <row r="421" spans="1:21" x14ac:dyDescent="0.25">
      <c r="A421" t="s">
        <v>978</v>
      </c>
      <c r="B421" t="s">
        <v>979</v>
      </c>
      <c r="C421" t="s">
        <v>30</v>
      </c>
      <c r="D421" t="s">
        <v>48</v>
      </c>
      <c r="E421" t="s">
        <v>485</v>
      </c>
      <c r="F421" t="str">
        <f t="shared" si="8"/>
        <v>2018-05-20</v>
      </c>
      <c r="G421">
        <v>60.32</v>
      </c>
      <c r="H421" t="str">
        <f>"2016-08-28"</f>
        <v>2016-08-28</v>
      </c>
      <c r="I421" t="s">
        <v>26</v>
      </c>
      <c r="J421" t="str">
        <f>"2016-07-17"</f>
        <v>2016-07-17</v>
      </c>
      <c r="K421" t="s">
        <v>27</v>
      </c>
      <c r="L421">
        <v>2.3761067499999999</v>
      </c>
      <c r="M421">
        <v>420</v>
      </c>
      <c r="N421" s="1">
        <v>0.57450000000000001</v>
      </c>
      <c r="O421" s="1">
        <v>1.2565999999999999</v>
      </c>
      <c r="P421" s="1">
        <v>-0.1125</v>
      </c>
      <c r="Q421" s="1">
        <v>1.0200000000000001E-2</v>
      </c>
      <c r="R421" s="1">
        <v>3.3399999999999999E-2</v>
      </c>
      <c r="S421" s="1">
        <v>3.5000000000000003E-2</v>
      </c>
      <c r="T421" s="1">
        <v>-6.88E-2</v>
      </c>
      <c r="U421" s="1">
        <v>0.3503</v>
      </c>
    </row>
    <row r="422" spans="1:21" x14ac:dyDescent="0.25">
      <c r="A422" t="s">
        <v>980</v>
      </c>
      <c r="B422" t="s">
        <v>981</v>
      </c>
      <c r="C422" t="s">
        <v>30</v>
      </c>
      <c r="D422" t="s">
        <v>48</v>
      </c>
      <c r="E422" t="s">
        <v>485</v>
      </c>
      <c r="F422" t="str">
        <f t="shared" si="8"/>
        <v>2018-05-20</v>
      </c>
      <c r="G422">
        <v>77.25</v>
      </c>
      <c r="H422" t="str">
        <f>"2016-03-16"</f>
        <v>2016-03-16</v>
      </c>
      <c r="I422" t="s">
        <v>26</v>
      </c>
      <c r="J422" t="str">
        <f>"2015-12-16"</f>
        <v>2015-12-16</v>
      </c>
      <c r="K422" t="s">
        <v>27</v>
      </c>
      <c r="L422">
        <v>2.3742732599999998</v>
      </c>
      <c r="M422">
        <v>421</v>
      </c>
      <c r="N422" s="1">
        <v>0.70679999999999998</v>
      </c>
      <c r="O422" s="1">
        <v>1.2456</v>
      </c>
      <c r="P422" s="1">
        <v>-0.22520000000000001</v>
      </c>
      <c r="Q422" s="1">
        <v>2.5999999999999999E-3</v>
      </c>
      <c r="R422" s="1">
        <v>1.9099999999999999E-2</v>
      </c>
      <c r="S422" s="1">
        <v>-7.3200000000000001E-2</v>
      </c>
      <c r="T422" s="1">
        <v>-0.12709999999999999</v>
      </c>
      <c r="U422" s="1">
        <v>0.2843</v>
      </c>
    </row>
    <row r="423" spans="1:21" x14ac:dyDescent="0.25">
      <c r="A423" t="s">
        <v>982</v>
      </c>
      <c r="B423" t="s">
        <v>983</v>
      </c>
      <c r="C423" t="s">
        <v>37</v>
      </c>
      <c r="D423" t="s">
        <v>38</v>
      </c>
      <c r="E423" t="s">
        <v>97</v>
      </c>
      <c r="F423" t="str">
        <f t="shared" si="8"/>
        <v>2018-05-20</v>
      </c>
      <c r="G423">
        <v>9.8800000000000008</v>
      </c>
      <c r="H423" t="str">
        <f>"2017-10-11"</f>
        <v>2017-10-11</v>
      </c>
      <c r="I423" t="s">
        <v>26</v>
      </c>
      <c r="J423" t="str">
        <f>"2017-09-21"</f>
        <v>2017-09-21</v>
      </c>
      <c r="K423" t="s">
        <v>27</v>
      </c>
      <c r="L423">
        <v>2.3717080500000001</v>
      </c>
      <c r="M423">
        <v>422</v>
      </c>
      <c r="N423" s="1">
        <v>0.52</v>
      </c>
      <c r="O423" s="1">
        <v>1.2302</v>
      </c>
      <c r="P423" s="1">
        <v>-0.28970000000000001</v>
      </c>
      <c r="Q423" s="1">
        <v>0</v>
      </c>
      <c r="R423" s="1">
        <v>-4.2599999999999999E-2</v>
      </c>
      <c r="S423" s="1">
        <v>-0.10829999999999999</v>
      </c>
      <c r="T423" s="1">
        <v>-0.1091</v>
      </c>
      <c r="U423" s="1">
        <v>0.74870000000000003</v>
      </c>
    </row>
    <row r="424" spans="1:21" x14ac:dyDescent="0.25">
      <c r="A424" t="s">
        <v>984</v>
      </c>
      <c r="B424" t="s">
        <v>985</v>
      </c>
      <c r="C424" t="s">
        <v>109</v>
      </c>
      <c r="D424" t="s">
        <v>110</v>
      </c>
      <c r="E424" t="s">
        <v>111</v>
      </c>
      <c r="F424" t="str">
        <f t="shared" si="8"/>
        <v>2018-05-20</v>
      </c>
      <c r="G424">
        <v>32.659999999999997</v>
      </c>
      <c r="H424" t="str">
        <f>"2018-04-08"</f>
        <v>2018-04-08</v>
      </c>
      <c r="I424" t="s">
        <v>26</v>
      </c>
      <c r="J424" t="str">
        <f>"2017-03-26"</f>
        <v>2017-03-26</v>
      </c>
      <c r="K424" t="s">
        <v>34</v>
      </c>
      <c r="L424">
        <v>2.3677927900000002</v>
      </c>
      <c r="M424">
        <v>423</v>
      </c>
      <c r="N424" s="1">
        <v>3.0999999999999999E-3</v>
      </c>
      <c r="O424" s="1">
        <v>1.2068000000000001</v>
      </c>
      <c r="P424" s="1">
        <v>-0.14990000000000001</v>
      </c>
      <c r="Q424" s="1">
        <v>5.8700000000000002E-2</v>
      </c>
      <c r="R424" s="1">
        <v>-4.4999999999999998E-2</v>
      </c>
      <c r="S424" s="1">
        <v>-7.7399999999999997E-2</v>
      </c>
      <c r="T424" s="1">
        <v>-2.5100000000000001E-2</v>
      </c>
      <c r="U424" s="1">
        <v>0.73080000000000001</v>
      </c>
    </row>
    <row r="425" spans="1:21" x14ac:dyDescent="0.25">
      <c r="A425" t="s">
        <v>986</v>
      </c>
      <c r="B425" t="s">
        <v>987</v>
      </c>
      <c r="C425" t="s">
        <v>37</v>
      </c>
      <c r="D425" t="s">
        <v>38</v>
      </c>
      <c r="E425" t="s">
        <v>39</v>
      </c>
      <c r="F425" t="str">
        <f t="shared" si="8"/>
        <v>2018-05-20</v>
      </c>
      <c r="G425">
        <v>15.32</v>
      </c>
      <c r="H425" t="str">
        <f>"2017-08-14"</f>
        <v>2017-08-14</v>
      </c>
      <c r="I425" t="s">
        <v>26</v>
      </c>
      <c r="J425" t="str">
        <f>"2017-04-02"</f>
        <v>2017-04-02</v>
      </c>
      <c r="K425" t="s">
        <v>40</v>
      </c>
      <c r="L425">
        <v>2.36685824</v>
      </c>
      <c r="M425">
        <v>424</v>
      </c>
      <c r="N425" s="1">
        <v>0.70030000000000003</v>
      </c>
      <c r="O425" s="1">
        <v>1.2011000000000001</v>
      </c>
      <c r="P425" s="1">
        <v>-0.16739999999999999</v>
      </c>
      <c r="Q425" s="1">
        <v>-2.7300000000000001E-2</v>
      </c>
      <c r="R425" s="1">
        <v>-2.8500000000000001E-2</v>
      </c>
      <c r="S425" s="1">
        <v>8.1199999999999994E-2</v>
      </c>
      <c r="T425" s="1">
        <v>-0.13739999999999999</v>
      </c>
      <c r="U425" s="1">
        <v>0.81089999999999995</v>
      </c>
    </row>
    <row r="426" spans="1:21" x14ac:dyDescent="0.25">
      <c r="A426" t="s">
        <v>988</v>
      </c>
      <c r="B426" t="s">
        <v>989</v>
      </c>
      <c r="C426" t="s">
        <v>37</v>
      </c>
      <c r="D426" t="s">
        <v>38</v>
      </c>
      <c r="E426" t="s">
        <v>39</v>
      </c>
      <c r="F426" t="str">
        <f t="shared" si="8"/>
        <v>2018-05-20</v>
      </c>
      <c r="G426">
        <v>33.380000000000003</v>
      </c>
      <c r="H426" t="str">
        <f>"2017-08-14"</f>
        <v>2017-08-14</v>
      </c>
      <c r="I426" t="s">
        <v>26</v>
      </c>
      <c r="J426" t="str">
        <f>"2017-07-06"</f>
        <v>2017-07-06</v>
      </c>
      <c r="K426" t="s">
        <v>57</v>
      </c>
      <c r="L426">
        <v>2.3600862999999999</v>
      </c>
      <c r="M426">
        <v>425</v>
      </c>
      <c r="N426" s="1">
        <v>0.44130000000000003</v>
      </c>
      <c r="O426" s="1">
        <v>1.1605000000000001</v>
      </c>
      <c r="P426" s="1">
        <v>-0.2427</v>
      </c>
      <c r="Q426" s="1">
        <v>-4.2200000000000001E-2</v>
      </c>
      <c r="R426" s="1">
        <v>-7.2800000000000004E-2</v>
      </c>
      <c r="S426" s="1">
        <v>-1.8E-3</v>
      </c>
      <c r="T426" s="1">
        <v>-0.1197</v>
      </c>
      <c r="U426" s="1">
        <v>0.91290000000000004</v>
      </c>
    </row>
    <row r="427" spans="1:21" x14ac:dyDescent="0.25">
      <c r="A427" t="s">
        <v>990</v>
      </c>
      <c r="B427" t="s">
        <v>991</v>
      </c>
      <c r="C427" t="s">
        <v>43</v>
      </c>
      <c r="D427" t="s">
        <v>44</v>
      </c>
      <c r="E427" t="s">
        <v>599</v>
      </c>
      <c r="F427" t="str">
        <f t="shared" si="8"/>
        <v>2018-05-20</v>
      </c>
      <c r="G427">
        <v>24.15</v>
      </c>
      <c r="H427" t="str">
        <f>"2017-02-19"</f>
        <v>2017-02-19</v>
      </c>
      <c r="I427" t="s">
        <v>26</v>
      </c>
      <c r="J427" t="str">
        <f>"2017-02-16"</f>
        <v>2017-02-16</v>
      </c>
      <c r="K427" t="s">
        <v>40</v>
      </c>
      <c r="L427">
        <v>2.359375</v>
      </c>
      <c r="M427">
        <v>426</v>
      </c>
      <c r="N427" s="1">
        <v>1.1221000000000001</v>
      </c>
      <c r="O427" s="1">
        <v>1.1563000000000001</v>
      </c>
      <c r="P427" s="1">
        <v>-0.1046</v>
      </c>
      <c r="Q427" s="1">
        <v>1.6E-2</v>
      </c>
      <c r="R427" s="1">
        <v>-1.7100000000000001E-2</v>
      </c>
      <c r="S427" s="1">
        <v>-1.43E-2</v>
      </c>
      <c r="T427" s="1">
        <v>-0.1022</v>
      </c>
      <c r="U427" s="1">
        <v>0.77439999999999998</v>
      </c>
    </row>
    <row r="428" spans="1:21" x14ac:dyDescent="0.25">
      <c r="A428" t="s">
        <v>992</v>
      </c>
      <c r="B428" t="s">
        <v>993</v>
      </c>
      <c r="C428" t="s">
        <v>30</v>
      </c>
      <c r="D428" t="s">
        <v>482</v>
      </c>
      <c r="E428" t="s">
        <v>482</v>
      </c>
      <c r="F428" t="str">
        <f t="shared" si="8"/>
        <v>2018-05-20</v>
      </c>
      <c r="G428">
        <v>29.02</v>
      </c>
      <c r="H428" t="str">
        <f>"2016-08-28"</f>
        <v>2016-08-28</v>
      </c>
      <c r="I428" t="s">
        <v>26</v>
      </c>
      <c r="J428" t="str">
        <f>"2016-08-02"</f>
        <v>2016-08-02</v>
      </c>
      <c r="K428" t="s">
        <v>27</v>
      </c>
      <c r="L428">
        <v>2.3572131999999999</v>
      </c>
      <c r="M428">
        <v>427</v>
      </c>
      <c r="N428" s="1">
        <v>0.66590000000000005</v>
      </c>
      <c r="O428" s="1">
        <v>1.1433</v>
      </c>
      <c r="P428" s="1">
        <v>-0.1825</v>
      </c>
      <c r="Q428" s="1">
        <v>5.1999999999999998E-3</v>
      </c>
      <c r="R428" s="1">
        <v>9.7000000000000003E-3</v>
      </c>
      <c r="S428" s="1">
        <v>-6.08E-2</v>
      </c>
      <c r="T428" s="1">
        <v>-9.3700000000000006E-2</v>
      </c>
      <c r="U428" s="1">
        <v>0.18210000000000001</v>
      </c>
    </row>
    <row r="429" spans="1:21" x14ac:dyDescent="0.25">
      <c r="A429" t="s">
        <v>994</v>
      </c>
      <c r="B429" t="s">
        <v>995</v>
      </c>
      <c r="C429" t="s">
        <v>37</v>
      </c>
      <c r="D429" t="s">
        <v>38</v>
      </c>
      <c r="E429" t="s">
        <v>39</v>
      </c>
      <c r="F429" t="str">
        <f t="shared" si="8"/>
        <v>2018-05-20</v>
      </c>
      <c r="G429">
        <v>24.34</v>
      </c>
      <c r="H429" t="str">
        <f>"2017-07-18"</f>
        <v>2017-07-18</v>
      </c>
      <c r="I429" t="s">
        <v>26</v>
      </c>
      <c r="J429" t="str">
        <f>"2016-05-08"</f>
        <v>2016-05-08</v>
      </c>
      <c r="K429" t="s">
        <v>34</v>
      </c>
      <c r="L429">
        <v>2.3564733499999999</v>
      </c>
      <c r="M429">
        <v>428</v>
      </c>
      <c r="N429" s="1">
        <v>0.56330000000000002</v>
      </c>
      <c r="O429" s="1">
        <v>1.1388</v>
      </c>
      <c r="P429" s="1">
        <v>-0.30359999999999998</v>
      </c>
      <c r="Q429" s="1">
        <v>-2.01E-2</v>
      </c>
      <c r="R429" s="1">
        <v>-1.0200000000000001E-2</v>
      </c>
      <c r="S429" s="1">
        <v>0.1961</v>
      </c>
      <c r="T429" s="1">
        <v>-0.161</v>
      </c>
      <c r="U429" s="1">
        <v>0.71889999999999998</v>
      </c>
    </row>
    <row r="430" spans="1:21" x14ac:dyDescent="0.25">
      <c r="A430" t="s">
        <v>996</v>
      </c>
      <c r="B430" t="s">
        <v>997</v>
      </c>
      <c r="C430" t="s">
        <v>37</v>
      </c>
      <c r="D430" t="s">
        <v>38</v>
      </c>
      <c r="E430" t="s">
        <v>97</v>
      </c>
      <c r="F430" t="str">
        <f t="shared" si="8"/>
        <v>2018-05-20</v>
      </c>
      <c r="G430">
        <v>1.95</v>
      </c>
      <c r="H430" t="str">
        <f>"2018-03-04"</f>
        <v>2018-03-04</v>
      </c>
      <c r="I430" t="s">
        <v>26</v>
      </c>
      <c r="J430" t="str">
        <f>"2018-02-22"</f>
        <v>2018-02-22</v>
      </c>
      <c r="K430" t="s">
        <v>27</v>
      </c>
      <c r="L430">
        <v>2.3558523999999998</v>
      </c>
      <c r="M430">
        <v>429</v>
      </c>
      <c r="N430" s="1">
        <v>0.3448</v>
      </c>
      <c r="O430" s="1">
        <v>1.1351</v>
      </c>
      <c r="P430" s="1">
        <v>-0.22309999999999999</v>
      </c>
      <c r="Q430" s="1">
        <v>5.1999999999999998E-3</v>
      </c>
      <c r="R430" s="1">
        <v>0.108</v>
      </c>
      <c r="S430" s="1">
        <v>-5.8000000000000003E-2</v>
      </c>
      <c r="T430" s="1">
        <v>0.625</v>
      </c>
      <c r="U430" s="1">
        <v>0.5726</v>
      </c>
    </row>
    <row r="431" spans="1:21" x14ac:dyDescent="0.25">
      <c r="A431" t="s">
        <v>998</v>
      </c>
      <c r="B431" t="s">
        <v>999</v>
      </c>
      <c r="C431" t="s">
        <v>37</v>
      </c>
      <c r="D431" t="s">
        <v>66</v>
      </c>
      <c r="E431" t="s">
        <v>72</v>
      </c>
      <c r="F431" t="str">
        <f t="shared" si="8"/>
        <v>2018-05-20</v>
      </c>
      <c r="G431">
        <v>5.73</v>
      </c>
      <c r="H431" t="str">
        <f>"2017-11-19"</f>
        <v>2017-11-19</v>
      </c>
      <c r="I431" t="s">
        <v>26</v>
      </c>
      <c r="J431" t="str">
        <f>"2017-09-13"</f>
        <v>2017-09-13</v>
      </c>
      <c r="K431" t="s">
        <v>27</v>
      </c>
      <c r="L431">
        <v>2.3523985199999999</v>
      </c>
      <c r="M431">
        <v>430</v>
      </c>
      <c r="N431" s="1">
        <v>0.13239999999999999</v>
      </c>
      <c r="O431" s="1">
        <v>1.1144000000000001</v>
      </c>
      <c r="P431" s="1">
        <v>-0.28110000000000002</v>
      </c>
      <c r="Q431" s="1">
        <v>-3.5000000000000001E-3</v>
      </c>
      <c r="R431" s="1">
        <v>3.6200000000000003E-2</v>
      </c>
      <c r="S431" s="1">
        <v>-6.6799999999999998E-2</v>
      </c>
      <c r="T431" s="1">
        <v>-0.193</v>
      </c>
      <c r="U431" s="1">
        <v>4.9500000000000002E-2</v>
      </c>
    </row>
    <row r="432" spans="1:21" x14ac:dyDescent="0.25">
      <c r="A432" t="s">
        <v>1000</v>
      </c>
      <c r="B432" t="s">
        <v>1001</v>
      </c>
      <c r="C432" t="s">
        <v>23</v>
      </c>
      <c r="D432" t="s">
        <v>52</v>
      </c>
      <c r="E432" t="s">
        <v>56</v>
      </c>
      <c r="F432" t="str">
        <f t="shared" si="8"/>
        <v>2018-05-20</v>
      </c>
      <c r="G432">
        <v>39.75</v>
      </c>
      <c r="H432" t="str">
        <f>"2017-12-10"</f>
        <v>2017-12-10</v>
      </c>
      <c r="I432" t="s">
        <v>26</v>
      </c>
      <c r="J432" t="str">
        <f>"2017-11-22"</f>
        <v>2017-11-22</v>
      </c>
      <c r="K432" t="s">
        <v>27</v>
      </c>
      <c r="L432">
        <v>2.35145889</v>
      </c>
      <c r="M432">
        <v>431</v>
      </c>
      <c r="N432" s="1">
        <v>0.51719999999999999</v>
      </c>
      <c r="O432" s="1">
        <v>1.1088</v>
      </c>
      <c r="P432" s="1">
        <v>-0.1067</v>
      </c>
      <c r="Q432" s="1">
        <v>5.1000000000000004E-3</v>
      </c>
      <c r="R432" s="1">
        <v>4.6100000000000002E-2</v>
      </c>
      <c r="S432" s="1">
        <v>-3.1699999999999999E-2</v>
      </c>
      <c r="T432" s="1">
        <v>0.51719999999999999</v>
      </c>
      <c r="U432" s="1">
        <v>0.7097</v>
      </c>
    </row>
    <row r="433" spans="1:21" x14ac:dyDescent="0.25">
      <c r="A433" t="s">
        <v>1002</v>
      </c>
      <c r="B433" t="s">
        <v>1003</v>
      </c>
      <c r="C433" t="s">
        <v>30</v>
      </c>
      <c r="D433" t="s">
        <v>31</v>
      </c>
      <c r="E433" t="s">
        <v>31</v>
      </c>
      <c r="F433" t="str">
        <f t="shared" si="8"/>
        <v>2018-05-20</v>
      </c>
      <c r="G433">
        <v>8.67</v>
      </c>
      <c r="H433" t="str">
        <f>"2016-04-12"</f>
        <v>2016-04-12</v>
      </c>
      <c r="I433" t="s">
        <v>26</v>
      </c>
      <c r="J433" t="str">
        <f>"2016-04-05"</f>
        <v>2016-04-05</v>
      </c>
      <c r="K433" t="s">
        <v>27</v>
      </c>
      <c r="L433">
        <v>2.34404762</v>
      </c>
      <c r="M433">
        <v>432</v>
      </c>
      <c r="N433" s="1">
        <v>0.80249999999999999</v>
      </c>
      <c r="O433" s="1">
        <v>1.0643</v>
      </c>
      <c r="P433" s="1">
        <v>-0.1043</v>
      </c>
      <c r="Q433" s="1">
        <v>2.7300000000000001E-2</v>
      </c>
      <c r="R433" s="1">
        <v>2.24E-2</v>
      </c>
      <c r="S433" s="1">
        <v>-7.3700000000000002E-2</v>
      </c>
      <c r="T433" s="1">
        <v>-4.2999999999999997E-2</v>
      </c>
      <c r="U433" s="1">
        <v>0.30380000000000001</v>
      </c>
    </row>
    <row r="434" spans="1:21" x14ac:dyDescent="0.25">
      <c r="A434" t="s">
        <v>1004</v>
      </c>
      <c r="B434" t="s">
        <v>1005</v>
      </c>
      <c r="C434" t="s">
        <v>43</v>
      </c>
      <c r="D434" t="s">
        <v>169</v>
      </c>
      <c r="E434" t="s">
        <v>904</v>
      </c>
      <c r="F434" t="str">
        <f t="shared" si="8"/>
        <v>2018-05-20</v>
      </c>
      <c r="G434">
        <v>3.5</v>
      </c>
      <c r="H434" t="str">
        <f>"2018-04-16"</f>
        <v>2018-04-16</v>
      </c>
      <c r="I434" t="s">
        <v>26</v>
      </c>
      <c r="J434" t="str">
        <f>"2018-03-18"</f>
        <v>2018-03-18</v>
      </c>
      <c r="K434" t="s">
        <v>27</v>
      </c>
      <c r="L434">
        <v>2.3431372499999998</v>
      </c>
      <c r="M434">
        <v>433</v>
      </c>
      <c r="N434" s="1">
        <v>-2.5100000000000001E-2</v>
      </c>
      <c r="O434" s="1">
        <v>1.0588</v>
      </c>
      <c r="P434" s="1">
        <v>-0.12720000000000001</v>
      </c>
      <c r="Q434" s="1">
        <v>-2.8E-3</v>
      </c>
      <c r="R434" s="1">
        <v>3.8600000000000002E-2</v>
      </c>
      <c r="S434" s="1">
        <v>-0.12720000000000001</v>
      </c>
      <c r="T434" s="1">
        <v>0.83250000000000002</v>
      </c>
      <c r="U434" s="1">
        <v>5.4199999999999998E-2</v>
      </c>
    </row>
    <row r="435" spans="1:21" x14ac:dyDescent="0.25">
      <c r="A435" t="s">
        <v>1006</v>
      </c>
      <c r="B435" t="s">
        <v>1007</v>
      </c>
      <c r="C435" t="s">
        <v>30</v>
      </c>
      <c r="D435" t="s">
        <v>77</v>
      </c>
      <c r="E435" t="s">
        <v>1008</v>
      </c>
      <c r="F435" t="str">
        <f t="shared" si="8"/>
        <v>2018-05-20</v>
      </c>
      <c r="G435">
        <v>17.8</v>
      </c>
      <c r="H435" t="str">
        <f>"2016-07-17"</f>
        <v>2016-07-17</v>
      </c>
      <c r="I435" t="s">
        <v>26</v>
      </c>
      <c r="J435" t="str">
        <f>"2015-08-25"</f>
        <v>2015-08-25</v>
      </c>
      <c r="K435" t="s">
        <v>57</v>
      </c>
      <c r="L435">
        <v>2.33866058</v>
      </c>
      <c r="M435">
        <v>434</v>
      </c>
      <c r="N435" s="1">
        <v>0.40489999999999998</v>
      </c>
      <c r="O435" s="1">
        <v>1.032</v>
      </c>
      <c r="P435" s="1">
        <v>-0.1275</v>
      </c>
      <c r="Q435" s="1">
        <v>2.3E-2</v>
      </c>
      <c r="R435" s="1">
        <v>-5.5999999999999999E-3</v>
      </c>
      <c r="S435" s="1">
        <v>-5.0700000000000002E-2</v>
      </c>
      <c r="T435" s="1">
        <v>1.4200000000000001E-2</v>
      </c>
      <c r="U435" s="1">
        <v>7.5499999999999998E-2</v>
      </c>
    </row>
    <row r="436" spans="1:21" x14ac:dyDescent="0.25">
      <c r="A436" t="s">
        <v>1009</v>
      </c>
      <c r="B436" t="s">
        <v>1010</v>
      </c>
      <c r="C436" t="s">
        <v>23</v>
      </c>
      <c r="D436" t="s">
        <v>52</v>
      </c>
      <c r="E436" t="s">
        <v>56</v>
      </c>
      <c r="F436" t="str">
        <f t="shared" si="8"/>
        <v>2018-05-20</v>
      </c>
      <c r="G436">
        <v>9.67</v>
      </c>
      <c r="H436" t="str">
        <f>"2017-08-29"</f>
        <v>2017-08-29</v>
      </c>
      <c r="I436" t="s">
        <v>26</v>
      </c>
      <c r="J436" t="str">
        <f>"2017-08-22"</f>
        <v>2017-08-22</v>
      </c>
      <c r="K436" t="s">
        <v>27</v>
      </c>
      <c r="L436">
        <v>2.3378756100000002</v>
      </c>
      <c r="M436">
        <v>435</v>
      </c>
      <c r="N436" s="1">
        <v>0.7974</v>
      </c>
      <c r="O436" s="1">
        <v>1.0273000000000001</v>
      </c>
      <c r="P436" s="1">
        <v>-0.28789999999999999</v>
      </c>
      <c r="Q436" s="1">
        <v>-3.4000000000000002E-2</v>
      </c>
      <c r="R436" s="1">
        <v>-7.8600000000000003E-2</v>
      </c>
      <c r="S436" s="1">
        <v>-0.12959999999999999</v>
      </c>
      <c r="T436" s="1">
        <v>0.29620000000000002</v>
      </c>
      <c r="U436" s="1">
        <v>0.91490000000000005</v>
      </c>
    </row>
    <row r="437" spans="1:21" x14ac:dyDescent="0.25">
      <c r="A437" t="s">
        <v>1011</v>
      </c>
      <c r="B437" t="s">
        <v>1012</v>
      </c>
      <c r="C437" t="s">
        <v>37</v>
      </c>
      <c r="D437" t="s">
        <v>38</v>
      </c>
      <c r="E437" t="s">
        <v>39</v>
      </c>
      <c r="F437" t="str">
        <f t="shared" ref="F437:F459" si="9">"2018-05-20"</f>
        <v>2018-05-20</v>
      </c>
      <c r="G437">
        <v>3.63</v>
      </c>
      <c r="H437" t="str">
        <f>"2018-03-05"</f>
        <v>2018-03-05</v>
      </c>
      <c r="I437" t="s">
        <v>26</v>
      </c>
      <c r="J437" t="str">
        <f>"2018-01-29"</f>
        <v>2018-01-29</v>
      </c>
      <c r="K437" t="s">
        <v>27</v>
      </c>
      <c r="L437">
        <v>2.33611111</v>
      </c>
      <c r="M437">
        <v>436</v>
      </c>
      <c r="N437" s="1">
        <v>0.42909999999999998</v>
      </c>
      <c r="O437" s="1">
        <v>1.0166999999999999</v>
      </c>
      <c r="P437" s="1">
        <v>-0.39300000000000002</v>
      </c>
      <c r="Q437" s="1">
        <v>2.8299999999999999E-2</v>
      </c>
      <c r="R437" s="1">
        <v>4.6100000000000002E-2</v>
      </c>
      <c r="S437" s="1">
        <v>-9.4799999999999995E-2</v>
      </c>
      <c r="T437" s="1">
        <v>0.61329999999999996</v>
      </c>
      <c r="U437" s="1">
        <v>0.18629999999999999</v>
      </c>
    </row>
    <row r="438" spans="1:21" x14ac:dyDescent="0.25">
      <c r="A438" t="s">
        <v>1013</v>
      </c>
      <c r="B438" t="s">
        <v>1014</v>
      </c>
      <c r="C438" t="s">
        <v>518</v>
      </c>
      <c r="D438" t="s">
        <v>573</v>
      </c>
      <c r="E438" t="s">
        <v>574</v>
      </c>
      <c r="F438" t="str">
        <f t="shared" si="9"/>
        <v>2018-05-20</v>
      </c>
      <c r="G438">
        <v>39.549999999999997</v>
      </c>
      <c r="H438" t="str">
        <f>"2016-01-28"</f>
        <v>2016-01-28</v>
      </c>
      <c r="I438" t="s">
        <v>26</v>
      </c>
      <c r="J438" t="str">
        <f>"2015-10-19"</f>
        <v>2015-10-19</v>
      </c>
      <c r="K438" t="s">
        <v>27</v>
      </c>
      <c r="L438">
        <v>2.33494241</v>
      </c>
      <c r="M438">
        <v>437</v>
      </c>
      <c r="N438" s="1">
        <v>0.61760000000000004</v>
      </c>
      <c r="O438" s="1">
        <v>1.0097</v>
      </c>
      <c r="P438" s="1">
        <v>-0.13270000000000001</v>
      </c>
      <c r="Q438" s="1">
        <v>1.67E-2</v>
      </c>
      <c r="R438" s="1">
        <v>1.67E-2</v>
      </c>
      <c r="S438" s="1">
        <v>-0.01</v>
      </c>
      <c r="T438" s="1">
        <v>-2.2200000000000001E-2</v>
      </c>
      <c r="U438" s="1">
        <v>0.16669999999999999</v>
      </c>
    </row>
    <row r="439" spans="1:21" x14ac:dyDescent="0.25">
      <c r="A439" t="s">
        <v>1015</v>
      </c>
      <c r="B439" t="s">
        <v>1016</v>
      </c>
      <c r="C439" t="s">
        <v>23</v>
      </c>
      <c r="D439" t="s">
        <v>24</v>
      </c>
      <c r="E439" t="s">
        <v>307</v>
      </c>
      <c r="F439" t="str">
        <f t="shared" si="9"/>
        <v>2018-05-20</v>
      </c>
      <c r="G439">
        <v>43.03</v>
      </c>
      <c r="H439" t="str">
        <f>"2017-09-17"</f>
        <v>2017-09-17</v>
      </c>
      <c r="I439" t="s">
        <v>26</v>
      </c>
      <c r="J439" t="str">
        <f>"2017-07-19"</f>
        <v>2017-07-19</v>
      </c>
      <c r="K439" t="s">
        <v>27</v>
      </c>
      <c r="L439">
        <v>2.33449938</v>
      </c>
      <c r="M439">
        <v>438</v>
      </c>
      <c r="N439" s="1">
        <v>0.22489999999999999</v>
      </c>
      <c r="O439" s="1">
        <v>1.0069999999999999</v>
      </c>
      <c r="P439" s="1">
        <v>-0.1454</v>
      </c>
      <c r="Q439" s="1">
        <v>2.4500000000000001E-2</v>
      </c>
      <c r="R439" s="1">
        <v>-8.5000000000000006E-3</v>
      </c>
      <c r="S439" s="1">
        <v>-9.5100000000000004E-2</v>
      </c>
      <c r="T439" s="1">
        <v>-7.0800000000000002E-2</v>
      </c>
      <c r="U439" s="1">
        <v>0.81950000000000001</v>
      </c>
    </row>
    <row r="440" spans="1:21" x14ac:dyDescent="0.25">
      <c r="A440" t="s">
        <v>1017</v>
      </c>
      <c r="B440" t="s">
        <v>1018</v>
      </c>
      <c r="C440" t="s">
        <v>43</v>
      </c>
      <c r="D440" t="s">
        <v>150</v>
      </c>
      <c r="E440" t="s">
        <v>151</v>
      </c>
      <c r="F440" t="str">
        <f t="shared" si="9"/>
        <v>2018-05-20</v>
      </c>
      <c r="G440">
        <v>43.95</v>
      </c>
      <c r="H440" t="str">
        <f>"2016-04-05"</f>
        <v>2016-04-05</v>
      </c>
      <c r="I440" t="s">
        <v>26</v>
      </c>
      <c r="J440" t="str">
        <f>"2016-03-07"</f>
        <v>2016-03-07</v>
      </c>
      <c r="K440" t="s">
        <v>27</v>
      </c>
      <c r="L440">
        <v>2.33401733</v>
      </c>
      <c r="M440">
        <v>439</v>
      </c>
      <c r="N440" s="1">
        <v>0.60109999999999997</v>
      </c>
      <c r="O440" s="1">
        <v>1.0041</v>
      </c>
      <c r="P440" s="1">
        <v>-0.1762</v>
      </c>
      <c r="Q440" s="1">
        <v>1.2699999999999999E-2</v>
      </c>
      <c r="R440" s="1">
        <v>3.6600000000000001E-2</v>
      </c>
      <c r="S440" s="1">
        <v>-1.46E-2</v>
      </c>
      <c r="T440" s="1">
        <v>-3.3000000000000002E-2</v>
      </c>
      <c r="U440" s="1">
        <v>3.78E-2</v>
      </c>
    </row>
    <row r="441" spans="1:21" x14ac:dyDescent="0.25">
      <c r="A441" t="s">
        <v>1019</v>
      </c>
      <c r="B441" t="s">
        <v>1020</v>
      </c>
      <c r="C441" t="s">
        <v>43</v>
      </c>
      <c r="D441" t="s">
        <v>119</v>
      </c>
      <c r="E441" t="s">
        <v>120</v>
      </c>
      <c r="F441" t="str">
        <f t="shared" si="9"/>
        <v>2018-05-20</v>
      </c>
      <c r="G441">
        <v>59.85</v>
      </c>
      <c r="H441" t="str">
        <f>"2016-02-18"</f>
        <v>2016-02-18</v>
      </c>
      <c r="I441" t="s">
        <v>26</v>
      </c>
      <c r="J441" t="str">
        <f>"2016-01-14"</f>
        <v>2016-01-14</v>
      </c>
      <c r="K441" t="s">
        <v>40</v>
      </c>
      <c r="L441">
        <v>2.3290993100000001</v>
      </c>
      <c r="M441">
        <v>440</v>
      </c>
      <c r="N441" s="1">
        <v>0.51290000000000002</v>
      </c>
      <c r="O441" s="1">
        <v>0.97460000000000002</v>
      </c>
      <c r="P441" s="1">
        <v>-0.2462</v>
      </c>
      <c r="Q441" s="1">
        <v>2.5700000000000001E-2</v>
      </c>
      <c r="R441" s="1">
        <v>-0.1087</v>
      </c>
      <c r="S441" s="1">
        <v>-0.1244</v>
      </c>
      <c r="T441" s="1">
        <v>-0.14990000000000001</v>
      </c>
      <c r="U441" s="1">
        <v>-9.8599999999999993E-2</v>
      </c>
    </row>
    <row r="442" spans="1:21" x14ac:dyDescent="0.25">
      <c r="A442" t="s">
        <v>1021</v>
      </c>
      <c r="B442" t="s">
        <v>1022</v>
      </c>
      <c r="C442" t="s">
        <v>30</v>
      </c>
      <c r="D442" t="s">
        <v>48</v>
      </c>
      <c r="E442" t="s">
        <v>177</v>
      </c>
      <c r="F442" t="str">
        <f t="shared" si="9"/>
        <v>2018-05-20</v>
      </c>
      <c r="G442">
        <v>10.67</v>
      </c>
      <c r="H442" t="str">
        <f>"2016-08-18"</f>
        <v>2016-08-18</v>
      </c>
      <c r="I442" t="s">
        <v>26</v>
      </c>
      <c r="J442" t="str">
        <f>"2016-08-15"</f>
        <v>2016-08-15</v>
      </c>
      <c r="K442" t="s">
        <v>27</v>
      </c>
      <c r="L442">
        <v>2.3268995100000001</v>
      </c>
      <c r="M442">
        <v>441</v>
      </c>
      <c r="N442" s="1">
        <v>0.35580000000000001</v>
      </c>
      <c r="O442" s="1">
        <v>0.96140000000000003</v>
      </c>
      <c r="P442" s="1">
        <v>-0.3251</v>
      </c>
      <c r="Q442" s="1">
        <v>-1.9E-3</v>
      </c>
      <c r="R442" s="1">
        <v>1.9099999999999999E-2</v>
      </c>
      <c r="S442" s="1">
        <v>3.39E-2</v>
      </c>
      <c r="T442" s="1">
        <v>-0.25700000000000001</v>
      </c>
      <c r="U442" s="1">
        <v>3.8E-3</v>
      </c>
    </row>
    <row r="443" spans="1:21" x14ac:dyDescent="0.25">
      <c r="A443" t="s">
        <v>1023</v>
      </c>
      <c r="B443" t="s">
        <v>1024</v>
      </c>
      <c r="C443" t="s">
        <v>23</v>
      </c>
      <c r="D443" t="s">
        <v>411</v>
      </c>
      <c r="E443" t="s">
        <v>1025</v>
      </c>
      <c r="F443" t="str">
        <f t="shared" si="9"/>
        <v>2018-05-20</v>
      </c>
      <c r="G443">
        <v>24.49</v>
      </c>
      <c r="H443" t="str">
        <f>"2017-06-11"</f>
        <v>2017-06-11</v>
      </c>
      <c r="I443" t="s">
        <v>26</v>
      </c>
      <c r="J443" t="str">
        <f>"2016-10-27"</f>
        <v>2016-10-27</v>
      </c>
      <c r="K443" t="s">
        <v>57</v>
      </c>
      <c r="L443">
        <v>2.3265333300000002</v>
      </c>
      <c r="M443">
        <v>442</v>
      </c>
      <c r="N443" s="1">
        <v>0.32519999999999999</v>
      </c>
      <c r="O443" s="1">
        <v>0.95920000000000005</v>
      </c>
      <c r="P443" s="1">
        <v>-0.1033</v>
      </c>
      <c r="Q443" s="1">
        <v>-2.8999999999999998E-3</v>
      </c>
      <c r="R443" s="1">
        <v>4.0000000000000002E-4</v>
      </c>
      <c r="S443" s="1">
        <v>0.1552</v>
      </c>
      <c r="T443" s="1">
        <v>5.2400000000000002E-2</v>
      </c>
      <c r="U443" s="1">
        <v>0.40589999999999998</v>
      </c>
    </row>
    <row r="444" spans="1:21" x14ac:dyDescent="0.25">
      <c r="A444" t="s">
        <v>1026</v>
      </c>
      <c r="B444" t="s">
        <v>1027</v>
      </c>
      <c r="C444" t="s">
        <v>30</v>
      </c>
      <c r="D444" t="s">
        <v>31</v>
      </c>
      <c r="E444" t="s">
        <v>31</v>
      </c>
      <c r="F444" t="str">
        <f t="shared" si="9"/>
        <v>2018-05-20</v>
      </c>
      <c r="G444">
        <v>35.229999999999997</v>
      </c>
      <c r="H444" t="str">
        <f>"2015-06-08"</f>
        <v>2015-06-08</v>
      </c>
      <c r="I444" t="s">
        <v>26</v>
      </c>
      <c r="J444" t="str">
        <f>"2015-03-18"</f>
        <v>2015-03-18</v>
      </c>
      <c r="K444" t="s">
        <v>40</v>
      </c>
      <c r="L444">
        <v>2.3242223399999999</v>
      </c>
      <c r="M444">
        <v>443</v>
      </c>
      <c r="N444" s="1">
        <v>0.86399999999999999</v>
      </c>
      <c r="O444" s="1">
        <v>0.94530000000000003</v>
      </c>
      <c r="P444" s="1">
        <v>-0.12820000000000001</v>
      </c>
      <c r="Q444" s="1">
        <v>2.5999999999999999E-3</v>
      </c>
      <c r="R444" s="1">
        <v>2.6200000000000001E-2</v>
      </c>
      <c r="S444" s="1">
        <v>-5.04E-2</v>
      </c>
      <c r="T444" s="1">
        <v>-1.43E-2</v>
      </c>
      <c r="U444" s="1">
        <v>0.1149</v>
      </c>
    </row>
    <row r="445" spans="1:21" x14ac:dyDescent="0.25">
      <c r="A445" t="s">
        <v>1028</v>
      </c>
      <c r="B445" t="s">
        <v>1029</v>
      </c>
      <c r="C445" t="s">
        <v>30</v>
      </c>
      <c r="D445" t="s">
        <v>48</v>
      </c>
      <c r="E445" t="s">
        <v>485</v>
      </c>
      <c r="F445" t="str">
        <f t="shared" si="9"/>
        <v>2018-05-20</v>
      </c>
      <c r="G445">
        <v>29.8</v>
      </c>
      <c r="H445" t="str">
        <f>"2018-01-09"</f>
        <v>2018-01-09</v>
      </c>
      <c r="I445" t="s">
        <v>26</v>
      </c>
      <c r="J445" t="str">
        <f>"2017-12-13"</f>
        <v>2017-12-13</v>
      </c>
      <c r="K445" t="s">
        <v>27</v>
      </c>
      <c r="L445">
        <v>2.3214671</v>
      </c>
      <c r="M445">
        <v>444</v>
      </c>
      <c r="N445" s="1">
        <v>0.61519999999999997</v>
      </c>
      <c r="O445" s="1">
        <v>0.92879999999999996</v>
      </c>
      <c r="P445" s="1">
        <v>-0.20319999999999999</v>
      </c>
      <c r="Q445" s="1">
        <v>1.6999999999999999E-3</v>
      </c>
      <c r="R445" s="1">
        <v>0</v>
      </c>
      <c r="S445" s="1">
        <v>-0.188</v>
      </c>
      <c r="T445" s="1">
        <v>2.23E-2</v>
      </c>
      <c r="U445" s="1">
        <v>0.86829999999999996</v>
      </c>
    </row>
    <row r="446" spans="1:21" x14ac:dyDescent="0.25">
      <c r="A446" t="s">
        <v>1030</v>
      </c>
      <c r="B446" t="s">
        <v>1031</v>
      </c>
      <c r="C446" t="s">
        <v>30</v>
      </c>
      <c r="D446" t="s">
        <v>48</v>
      </c>
      <c r="E446" t="s">
        <v>177</v>
      </c>
      <c r="F446" t="str">
        <f t="shared" si="9"/>
        <v>2018-05-20</v>
      </c>
      <c r="G446">
        <v>20.8</v>
      </c>
      <c r="H446" t="str">
        <f>"2016-08-08"</f>
        <v>2016-08-08</v>
      </c>
      <c r="I446" t="s">
        <v>26</v>
      </c>
      <c r="J446" t="str">
        <f>"2016-05-11"</f>
        <v>2016-05-11</v>
      </c>
      <c r="K446" t="s">
        <v>27</v>
      </c>
      <c r="L446">
        <v>2.32069072</v>
      </c>
      <c r="M446">
        <v>445</v>
      </c>
      <c r="N446" s="1">
        <v>0.34279999999999999</v>
      </c>
      <c r="O446" s="1">
        <v>0.92410000000000003</v>
      </c>
      <c r="P446" s="1">
        <v>-0.16300000000000001</v>
      </c>
      <c r="Q446" s="1">
        <v>1.7100000000000001E-2</v>
      </c>
      <c r="R446" s="1">
        <v>9.7000000000000003E-3</v>
      </c>
      <c r="S446" s="1">
        <v>1.46E-2</v>
      </c>
      <c r="T446" s="1">
        <v>-0.14230000000000001</v>
      </c>
      <c r="U446" s="1">
        <v>0.2606</v>
      </c>
    </row>
    <row r="447" spans="1:21" x14ac:dyDescent="0.25">
      <c r="A447" t="s">
        <v>1032</v>
      </c>
      <c r="B447" t="s">
        <v>1033</v>
      </c>
      <c r="C447" t="s">
        <v>100</v>
      </c>
      <c r="D447" t="s">
        <v>1034</v>
      </c>
      <c r="E447" t="s">
        <v>1035</v>
      </c>
      <c r="F447" t="str">
        <f t="shared" si="9"/>
        <v>2018-05-20</v>
      </c>
      <c r="G447">
        <v>7.66</v>
      </c>
      <c r="H447" t="str">
        <f>"2018-02-15"</f>
        <v>2018-02-15</v>
      </c>
      <c r="I447" t="s">
        <v>26</v>
      </c>
      <c r="J447" t="str">
        <f>"2017-02-05"</f>
        <v>2017-02-05</v>
      </c>
      <c r="K447" t="s">
        <v>34</v>
      </c>
      <c r="L447">
        <v>2.31996658</v>
      </c>
      <c r="M447">
        <v>446</v>
      </c>
      <c r="N447" s="1">
        <v>6.2399999999999997E-2</v>
      </c>
      <c r="O447" s="1">
        <v>0.91979999999999995</v>
      </c>
      <c r="P447" s="1">
        <v>-0.1489</v>
      </c>
      <c r="Q447" s="1">
        <v>3.8999999999999998E-3</v>
      </c>
      <c r="R447" s="1">
        <v>3.6499999999999998E-2</v>
      </c>
      <c r="S447" s="1">
        <v>0.2006</v>
      </c>
      <c r="T447" s="1">
        <v>0.1134</v>
      </c>
      <c r="U447" s="1">
        <v>8.1900000000000001E-2</v>
      </c>
    </row>
    <row r="448" spans="1:21" x14ac:dyDescent="0.25">
      <c r="A448" t="s">
        <v>1036</v>
      </c>
      <c r="B448" t="s">
        <v>1037</v>
      </c>
      <c r="C448" t="s">
        <v>114</v>
      </c>
      <c r="D448" t="s">
        <v>809</v>
      </c>
      <c r="E448" t="s">
        <v>810</v>
      </c>
      <c r="F448" t="str">
        <f t="shared" si="9"/>
        <v>2018-05-20</v>
      </c>
      <c r="G448">
        <v>17.16</v>
      </c>
      <c r="H448" t="str">
        <f>"2016-07-17"</f>
        <v>2016-07-17</v>
      </c>
      <c r="I448" t="s">
        <v>26</v>
      </c>
      <c r="J448" t="str">
        <f>"2015-10-14"</f>
        <v>2015-10-14</v>
      </c>
      <c r="K448" t="s">
        <v>57</v>
      </c>
      <c r="L448">
        <v>2.3160221000000001</v>
      </c>
      <c r="M448">
        <v>447</v>
      </c>
      <c r="N448" s="1">
        <v>0.30299999999999999</v>
      </c>
      <c r="O448" s="1">
        <v>0.89610000000000001</v>
      </c>
      <c r="P448" s="1">
        <v>-0.1164</v>
      </c>
      <c r="Q448" s="1">
        <v>7.6E-3</v>
      </c>
      <c r="R448" s="1">
        <v>1.06E-2</v>
      </c>
      <c r="S448" s="1">
        <v>6.1899999999999997E-2</v>
      </c>
      <c r="T448" s="1">
        <v>3.5000000000000003E-2</v>
      </c>
      <c r="U448" s="1">
        <v>0.35120000000000001</v>
      </c>
    </row>
    <row r="449" spans="1:21" x14ac:dyDescent="0.25">
      <c r="A449" t="s">
        <v>27</v>
      </c>
      <c r="B449" t="s">
        <v>1038</v>
      </c>
      <c r="C449" t="s">
        <v>43</v>
      </c>
      <c r="D449" t="s">
        <v>44</v>
      </c>
      <c r="E449" t="s">
        <v>1039</v>
      </c>
      <c r="F449" t="str">
        <f t="shared" si="9"/>
        <v>2018-05-20</v>
      </c>
      <c r="G449">
        <v>62.29</v>
      </c>
      <c r="H449" t="str">
        <f>"2016-07-31"</f>
        <v>2016-07-31</v>
      </c>
      <c r="I449" t="s">
        <v>26</v>
      </c>
      <c r="J449" t="str">
        <f>"2016-07-13"</f>
        <v>2016-07-13</v>
      </c>
      <c r="K449" t="s">
        <v>27</v>
      </c>
      <c r="L449">
        <v>2.3151689900000001</v>
      </c>
      <c r="M449">
        <v>448</v>
      </c>
      <c r="N449" s="1">
        <v>0.64219999999999999</v>
      </c>
      <c r="O449" s="1">
        <v>0.89100000000000001</v>
      </c>
      <c r="P449" s="1">
        <v>-0.1401</v>
      </c>
      <c r="Q449" s="1">
        <v>2.4500000000000001E-2</v>
      </c>
      <c r="R449" s="1">
        <v>6.13E-2</v>
      </c>
      <c r="S449" s="1">
        <v>1.3299999999999999E-2</v>
      </c>
      <c r="T449" s="1">
        <v>-1.9400000000000001E-2</v>
      </c>
      <c r="U449" s="1">
        <v>0.13919999999999999</v>
      </c>
    </row>
    <row r="450" spans="1:21" x14ac:dyDescent="0.25">
      <c r="A450" t="s">
        <v>1040</v>
      </c>
      <c r="B450" t="s">
        <v>1041</v>
      </c>
      <c r="C450" t="s">
        <v>37</v>
      </c>
      <c r="D450" t="s">
        <v>66</v>
      </c>
      <c r="E450" t="s">
        <v>72</v>
      </c>
      <c r="F450" t="str">
        <f t="shared" si="9"/>
        <v>2018-05-20</v>
      </c>
      <c r="G450">
        <v>16.899999999999999</v>
      </c>
      <c r="H450" t="str">
        <f>"2016-12-11"</f>
        <v>2016-12-11</v>
      </c>
      <c r="I450" t="s">
        <v>26</v>
      </c>
      <c r="J450" t="str">
        <f>"2016-11-21"</f>
        <v>2016-11-21</v>
      </c>
      <c r="K450" t="s">
        <v>27</v>
      </c>
      <c r="L450">
        <v>2.31123389</v>
      </c>
      <c r="M450">
        <v>449</v>
      </c>
      <c r="N450" s="1">
        <v>0.32029999999999997</v>
      </c>
      <c r="O450" s="1">
        <v>0.86739999999999995</v>
      </c>
      <c r="P450" s="1">
        <v>-0.1129</v>
      </c>
      <c r="Q450" s="1">
        <v>-1.46E-2</v>
      </c>
      <c r="R450" s="1">
        <v>-2.3099999999999999E-2</v>
      </c>
      <c r="S450" s="1">
        <v>-0.1129</v>
      </c>
      <c r="T450" s="1">
        <v>-5.5899999999999998E-2</v>
      </c>
      <c r="U450" s="1">
        <v>0.1419</v>
      </c>
    </row>
    <row r="451" spans="1:21" x14ac:dyDescent="0.25">
      <c r="A451" t="s">
        <v>1042</v>
      </c>
      <c r="B451" t="s">
        <v>1043</v>
      </c>
      <c r="C451" t="s">
        <v>87</v>
      </c>
      <c r="D451" t="s">
        <v>88</v>
      </c>
      <c r="E451" t="s">
        <v>89</v>
      </c>
      <c r="F451" t="str">
        <f t="shared" si="9"/>
        <v>2018-05-20</v>
      </c>
      <c r="G451">
        <v>3.31</v>
      </c>
      <c r="H451" t="str">
        <f>"2018-05-09"</f>
        <v>2018-05-09</v>
      </c>
      <c r="I451" t="s">
        <v>27</v>
      </c>
      <c r="J451" t="str">
        <f>"2017-06-07"</f>
        <v>2017-06-07</v>
      </c>
      <c r="K451" t="s">
        <v>57</v>
      </c>
      <c r="L451">
        <v>1.4343832000000001</v>
      </c>
      <c r="M451">
        <v>450</v>
      </c>
      <c r="N451" s="1">
        <v>0.26819999999999999</v>
      </c>
      <c r="O451" s="1">
        <v>1.6063000000000001</v>
      </c>
      <c r="P451" s="1">
        <v>0</v>
      </c>
      <c r="Q451" s="1">
        <v>9.1000000000000004E-3</v>
      </c>
      <c r="R451" s="1">
        <v>0.11070000000000001</v>
      </c>
      <c r="S451" s="1">
        <v>0.77010000000000001</v>
      </c>
      <c r="T451" s="1">
        <v>0.9133</v>
      </c>
      <c r="U451" s="1">
        <v>-0.30170000000000002</v>
      </c>
    </row>
    <row r="452" spans="1:21" x14ac:dyDescent="0.25">
      <c r="A452" t="s">
        <v>1044</v>
      </c>
      <c r="B452" t="s">
        <v>1045</v>
      </c>
      <c r="C452" t="s">
        <v>87</v>
      </c>
      <c r="D452" t="s">
        <v>88</v>
      </c>
      <c r="E452" t="s">
        <v>89</v>
      </c>
      <c r="F452" t="str">
        <f t="shared" si="9"/>
        <v>2018-05-20</v>
      </c>
      <c r="G452">
        <v>7.9</v>
      </c>
      <c r="H452" t="str">
        <f>"2018-05-15"</f>
        <v>2018-05-15</v>
      </c>
      <c r="I452" t="s">
        <v>27</v>
      </c>
      <c r="J452" t="str">
        <f>"2018-02-04"</f>
        <v>2018-02-04</v>
      </c>
      <c r="K452" t="s">
        <v>57</v>
      </c>
      <c r="L452">
        <v>1.37726839</v>
      </c>
      <c r="M452">
        <v>451</v>
      </c>
      <c r="N452" s="1">
        <v>7.7000000000000002E-3</v>
      </c>
      <c r="O452" s="1">
        <v>1.2636000000000001</v>
      </c>
      <c r="P452" s="1">
        <v>0</v>
      </c>
      <c r="Q452" s="1">
        <v>4.7699999999999999E-2</v>
      </c>
      <c r="R452" s="1">
        <v>9.7199999999999995E-2</v>
      </c>
      <c r="S452" s="1">
        <v>0.35039999999999999</v>
      </c>
      <c r="T452" s="1">
        <v>0.34350000000000003</v>
      </c>
      <c r="U452" s="1">
        <v>-0.70389999999999997</v>
      </c>
    </row>
    <row r="453" spans="1:21" x14ac:dyDescent="0.25">
      <c r="A453" t="s">
        <v>1046</v>
      </c>
      <c r="B453" t="s">
        <v>1047</v>
      </c>
      <c r="C453" t="s">
        <v>43</v>
      </c>
      <c r="D453" t="s">
        <v>44</v>
      </c>
      <c r="E453" t="s">
        <v>1039</v>
      </c>
      <c r="F453" t="str">
        <f t="shared" si="9"/>
        <v>2018-05-20</v>
      </c>
      <c r="G453">
        <v>13.8</v>
      </c>
      <c r="H453" t="str">
        <f>"2018-05-13"</f>
        <v>2018-05-13</v>
      </c>
      <c r="I453" t="s">
        <v>27</v>
      </c>
      <c r="J453" t="str">
        <f>"2017-05-09"</f>
        <v>2017-05-09</v>
      </c>
      <c r="K453" t="s">
        <v>57</v>
      </c>
      <c r="L453">
        <v>1.3142076499999999</v>
      </c>
      <c r="M453">
        <v>452</v>
      </c>
      <c r="N453" s="1">
        <v>0.36770000000000003</v>
      </c>
      <c r="O453" s="1">
        <v>0.88519999999999999</v>
      </c>
      <c r="P453" s="1">
        <v>0</v>
      </c>
      <c r="Q453" s="1">
        <v>5.7999999999999996E-3</v>
      </c>
      <c r="R453" s="1">
        <v>0.3231</v>
      </c>
      <c r="S453" s="1">
        <v>0.46810000000000002</v>
      </c>
      <c r="T453" s="1">
        <v>0.57179999999999997</v>
      </c>
      <c r="U453" s="1">
        <v>-0.1439</v>
      </c>
    </row>
    <row r="454" spans="1:21" x14ac:dyDescent="0.25">
      <c r="A454" t="s">
        <v>1048</v>
      </c>
      <c r="B454" t="s">
        <v>1049</v>
      </c>
      <c r="C454" t="s">
        <v>87</v>
      </c>
      <c r="D454" t="s">
        <v>88</v>
      </c>
      <c r="E454" t="s">
        <v>89</v>
      </c>
      <c r="F454" t="str">
        <f t="shared" si="9"/>
        <v>2018-05-20</v>
      </c>
      <c r="G454">
        <v>12.24</v>
      </c>
      <c r="H454" t="str">
        <f>"2018-04-22"</f>
        <v>2018-04-22</v>
      </c>
      <c r="I454" t="s">
        <v>27</v>
      </c>
      <c r="J454" t="str">
        <f>"2018-03-19"</f>
        <v>2018-03-19</v>
      </c>
      <c r="K454" t="s">
        <v>57</v>
      </c>
      <c r="L454">
        <v>1.3109756100000001</v>
      </c>
      <c r="M454">
        <v>453</v>
      </c>
      <c r="N454" s="1">
        <v>0.19070000000000001</v>
      </c>
      <c r="O454" s="1">
        <v>0.8659</v>
      </c>
      <c r="P454" s="1">
        <v>0</v>
      </c>
      <c r="Q454" s="1">
        <v>4.3499999999999997E-2</v>
      </c>
      <c r="R454" s="1">
        <v>8.7999999999999995E-2</v>
      </c>
      <c r="S454" s="1">
        <v>0.18260000000000001</v>
      </c>
      <c r="T454" s="1">
        <v>0.33189999999999997</v>
      </c>
      <c r="U454" s="1">
        <v>0.25409999999999999</v>
      </c>
    </row>
    <row r="455" spans="1:21" x14ac:dyDescent="0.25">
      <c r="A455" t="s">
        <v>1050</v>
      </c>
      <c r="B455" t="s">
        <v>1051</v>
      </c>
      <c r="C455" t="s">
        <v>37</v>
      </c>
      <c r="D455" t="s">
        <v>38</v>
      </c>
      <c r="E455" t="s">
        <v>39</v>
      </c>
      <c r="F455" t="str">
        <f t="shared" si="9"/>
        <v>2018-05-20</v>
      </c>
      <c r="G455">
        <v>1.76</v>
      </c>
      <c r="H455" t="str">
        <f>"2018-05-14"</f>
        <v>2018-05-14</v>
      </c>
      <c r="I455" t="s">
        <v>27</v>
      </c>
      <c r="J455" t="str">
        <f>"2017-05-01"</f>
        <v>2017-05-01</v>
      </c>
      <c r="K455" t="s">
        <v>57</v>
      </c>
      <c r="L455">
        <v>1.30997922</v>
      </c>
      <c r="M455">
        <v>454</v>
      </c>
      <c r="N455" s="1">
        <v>0.13550000000000001</v>
      </c>
      <c r="O455" s="1">
        <v>0.8599</v>
      </c>
      <c r="P455" s="1">
        <v>0</v>
      </c>
      <c r="Q455" s="1">
        <v>2.92E-2</v>
      </c>
      <c r="R455" s="1">
        <v>0.13550000000000001</v>
      </c>
      <c r="S455" s="1">
        <v>0.5575</v>
      </c>
      <c r="T455" s="1">
        <v>0.67620000000000002</v>
      </c>
      <c r="U455" s="1">
        <v>-0.37369999999999998</v>
      </c>
    </row>
    <row r="456" spans="1:21" x14ac:dyDescent="0.25">
      <c r="A456" t="s">
        <v>1052</v>
      </c>
      <c r="B456" t="s">
        <v>1053</v>
      </c>
      <c r="C456" t="s">
        <v>114</v>
      </c>
      <c r="D456" t="s">
        <v>254</v>
      </c>
      <c r="E456" t="s">
        <v>255</v>
      </c>
      <c r="F456" t="str">
        <f t="shared" si="9"/>
        <v>2018-05-20</v>
      </c>
      <c r="G456">
        <v>5.9</v>
      </c>
      <c r="H456" t="str">
        <f>"2018-05-21"</f>
        <v>2018-05-21</v>
      </c>
      <c r="I456" t="s">
        <v>27</v>
      </c>
      <c r="J456" t="str">
        <f>"2017-04-17"</f>
        <v>2017-04-17</v>
      </c>
      <c r="K456" t="s">
        <v>57</v>
      </c>
      <c r="L456">
        <v>1.3224043700000001</v>
      </c>
      <c r="M456">
        <v>455</v>
      </c>
      <c r="N456" s="1">
        <v>0</v>
      </c>
      <c r="O456" s="1">
        <v>0.93440000000000001</v>
      </c>
      <c r="P456" s="1">
        <v>-0.48920000000000002</v>
      </c>
      <c r="Q456" s="1">
        <v>0.12379999999999999</v>
      </c>
      <c r="R456" s="1">
        <v>0.14560000000000001</v>
      </c>
      <c r="S456" s="1">
        <v>0.2165</v>
      </c>
      <c r="T456" s="1">
        <v>-1.67E-2</v>
      </c>
      <c r="U456" s="1">
        <v>-0.37890000000000001</v>
      </c>
    </row>
    <row r="457" spans="1:21" x14ac:dyDescent="0.25">
      <c r="A457" t="s">
        <v>1054</v>
      </c>
      <c r="B457" t="s">
        <v>1055</v>
      </c>
      <c r="C457" t="s">
        <v>23</v>
      </c>
      <c r="D457" t="s">
        <v>24</v>
      </c>
      <c r="E457" t="s">
        <v>25</v>
      </c>
      <c r="F457" t="str">
        <f t="shared" si="9"/>
        <v>2018-05-20</v>
      </c>
      <c r="G457">
        <v>34.64</v>
      </c>
      <c r="H457" t="str">
        <f>"2017-05-14"</f>
        <v>2017-05-14</v>
      </c>
      <c r="I457" t="s">
        <v>26</v>
      </c>
      <c r="J457" t="str">
        <f>"2016-04-27"</f>
        <v>2016-04-27</v>
      </c>
      <c r="K457" t="s">
        <v>34</v>
      </c>
      <c r="L457">
        <v>2.30972818</v>
      </c>
      <c r="M457">
        <v>456</v>
      </c>
      <c r="N457" s="1">
        <v>0.4415</v>
      </c>
      <c r="O457" s="1">
        <v>0.85840000000000005</v>
      </c>
      <c r="P457" s="1">
        <v>-2.4500000000000001E-2</v>
      </c>
      <c r="Q457" s="1">
        <v>-1.6999999999999999E-3</v>
      </c>
      <c r="R457" s="1">
        <v>2.7900000000000001E-2</v>
      </c>
      <c r="S457" s="1">
        <v>0.12690000000000001</v>
      </c>
      <c r="T457" s="1">
        <v>2.8999999999999998E-3</v>
      </c>
      <c r="U457" s="1">
        <v>0.45979999999999999</v>
      </c>
    </row>
    <row r="458" spans="1:21" x14ac:dyDescent="0.25">
      <c r="A458" t="s">
        <v>1056</v>
      </c>
      <c r="B458" t="s">
        <v>1057</v>
      </c>
      <c r="C458" t="s">
        <v>43</v>
      </c>
      <c r="D458" t="s">
        <v>44</v>
      </c>
      <c r="E458" t="s">
        <v>246</v>
      </c>
      <c r="F458" t="str">
        <f t="shared" si="9"/>
        <v>2018-05-20</v>
      </c>
      <c r="G458">
        <v>19.5</v>
      </c>
      <c r="H458" t="str">
        <f>"2018-05-10"</f>
        <v>2018-05-10</v>
      </c>
      <c r="I458" t="s">
        <v>26</v>
      </c>
      <c r="J458" t="str">
        <f>"2018-03-06"</f>
        <v>2018-03-06</v>
      </c>
      <c r="K458" t="s">
        <v>27</v>
      </c>
      <c r="L458">
        <v>2.30952381</v>
      </c>
      <c r="M458">
        <v>457</v>
      </c>
      <c r="N458" s="1">
        <v>7.4399999999999994E-2</v>
      </c>
      <c r="O458" s="1">
        <v>0.85709999999999997</v>
      </c>
      <c r="P458" s="1">
        <v>-7.6E-3</v>
      </c>
      <c r="Q458" s="1">
        <v>0</v>
      </c>
      <c r="R458" s="1">
        <v>3.1699999999999999E-2</v>
      </c>
      <c r="S458" s="1">
        <v>0.17119999999999999</v>
      </c>
      <c r="T458" s="1">
        <v>0.3448</v>
      </c>
      <c r="U458" s="1">
        <v>-0.16489999999999999</v>
      </c>
    </row>
    <row r="459" spans="1:21" x14ac:dyDescent="0.25">
      <c r="A459" t="s">
        <v>1058</v>
      </c>
      <c r="B459" t="s">
        <v>1059</v>
      </c>
      <c r="C459" t="s">
        <v>114</v>
      </c>
      <c r="D459" t="s">
        <v>254</v>
      </c>
      <c r="E459" t="s">
        <v>255</v>
      </c>
      <c r="F459" t="str">
        <f t="shared" si="9"/>
        <v>2018-05-20</v>
      </c>
      <c r="G459">
        <v>18.73</v>
      </c>
      <c r="H459" t="str">
        <f>"2017-05-02"</f>
        <v>2017-05-02</v>
      </c>
      <c r="I459" t="s">
        <v>26</v>
      </c>
      <c r="J459" t="str">
        <f>"2017-02-06"</f>
        <v>2017-02-06</v>
      </c>
      <c r="K459" t="s">
        <v>40</v>
      </c>
      <c r="L459">
        <v>2.3090759099999998</v>
      </c>
      <c r="M459">
        <v>458</v>
      </c>
      <c r="N459" s="1">
        <v>0.55559999999999998</v>
      </c>
      <c r="O459" s="1">
        <v>0.85450000000000004</v>
      </c>
      <c r="P459" s="1">
        <v>0</v>
      </c>
      <c r="Q459" s="1">
        <v>1.6799999999999999E-2</v>
      </c>
      <c r="R459" s="1">
        <v>4.7E-2</v>
      </c>
      <c r="S459" s="1">
        <v>0.1142</v>
      </c>
      <c r="T459" s="1">
        <v>0.1817</v>
      </c>
      <c r="U459" s="1">
        <v>0.48060000000000003</v>
      </c>
    </row>
    <row r="460" spans="1:21" x14ac:dyDescent="0.25">
      <c r="A460" t="s">
        <v>1060</v>
      </c>
      <c r="B460" t="s">
        <v>816</v>
      </c>
      <c r="C460" t="s">
        <v>109</v>
      </c>
      <c r="D460" t="s">
        <v>110</v>
      </c>
      <c r="E460" t="s">
        <v>111</v>
      </c>
      <c r="F460" t="str">
        <f>"2018-05-17"</f>
        <v>2018-05-17</v>
      </c>
      <c r="G460">
        <v>22.73</v>
      </c>
      <c r="H460" t="str">
        <f>"2017-08-03"</f>
        <v>2017-08-03</v>
      </c>
      <c r="I460" t="s">
        <v>26</v>
      </c>
      <c r="J460" t="str">
        <f>"2016-07-24"</f>
        <v>2016-07-24</v>
      </c>
      <c r="K460" t="s">
        <v>34</v>
      </c>
      <c r="L460">
        <v>2.3082451900000001</v>
      </c>
      <c r="M460">
        <v>459</v>
      </c>
      <c r="N460" s="1">
        <v>0.1716</v>
      </c>
      <c r="O460" s="1">
        <v>0.84950000000000003</v>
      </c>
      <c r="P460" s="1">
        <v>-4.5400000000000003E-2</v>
      </c>
      <c r="Q460" s="1">
        <v>4.0000000000000002E-4</v>
      </c>
      <c r="R460" s="1">
        <v>8.9999999999999998E-4</v>
      </c>
      <c r="S460" s="1">
        <v>4.0000000000000001E-3</v>
      </c>
      <c r="T460" s="1">
        <v>0.12690000000000001</v>
      </c>
      <c r="U460" s="1">
        <v>0.3347</v>
      </c>
    </row>
    <row r="461" spans="1:21" x14ac:dyDescent="0.25">
      <c r="A461" t="s">
        <v>1061</v>
      </c>
      <c r="B461" t="s">
        <v>1062</v>
      </c>
      <c r="C461" t="s">
        <v>87</v>
      </c>
      <c r="D461" t="s">
        <v>144</v>
      </c>
      <c r="E461" t="s">
        <v>145</v>
      </c>
      <c r="F461" t="str">
        <f t="shared" ref="F461:F524" si="10">"2018-05-20"</f>
        <v>2018-05-20</v>
      </c>
      <c r="G461">
        <v>16.7</v>
      </c>
      <c r="H461" t="str">
        <f>"2017-11-20"</f>
        <v>2017-11-20</v>
      </c>
      <c r="I461" t="s">
        <v>26</v>
      </c>
      <c r="J461" t="str">
        <f>"2017-10-05"</f>
        <v>2017-10-05</v>
      </c>
      <c r="K461" t="s">
        <v>27</v>
      </c>
      <c r="L461">
        <v>2.3078908600000001</v>
      </c>
      <c r="M461">
        <v>460</v>
      </c>
      <c r="N461" s="1">
        <v>0.2243</v>
      </c>
      <c r="O461" s="1">
        <v>0.84730000000000005</v>
      </c>
      <c r="P461" s="1">
        <v>-2.9100000000000001E-2</v>
      </c>
      <c r="Q461" s="1">
        <v>-5.9999999999999995E-4</v>
      </c>
      <c r="R461" s="1">
        <v>3.73E-2</v>
      </c>
      <c r="S461" s="1">
        <v>9.9400000000000002E-2</v>
      </c>
      <c r="T461" s="1">
        <v>0.22789999999999999</v>
      </c>
      <c r="U461" s="1">
        <v>0.19539999999999999</v>
      </c>
    </row>
    <row r="462" spans="1:21" x14ac:dyDescent="0.25">
      <c r="A462" t="s">
        <v>1063</v>
      </c>
      <c r="B462" t="s">
        <v>1064</v>
      </c>
      <c r="C462" t="s">
        <v>109</v>
      </c>
      <c r="D462" t="s">
        <v>110</v>
      </c>
      <c r="E462" t="s">
        <v>111</v>
      </c>
      <c r="F462" t="str">
        <f t="shared" si="10"/>
        <v>2018-05-20</v>
      </c>
      <c r="G462">
        <v>126.37</v>
      </c>
      <c r="H462" t="str">
        <f>"2017-01-24"</f>
        <v>2017-01-24</v>
      </c>
      <c r="I462" t="s">
        <v>26</v>
      </c>
      <c r="J462" t="str">
        <f>"2016-10-16"</f>
        <v>2016-10-16</v>
      </c>
      <c r="K462" t="s">
        <v>57</v>
      </c>
      <c r="L462">
        <v>2.3078740899999999</v>
      </c>
      <c r="M462">
        <v>461</v>
      </c>
      <c r="N462" s="1">
        <v>0.63880000000000003</v>
      </c>
      <c r="O462" s="1">
        <v>0.84719999999999995</v>
      </c>
      <c r="P462" s="1">
        <v>-3.2599999999999997E-2</v>
      </c>
      <c r="Q462" s="1">
        <v>-4.5999999999999999E-3</v>
      </c>
      <c r="R462" s="1">
        <v>-1.03E-2</v>
      </c>
      <c r="S462" s="1">
        <v>3.6799999999999999E-2</v>
      </c>
      <c r="T462" s="1">
        <v>8.3299999999999999E-2</v>
      </c>
      <c r="U462" s="1">
        <v>0.42080000000000001</v>
      </c>
    </row>
    <row r="463" spans="1:21" x14ac:dyDescent="0.25">
      <c r="A463" t="s">
        <v>1065</v>
      </c>
      <c r="B463" t="s">
        <v>1066</v>
      </c>
      <c r="C463" t="s">
        <v>37</v>
      </c>
      <c r="D463" t="s">
        <v>38</v>
      </c>
      <c r="E463" t="s">
        <v>97</v>
      </c>
      <c r="F463" t="str">
        <f t="shared" si="10"/>
        <v>2018-05-20</v>
      </c>
      <c r="G463">
        <v>6.89</v>
      </c>
      <c r="H463" t="str">
        <f>"2018-04-17"</f>
        <v>2018-04-17</v>
      </c>
      <c r="I463" t="s">
        <v>26</v>
      </c>
      <c r="J463" t="str">
        <f>"2017-09-14"</f>
        <v>2017-09-14</v>
      </c>
      <c r="K463" t="s">
        <v>57</v>
      </c>
      <c r="L463">
        <v>2.3078641599999998</v>
      </c>
      <c r="M463">
        <v>462</v>
      </c>
      <c r="N463" s="1">
        <v>7.8200000000000006E-2</v>
      </c>
      <c r="O463" s="1">
        <v>0.84719999999999995</v>
      </c>
      <c r="P463" s="1">
        <v>-3.5000000000000003E-2</v>
      </c>
      <c r="Q463" s="1">
        <v>-5.7999999999999996E-3</v>
      </c>
      <c r="R463" s="1">
        <v>1.03E-2</v>
      </c>
      <c r="S463" s="1">
        <v>7.9899999999999999E-2</v>
      </c>
      <c r="T463" s="1">
        <v>0.3276</v>
      </c>
      <c r="U463" s="1">
        <v>-0.31709999999999999</v>
      </c>
    </row>
    <row r="464" spans="1:21" x14ac:dyDescent="0.25">
      <c r="A464" t="s">
        <v>1067</v>
      </c>
      <c r="B464" t="s">
        <v>1068</v>
      </c>
      <c r="C464" t="s">
        <v>37</v>
      </c>
      <c r="D464" t="s">
        <v>38</v>
      </c>
      <c r="E464" t="s">
        <v>39</v>
      </c>
      <c r="F464" t="str">
        <f t="shared" si="10"/>
        <v>2018-05-20</v>
      </c>
      <c r="G464">
        <v>185.36</v>
      </c>
      <c r="H464" t="str">
        <f>"2017-04-25"</f>
        <v>2017-04-25</v>
      </c>
      <c r="I464" t="s">
        <v>26</v>
      </c>
      <c r="J464" t="str">
        <f>"2017-02-22"</f>
        <v>2017-02-22</v>
      </c>
      <c r="K464" t="s">
        <v>57</v>
      </c>
      <c r="L464">
        <v>2.3077638299999998</v>
      </c>
      <c r="M464">
        <v>463</v>
      </c>
      <c r="N464" s="1">
        <v>0.70209999999999995</v>
      </c>
      <c r="O464" s="1">
        <v>0.84660000000000002</v>
      </c>
      <c r="P464" s="1">
        <v>-4.9399999999999999E-2</v>
      </c>
      <c r="Q464" s="1">
        <v>-4.9399999999999999E-2</v>
      </c>
      <c r="R464" s="1">
        <v>2.2499999999999999E-2</v>
      </c>
      <c r="S464" s="1">
        <v>0.1085</v>
      </c>
      <c r="T464" s="1">
        <v>0.2145</v>
      </c>
      <c r="U464" s="1">
        <v>0.63400000000000001</v>
      </c>
    </row>
    <row r="465" spans="1:21" x14ac:dyDescent="0.25">
      <c r="A465" t="s">
        <v>1069</v>
      </c>
      <c r="B465" t="s">
        <v>1070</v>
      </c>
      <c r="C465" t="s">
        <v>30</v>
      </c>
      <c r="D465" t="s">
        <v>48</v>
      </c>
      <c r="E465" t="s">
        <v>485</v>
      </c>
      <c r="F465" t="str">
        <f t="shared" si="10"/>
        <v>2018-05-20</v>
      </c>
      <c r="G465">
        <v>3.77</v>
      </c>
      <c r="H465" t="str">
        <f>"2017-04-26"</f>
        <v>2017-04-26</v>
      </c>
      <c r="I465" t="s">
        <v>26</v>
      </c>
      <c r="J465" t="str">
        <f>"2017-04-04"</f>
        <v>2017-04-04</v>
      </c>
      <c r="K465" t="s">
        <v>27</v>
      </c>
      <c r="L465">
        <v>2.3065040699999999</v>
      </c>
      <c r="M465">
        <v>464</v>
      </c>
      <c r="N465" s="1">
        <v>0.4612</v>
      </c>
      <c r="O465" s="1">
        <v>0.83899999999999997</v>
      </c>
      <c r="P465" s="1">
        <v>-1.0500000000000001E-2</v>
      </c>
      <c r="Q465" s="1">
        <v>-2.5999999999999999E-3</v>
      </c>
      <c r="R465" s="1">
        <v>1.34E-2</v>
      </c>
      <c r="S465" s="1">
        <v>8.9599999999999999E-2</v>
      </c>
      <c r="T465" s="1">
        <v>0.11210000000000001</v>
      </c>
      <c r="U465" s="1">
        <v>0.69820000000000004</v>
      </c>
    </row>
    <row r="466" spans="1:21" x14ac:dyDescent="0.25">
      <c r="A466" t="s">
        <v>1071</v>
      </c>
      <c r="B466" t="s">
        <v>1072</v>
      </c>
      <c r="C466" t="s">
        <v>30</v>
      </c>
      <c r="D466" t="s">
        <v>31</v>
      </c>
      <c r="E466" t="s">
        <v>31</v>
      </c>
      <c r="F466" t="str">
        <f t="shared" si="10"/>
        <v>2018-05-20</v>
      </c>
      <c r="G466">
        <v>36.29</v>
      </c>
      <c r="H466" t="str">
        <f>"2015-10-27"</f>
        <v>2015-10-27</v>
      </c>
      <c r="I466" t="s">
        <v>26</v>
      </c>
      <c r="J466" t="str">
        <f>"2015-09-09"</f>
        <v>2015-09-09</v>
      </c>
      <c r="K466" t="s">
        <v>40</v>
      </c>
      <c r="L466">
        <v>2.30608974</v>
      </c>
      <c r="M466">
        <v>465</v>
      </c>
      <c r="N466" s="1">
        <v>0.68869999999999998</v>
      </c>
      <c r="O466" s="1">
        <v>0.83650000000000002</v>
      </c>
      <c r="P466" s="1">
        <v>-0.05</v>
      </c>
      <c r="Q466" s="1">
        <v>1.11E-2</v>
      </c>
      <c r="R466" s="1">
        <v>3.1600000000000003E-2</v>
      </c>
      <c r="S466" s="1">
        <v>1.4800000000000001E-2</v>
      </c>
      <c r="T466" s="1">
        <v>5.7099999999999998E-2</v>
      </c>
      <c r="U466" s="1">
        <v>0.1484</v>
      </c>
    </row>
    <row r="467" spans="1:21" x14ac:dyDescent="0.25">
      <c r="A467" t="s">
        <v>1073</v>
      </c>
      <c r="B467" t="s">
        <v>1074</v>
      </c>
      <c r="C467" t="s">
        <v>100</v>
      </c>
      <c r="D467" t="s">
        <v>1034</v>
      </c>
      <c r="E467" t="s">
        <v>1035</v>
      </c>
      <c r="F467" t="str">
        <f t="shared" si="10"/>
        <v>2018-05-20</v>
      </c>
      <c r="G467">
        <v>42.23</v>
      </c>
      <c r="H467" t="str">
        <f>"2018-04-18"</f>
        <v>2018-04-18</v>
      </c>
      <c r="I467" t="s">
        <v>26</v>
      </c>
      <c r="J467" t="str">
        <f>"2017-04-03"</f>
        <v>2017-04-03</v>
      </c>
      <c r="K467" t="s">
        <v>34</v>
      </c>
      <c r="L467">
        <v>2.3058814999999999</v>
      </c>
      <c r="M467">
        <v>466</v>
      </c>
      <c r="N467" s="1">
        <v>0.13250000000000001</v>
      </c>
      <c r="O467" s="1">
        <v>0.83530000000000004</v>
      </c>
      <c r="P467" s="1">
        <v>0</v>
      </c>
      <c r="Q467" s="1">
        <v>1.4200000000000001E-2</v>
      </c>
      <c r="R467" s="1">
        <v>5.79E-2</v>
      </c>
      <c r="S467" s="1">
        <v>0.10349999999999999</v>
      </c>
      <c r="T467" s="1">
        <v>2.0799999999999999E-2</v>
      </c>
      <c r="U467" s="1">
        <v>0.81320000000000003</v>
      </c>
    </row>
    <row r="468" spans="1:21" x14ac:dyDescent="0.25">
      <c r="A468" t="s">
        <v>1075</v>
      </c>
      <c r="B468" t="s">
        <v>1076</v>
      </c>
      <c r="C468" t="s">
        <v>30</v>
      </c>
      <c r="D468" t="s">
        <v>48</v>
      </c>
      <c r="E468" t="s">
        <v>49</v>
      </c>
      <c r="F468" t="str">
        <f t="shared" si="10"/>
        <v>2018-05-20</v>
      </c>
      <c r="G468">
        <v>74.349999999999994</v>
      </c>
      <c r="H468" t="str">
        <f>"2017-10-09"</f>
        <v>2017-10-09</v>
      </c>
      <c r="I468" t="s">
        <v>26</v>
      </c>
      <c r="J468" t="str">
        <f>"2017-08-20"</f>
        <v>2017-08-20</v>
      </c>
      <c r="K468" t="s">
        <v>40</v>
      </c>
      <c r="L468">
        <v>2.30521346</v>
      </c>
      <c r="M468">
        <v>467</v>
      </c>
      <c r="N468" s="1">
        <v>0.44790000000000002</v>
      </c>
      <c r="O468" s="1">
        <v>0.83130000000000004</v>
      </c>
      <c r="P468" s="1">
        <v>0</v>
      </c>
      <c r="Q468" s="1">
        <v>8.5000000000000006E-3</v>
      </c>
      <c r="R468" s="1">
        <v>4.9399999999999999E-2</v>
      </c>
      <c r="S468" s="1">
        <v>0.1211</v>
      </c>
      <c r="T468" s="1">
        <v>0.35210000000000002</v>
      </c>
      <c r="U468" s="1">
        <v>0.66410000000000002</v>
      </c>
    </row>
    <row r="469" spans="1:21" x14ac:dyDescent="0.25">
      <c r="A469" t="s">
        <v>1077</v>
      </c>
      <c r="B469" t="s">
        <v>1078</v>
      </c>
      <c r="C469" t="s">
        <v>43</v>
      </c>
      <c r="D469" t="s">
        <v>44</v>
      </c>
      <c r="E469" t="s">
        <v>45</v>
      </c>
      <c r="F469" t="str">
        <f t="shared" si="10"/>
        <v>2018-05-20</v>
      </c>
      <c r="G469">
        <v>88.33</v>
      </c>
      <c r="H469" t="str">
        <f>"2017-10-18"</f>
        <v>2017-10-18</v>
      </c>
      <c r="I469" t="s">
        <v>26</v>
      </c>
      <c r="J469" t="str">
        <f>"2017-08-09"</f>
        <v>2017-08-09</v>
      </c>
      <c r="K469" t="s">
        <v>40</v>
      </c>
      <c r="L469">
        <v>2.3049858400000001</v>
      </c>
      <c r="M469">
        <v>468</v>
      </c>
      <c r="N469" s="1">
        <v>0.48930000000000001</v>
      </c>
      <c r="O469" s="1">
        <v>0.82989999999999997</v>
      </c>
      <c r="P469" s="1">
        <v>-7.7999999999999996E-3</v>
      </c>
      <c r="Q469" s="1">
        <v>1.72E-2</v>
      </c>
      <c r="R469" s="1">
        <v>5.0299999999999997E-2</v>
      </c>
      <c r="S469" s="1">
        <v>8.8000000000000005E-3</v>
      </c>
      <c r="T469" s="1">
        <v>0.25929999999999997</v>
      </c>
      <c r="U469" s="1">
        <v>0.54020000000000001</v>
      </c>
    </row>
    <row r="470" spans="1:21" x14ac:dyDescent="0.25">
      <c r="A470" t="s">
        <v>1079</v>
      </c>
      <c r="B470" t="s">
        <v>1080</v>
      </c>
      <c r="C470" t="s">
        <v>37</v>
      </c>
      <c r="D470" t="s">
        <v>38</v>
      </c>
      <c r="E470" t="s">
        <v>39</v>
      </c>
      <c r="F470" t="str">
        <f t="shared" si="10"/>
        <v>2018-05-20</v>
      </c>
      <c r="G470">
        <v>15.25</v>
      </c>
      <c r="H470" t="str">
        <f>"2018-05-13"</f>
        <v>2018-05-13</v>
      </c>
      <c r="I470" t="s">
        <v>26</v>
      </c>
      <c r="J470" t="str">
        <f>"2018-05-07"</f>
        <v>2018-05-07</v>
      </c>
      <c r="K470" t="s">
        <v>27</v>
      </c>
      <c r="L470">
        <v>2.3043912199999999</v>
      </c>
      <c r="M470">
        <v>469</v>
      </c>
      <c r="N470" s="1">
        <v>-7.5800000000000006E-2</v>
      </c>
      <c r="O470" s="1">
        <v>0.82630000000000003</v>
      </c>
      <c r="P470" s="1">
        <v>-8.9599999999999999E-2</v>
      </c>
      <c r="Q470" s="1">
        <v>-1.61E-2</v>
      </c>
      <c r="R470" s="1">
        <v>-8.9599999999999999E-2</v>
      </c>
      <c r="S470" s="1">
        <v>0.29239999999999999</v>
      </c>
      <c r="T470" s="1">
        <v>0.48780000000000001</v>
      </c>
      <c r="U470" s="1">
        <v>-0.27729999999999999</v>
      </c>
    </row>
    <row r="471" spans="1:21" x14ac:dyDescent="0.25">
      <c r="A471" t="s">
        <v>1081</v>
      </c>
      <c r="B471" t="s">
        <v>1082</v>
      </c>
      <c r="C471" t="s">
        <v>109</v>
      </c>
      <c r="D471" t="s">
        <v>110</v>
      </c>
      <c r="E471" t="s">
        <v>111</v>
      </c>
      <c r="F471" t="str">
        <f t="shared" si="10"/>
        <v>2018-05-20</v>
      </c>
      <c r="G471">
        <v>16.190000000000001</v>
      </c>
      <c r="H471" t="str">
        <f>"2017-11-08"</f>
        <v>2017-11-08</v>
      </c>
      <c r="I471" t="s">
        <v>26</v>
      </c>
      <c r="J471" t="str">
        <f>"2017-08-27"</f>
        <v>2017-08-27</v>
      </c>
      <c r="K471" t="s">
        <v>40</v>
      </c>
      <c r="L471">
        <v>2.3035245600000001</v>
      </c>
      <c r="M471">
        <v>470</v>
      </c>
      <c r="N471" s="1">
        <v>0.50600000000000001</v>
      </c>
      <c r="O471" s="1">
        <v>0.82110000000000005</v>
      </c>
      <c r="P471" s="1">
        <v>-9.1999999999999998E-3</v>
      </c>
      <c r="Q471" s="1">
        <v>-9.1999999999999998E-3</v>
      </c>
      <c r="R471" s="1">
        <v>6.3700000000000007E-2</v>
      </c>
      <c r="S471" s="1">
        <v>0.17749999999999999</v>
      </c>
      <c r="T471" s="1">
        <v>0.14169999999999999</v>
      </c>
      <c r="U471" s="1">
        <v>0.40910000000000002</v>
      </c>
    </row>
    <row r="472" spans="1:21" x14ac:dyDescent="0.25">
      <c r="A472" t="s">
        <v>1083</v>
      </c>
      <c r="B472" t="s">
        <v>1084</v>
      </c>
      <c r="C472" t="s">
        <v>30</v>
      </c>
      <c r="D472" t="s">
        <v>77</v>
      </c>
      <c r="E472" t="s">
        <v>1008</v>
      </c>
      <c r="F472" t="str">
        <f t="shared" si="10"/>
        <v>2018-05-20</v>
      </c>
      <c r="G472">
        <v>57.35</v>
      </c>
      <c r="H472" t="str">
        <f>"2016-11-13"</f>
        <v>2016-11-13</v>
      </c>
      <c r="I472" t="s">
        <v>26</v>
      </c>
      <c r="J472" t="str">
        <f>"2016-11-10"</f>
        <v>2016-11-10</v>
      </c>
      <c r="K472" t="s">
        <v>27</v>
      </c>
      <c r="L472">
        <v>2.30343915</v>
      </c>
      <c r="M472">
        <v>471</v>
      </c>
      <c r="N472" s="1">
        <v>0.43380000000000002</v>
      </c>
      <c r="O472" s="1">
        <v>0.8206</v>
      </c>
      <c r="P472" s="1">
        <v>-3.2899999999999999E-2</v>
      </c>
      <c r="Q472" s="1">
        <v>-8.9999999999999998E-4</v>
      </c>
      <c r="R472" s="1">
        <v>7.9000000000000008E-3</v>
      </c>
      <c r="S472" s="1">
        <v>-1.29E-2</v>
      </c>
      <c r="T472" s="1">
        <v>7.4999999999999997E-2</v>
      </c>
      <c r="U472" s="1">
        <v>0.34</v>
      </c>
    </row>
    <row r="473" spans="1:21" x14ac:dyDescent="0.25">
      <c r="A473" t="s">
        <v>1085</v>
      </c>
      <c r="B473" t="s">
        <v>1086</v>
      </c>
      <c r="C473" t="s">
        <v>30</v>
      </c>
      <c r="D473" t="s">
        <v>299</v>
      </c>
      <c r="E473" t="s">
        <v>1087</v>
      </c>
      <c r="F473" t="str">
        <f t="shared" si="10"/>
        <v>2018-05-20</v>
      </c>
      <c r="G473">
        <v>37.56</v>
      </c>
      <c r="H473" t="str">
        <f>"2016-03-17"</f>
        <v>2016-03-17</v>
      </c>
      <c r="I473" t="s">
        <v>26</v>
      </c>
      <c r="J473" t="str">
        <f>"2016-02-14"</f>
        <v>2016-02-14</v>
      </c>
      <c r="K473" t="s">
        <v>40</v>
      </c>
      <c r="L473">
        <v>2.3028543799999999</v>
      </c>
      <c r="M473">
        <v>472</v>
      </c>
      <c r="N473" s="1">
        <v>0.57750000000000001</v>
      </c>
      <c r="O473" s="1">
        <v>0.81710000000000005</v>
      </c>
      <c r="P473" s="1">
        <v>-3.6900000000000002E-2</v>
      </c>
      <c r="Q473" s="1">
        <v>5.5999999999999999E-3</v>
      </c>
      <c r="R473" s="1">
        <v>-1.11E-2</v>
      </c>
      <c r="S473" s="1">
        <v>7.4700000000000003E-2</v>
      </c>
      <c r="T473" s="1">
        <v>0.10440000000000001</v>
      </c>
      <c r="U473" s="1">
        <v>0.17449999999999999</v>
      </c>
    </row>
    <row r="474" spans="1:21" x14ac:dyDescent="0.25">
      <c r="A474" t="s">
        <v>1088</v>
      </c>
      <c r="B474" t="s">
        <v>1089</v>
      </c>
      <c r="C474" t="s">
        <v>109</v>
      </c>
      <c r="D474" t="s">
        <v>110</v>
      </c>
      <c r="E474" t="s">
        <v>111</v>
      </c>
      <c r="F474" t="str">
        <f t="shared" si="10"/>
        <v>2018-05-20</v>
      </c>
      <c r="G474">
        <v>20.05</v>
      </c>
      <c r="H474" t="str">
        <f>"2018-01-22"</f>
        <v>2018-01-22</v>
      </c>
      <c r="I474" t="s">
        <v>26</v>
      </c>
      <c r="J474" t="str">
        <f>"2016-11-08"</f>
        <v>2016-11-08</v>
      </c>
      <c r="K474" t="s">
        <v>57</v>
      </c>
      <c r="L474">
        <v>2.3024132700000002</v>
      </c>
      <c r="M474">
        <v>473</v>
      </c>
      <c r="N474" s="1">
        <v>0.39240000000000003</v>
      </c>
      <c r="O474" s="1">
        <v>0.8145</v>
      </c>
      <c r="P474" s="1">
        <v>-3.61E-2</v>
      </c>
      <c r="Q474" s="1">
        <v>2.5000000000000001E-3</v>
      </c>
      <c r="R474" s="1">
        <v>-1.47E-2</v>
      </c>
      <c r="S474" s="1">
        <v>0.32340000000000002</v>
      </c>
      <c r="T474" s="1">
        <v>0.62350000000000005</v>
      </c>
      <c r="U474" s="1">
        <v>0.40699999999999997</v>
      </c>
    </row>
    <row r="475" spans="1:21" x14ac:dyDescent="0.25">
      <c r="A475" t="s">
        <v>1090</v>
      </c>
      <c r="B475" t="s">
        <v>1091</v>
      </c>
      <c r="C475" t="s">
        <v>37</v>
      </c>
      <c r="D475" t="s">
        <v>38</v>
      </c>
      <c r="E475" t="s">
        <v>39</v>
      </c>
      <c r="F475" t="str">
        <f t="shared" si="10"/>
        <v>2018-05-20</v>
      </c>
      <c r="G475">
        <v>29.55</v>
      </c>
      <c r="H475" t="str">
        <f>"2017-10-16"</f>
        <v>2017-10-16</v>
      </c>
      <c r="I475" t="s">
        <v>26</v>
      </c>
      <c r="J475" t="str">
        <f>"2017-10-15"</f>
        <v>2017-10-15</v>
      </c>
      <c r="K475" t="s">
        <v>40</v>
      </c>
      <c r="L475">
        <v>2.30214724</v>
      </c>
      <c r="M475">
        <v>474</v>
      </c>
      <c r="N475" s="1">
        <v>0.67420000000000002</v>
      </c>
      <c r="O475" s="1">
        <v>0.81289999999999996</v>
      </c>
      <c r="P475" s="1">
        <v>-1.4999999999999999E-2</v>
      </c>
      <c r="Q475" s="1">
        <v>8.5000000000000006E-3</v>
      </c>
      <c r="R475" s="1">
        <v>-1.4999999999999999E-2</v>
      </c>
      <c r="S475" s="1">
        <v>0.17960000000000001</v>
      </c>
      <c r="T475" s="1">
        <v>0.42749999999999999</v>
      </c>
      <c r="U475" s="1">
        <v>1.5042</v>
      </c>
    </row>
    <row r="476" spans="1:21" x14ac:dyDescent="0.25">
      <c r="A476" t="s">
        <v>1092</v>
      </c>
      <c r="B476" t="s">
        <v>1093</v>
      </c>
      <c r="C476" t="s">
        <v>114</v>
      </c>
      <c r="D476" t="s">
        <v>225</v>
      </c>
      <c r="E476" t="s">
        <v>355</v>
      </c>
      <c r="F476" t="str">
        <f t="shared" si="10"/>
        <v>2018-05-20</v>
      </c>
      <c r="G476">
        <v>51.7</v>
      </c>
      <c r="H476" t="str">
        <f>"2016-08-21"</f>
        <v>2016-08-21</v>
      </c>
      <c r="I476" t="s">
        <v>26</v>
      </c>
      <c r="J476" t="str">
        <f>"2016-03-07"</f>
        <v>2016-03-07</v>
      </c>
      <c r="K476" t="s">
        <v>27</v>
      </c>
      <c r="L476">
        <v>2.3018096899999998</v>
      </c>
      <c r="M476">
        <v>475</v>
      </c>
      <c r="N476" s="1">
        <v>0.4153</v>
      </c>
      <c r="O476" s="1">
        <v>0.81089999999999995</v>
      </c>
      <c r="P476" s="1">
        <v>0</v>
      </c>
      <c r="Q476" s="1">
        <v>1.67E-2</v>
      </c>
      <c r="R476" s="1">
        <v>5.2999999999999999E-2</v>
      </c>
      <c r="S476" s="1">
        <v>0.1142</v>
      </c>
      <c r="T476" s="1">
        <v>0.16969999999999999</v>
      </c>
      <c r="U476" s="1">
        <v>0.38240000000000002</v>
      </c>
    </row>
    <row r="477" spans="1:21" x14ac:dyDescent="0.25">
      <c r="A477" t="s">
        <v>1094</v>
      </c>
      <c r="B477" t="s">
        <v>1095</v>
      </c>
      <c r="C477" t="s">
        <v>30</v>
      </c>
      <c r="D477" t="s">
        <v>31</v>
      </c>
      <c r="E477" t="s">
        <v>31</v>
      </c>
      <c r="F477" t="str">
        <f t="shared" si="10"/>
        <v>2018-05-20</v>
      </c>
      <c r="G477">
        <v>14.3</v>
      </c>
      <c r="H477" t="str">
        <f>"2018-02-15"</f>
        <v>2018-02-15</v>
      </c>
      <c r="I477" t="s">
        <v>26</v>
      </c>
      <c r="J477" t="str">
        <f>"2018-01-25"</f>
        <v>2018-01-25</v>
      </c>
      <c r="K477" t="s">
        <v>27</v>
      </c>
      <c r="L477">
        <v>2.3016877600000001</v>
      </c>
      <c r="M477">
        <v>476</v>
      </c>
      <c r="N477" s="1">
        <v>0.3</v>
      </c>
      <c r="O477" s="1">
        <v>0.81010000000000004</v>
      </c>
      <c r="P477" s="1">
        <v>0</v>
      </c>
      <c r="Q477" s="1">
        <v>3.5000000000000001E-3</v>
      </c>
      <c r="R477" s="1">
        <v>5.5399999999999998E-2</v>
      </c>
      <c r="S477" s="1">
        <v>0.126</v>
      </c>
      <c r="T477" s="1">
        <v>0.26550000000000001</v>
      </c>
      <c r="U477" s="1">
        <v>0.45179999999999998</v>
      </c>
    </row>
    <row r="478" spans="1:21" x14ac:dyDescent="0.25">
      <c r="A478" t="s">
        <v>1096</v>
      </c>
      <c r="B478" t="s">
        <v>1097</v>
      </c>
      <c r="C478" t="s">
        <v>30</v>
      </c>
      <c r="D478" t="s">
        <v>31</v>
      </c>
      <c r="E478" t="s">
        <v>31</v>
      </c>
      <c r="F478" t="str">
        <f t="shared" si="10"/>
        <v>2018-05-20</v>
      </c>
      <c r="G478">
        <v>45.67</v>
      </c>
      <c r="H478" t="str">
        <f>"2015-08-30"</f>
        <v>2015-08-30</v>
      </c>
      <c r="I478" t="s">
        <v>26</v>
      </c>
      <c r="J478" t="str">
        <f>"2015-07-07"</f>
        <v>2015-07-07</v>
      </c>
      <c r="K478" t="s">
        <v>40</v>
      </c>
      <c r="L478">
        <v>2.3013328</v>
      </c>
      <c r="M478">
        <v>477</v>
      </c>
      <c r="N478" s="1">
        <v>0.70199999999999996</v>
      </c>
      <c r="O478" s="1">
        <v>0.80800000000000005</v>
      </c>
      <c r="P478" s="1">
        <v>-2.8299999999999999E-2</v>
      </c>
      <c r="Q478" s="1">
        <v>6.4000000000000003E-3</v>
      </c>
      <c r="R478" s="1">
        <v>4.1300000000000003E-2</v>
      </c>
      <c r="S478" s="1">
        <v>2.2200000000000001E-2</v>
      </c>
      <c r="T478" s="1">
        <v>5.8599999999999999E-2</v>
      </c>
      <c r="U478" s="1">
        <v>0.1191</v>
      </c>
    </row>
    <row r="479" spans="1:21" x14ac:dyDescent="0.25">
      <c r="A479" t="s">
        <v>1098</v>
      </c>
      <c r="B479" t="s">
        <v>1099</v>
      </c>
      <c r="C479" t="s">
        <v>87</v>
      </c>
      <c r="D479" t="s">
        <v>144</v>
      </c>
      <c r="E479" t="s">
        <v>145</v>
      </c>
      <c r="F479" t="str">
        <f t="shared" si="10"/>
        <v>2018-05-20</v>
      </c>
      <c r="G479">
        <v>37.950000000000003</v>
      </c>
      <c r="H479" t="str">
        <f>"2018-01-18"</f>
        <v>2018-01-18</v>
      </c>
      <c r="I479" t="s">
        <v>26</v>
      </c>
      <c r="J479" t="str">
        <f>"2017-12-18"</f>
        <v>2017-12-18</v>
      </c>
      <c r="K479" t="s">
        <v>27</v>
      </c>
      <c r="L479">
        <v>2.3011904799999998</v>
      </c>
      <c r="M479">
        <v>478</v>
      </c>
      <c r="N479" s="1">
        <v>0.16950000000000001</v>
      </c>
      <c r="O479" s="1">
        <v>0.80710000000000004</v>
      </c>
      <c r="P479" s="1">
        <v>-1.2999999999999999E-3</v>
      </c>
      <c r="Q479" s="1">
        <v>0</v>
      </c>
      <c r="R479" s="1">
        <v>4.6899999999999997E-2</v>
      </c>
      <c r="S479" s="1">
        <v>0.157</v>
      </c>
      <c r="T479" s="1">
        <v>0.42670000000000002</v>
      </c>
      <c r="U479" s="1">
        <v>0.2402</v>
      </c>
    </row>
    <row r="480" spans="1:21" x14ac:dyDescent="0.25">
      <c r="A480" t="s">
        <v>1100</v>
      </c>
      <c r="B480" t="s">
        <v>1101</v>
      </c>
      <c r="C480" t="s">
        <v>30</v>
      </c>
      <c r="D480" t="s">
        <v>31</v>
      </c>
      <c r="E480" t="s">
        <v>31</v>
      </c>
      <c r="F480" t="str">
        <f t="shared" si="10"/>
        <v>2018-05-20</v>
      </c>
      <c r="G480">
        <v>37.450000000000003</v>
      </c>
      <c r="H480" t="str">
        <f>"2015-07-01"</f>
        <v>2015-07-01</v>
      </c>
      <c r="I480" t="s">
        <v>26</v>
      </c>
      <c r="J480" t="str">
        <f>"2015-04-27"</f>
        <v>2015-04-27</v>
      </c>
      <c r="K480" t="s">
        <v>40</v>
      </c>
      <c r="L480">
        <v>2.3010934199999999</v>
      </c>
      <c r="M480">
        <v>479</v>
      </c>
      <c r="N480" s="1">
        <v>0.55720000000000003</v>
      </c>
      <c r="O480" s="1">
        <v>0.80659999999999998</v>
      </c>
      <c r="P480" s="1">
        <v>-7.1900000000000006E-2</v>
      </c>
      <c r="Q480" s="1">
        <v>-1.2999999999999999E-3</v>
      </c>
      <c r="R480" s="1">
        <v>3.1699999999999999E-2</v>
      </c>
      <c r="S480" s="1">
        <v>-5.3E-3</v>
      </c>
      <c r="T480" s="1">
        <v>3.5999999999999997E-2</v>
      </c>
      <c r="U480" s="1">
        <v>0.128</v>
      </c>
    </row>
    <row r="481" spans="1:21" x14ac:dyDescent="0.25">
      <c r="A481" t="s">
        <v>1102</v>
      </c>
      <c r="B481" t="s">
        <v>1103</v>
      </c>
      <c r="C481" t="s">
        <v>30</v>
      </c>
      <c r="D481" t="s">
        <v>31</v>
      </c>
      <c r="E481" t="s">
        <v>31</v>
      </c>
      <c r="F481" t="str">
        <f t="shared" si="10"/>
        <v>2018-05-20</v>
      </c>
      <c r="G481">
        <v>31.54</v>
      </c>
      <c r="H481" t="str">
        <f>"2016-08-21"</f>
        <v>2016-08-21</v>
      </c>
      <c r="I481" t="s">
        <v>26</v>
      </c>
      <c r="J481" t="str">
        <f>"2016-07-25"</f>
        <v>2016-07-25</v>
      </c>
      <c r="K481" t="s">
        <v>27</v>
      </c>
      <c r="L481">
        <v>2.3010691099999998</v>
      </c>
      <c r="M481">
        <v>480</v>
      </c>
      <c r="N481" s="1">
        <v>0.64270000000000005</v>
      </c>
      <c r="O481" s="1">
        <v>0.80640000000000001</v>
      </c>
      <c r="P481" s="1">
        <v>-9.6500000000000002E-2</v>
      </c>
      <c r="Q481" s="1">
        <v>8.3000000000000001E-3</v>
      </c>
      <c r="R481" s="1">
        <v>4.6800000000000001E-2</v>
      </c>
      <c r="S481" s="1">
        <v>6.0199999999999997E-2</v>
      </c>
      <c r="T481" s="1">
        <v>2.8000000000000001E-2</v>
      </c>
      <c r="U481" s="1">
        <v>0.21310000000000001</v>
      </c>
    </row>
    <row r="482" spans="1:21" x14ac:dyDescent="0.25">
      <c r="A482" t="s">
        <v>1104</v>
      </c>
      <c r="B482" t="s">
        <v>1105</v>
      </c>
      <c r="C482" t="s">
        <v>30</v>
      </c>
      <c r="D482" t="s">
        <v>31</v>
      </c>
      <c r="E482" t="s">
        <v>31</v>
      </c>
      <c r="F482" t="str">
        <f t="shared" si="10"/>
        <v>2018-05-20</v>
      </c>
      <c r="G482">
        <v>49.55</v>
      </c>
      <c r="H482" t="str">
        <f>"2016-11-22"</f>
        <v>2016-11-22</v>
      </c>
      <c r="I482" t="s">
        <v>26</v>
      </c>
      <c r="J482" t="str">
        <f>"2016-09-08"</f>
        <v>2016-09-08</v>
      </c>
      <c r="K482" t="s">
        <v>40</v>
      </c>
      <c r="L482">
        <v>2.3006309900000002</v>
      </c>
      <c r="M482">
        <v>481</v>
      </c>
      <c r="N482" s="1">
        <v>0.53879999999999995</v>
      </c>
      <c r="O482" s="1">
        <v>0.80379999999999996</v>
      </c>
      <c r="P482" s="1">
        <v>-8.7499999999999994E-2</v>
      </c>
      <c r="Q482" s="1">
        <v>9.1999999999999998E-3</v>
      </c>
      <c r="R482" s="1">
        <v>3.9E-2</v>
      </c>
      <c r="S482" s="1">
        <v>6.0100000000000001E-2</v>
      </c>
      <c r="T482" s="1">
        <v>0.1313</v>
      </c>
      <c r="U482" s="1">
        <v>0.27250000000000002</v>
      </c>
    </row>
    <row r="483" spans="1:21" x14ac:dyDescent="0.25">
      <c r="A483" t="s">
        <v>1106</v>
      </c>
      <c r="B483" t="s">
        <v>1107</v>
      </c>
      <c r="C483" t="s">
        <v>43</v>
      </c>
      <c r="D483" t="s">
        <v>150</v>
      </c>
      <c r="E483" t="s">
        <v>151</v>
      </c>
      <c r="F483" t="str">
        <f t="shared" si="10"/>
        <v>2018-05-20</v>
      </c>
      <c r="G483">
        <v>57.2</v>
      </c>
      <c r="H483" t="str">
        <f>"2017-06-20"</f>
        <v>2017-06-20</v>
      </c>
      <c r="I483" t="s">
        <v>26</v>
      </c>
      <c r="J483" t="str">
        <f>"2017-03-26"</f>
        <v>2017-03-26</v>
      </c>
      <c r="K483" t="s">
        <v>40</v>
      </c>
      <c r="L483">
        <v>2.2997903599999998</v>
      </c>
      <c r="M483">
        <v>482</v>
      </c>
      <c r="N483" s="1">
        <v>0.54390000000000005</v>
      </c>
      <c r="O483" s="1">
        <v>0.79869999999999997</v>
      </c>
      <c r="P483" s="1">
        <v>0</v>
      </c>
      <c r="Q483" s="1">
        <v>1.15E-2</v>
      </c>
      <c r="R483" s="1">
        <v>4.19E-2</v>
      </c>
      <c r="S483" s="1">
        <v>5.8299999999999998E-2</v>
      </c>
      <c r="T483" s="1">
        <v>8.5400000000000004E-2</v>
      </c>
      <c r="U483" s="1">
        <v>0.64600000000000002</v>
      </c>
    </row>
    <row r="484" spans="1:21" x14ac:dyDescent="0.25">
      <c r="A484" t="s">
        <v>1108</v>
      </c>
      <c r="B484" t="s">
        <v>1109</v>
      </c>
      <c r="C484" t="s">
        <v>43</v>
      </c>
      <c r="D484" t="s">
        <v>150</v>
      </c>
      <c r="E484" t="s">
        <v>151</v>
      </c>
      <c r="F484" t="str">
        <f t="shared" si="10"/>
        <v>2018-05-20</v>
      </c>
      <c r="G484">
        <v>18.45</v>
      </c>
      <c r="H484" t="str">
        <f>"2017-05-17"</f>
        <v>2017-05-17</v>
      </c>
      <c r="I484" t="s">
        <v>26</v>
      </c>
      <c r="J484" t="str">
        <f>"2017-04-10"</f>
        <v>2017-04-10</v>
      </c>
      <c r="K484" t="s">
        <v>27</v>
      </c>
      <c r="L484">
        <v>2.29941577</v>
      </c>
      <c r="M484">
        <v>483</v>
      </c>
      <c r="N484" s="1">
        <v>0.59189999999999998</v>
      </c>
      <c r="O484" s="1">
        <v>0.79649999999999999</v>
      </c>
      <c r="P484" s="1">
        <v>-3.61E-2</v>
      </c>
      <c r="Q484" s="1">
        <v>5.0000000000000001E-4</v>
      </c>
      <c r="R484" s="1">
        <v>3.8E-3</v>
      </c>
      <c r="S484" s="1">
        <v>7.1000000000000004E-3</v>
      </c>
      <c r="T484" s="1">
        <v>3.8E-3</v>
      </c>
      <c r="U484" s="1">
        <v>0.50980000000000003</v>
      </c>
    </row>
    <row r="485" spans="1:21" x14ac:dyDescent="0.25">
      <c r="A485" t="s">
        <v>1110</v>
      </c>
      <c r="B485" t="s">
        <v>1111</v>
      </c>
      <c r="C485" t="s">
        <v>30</v>
      </c>
      <c r="D485" t="s">
        <v>31</v>
      </c>
      <c r="E485" t="s">
        <v>31</v>
      </c>
      <c r="F485" t="str">
        <f t="shared" si="10"/>
        <v>2018-05-20</v>
      </c>
      <c r="G485">
        <v>33.32</v>
      </c>
      <c r="H485" t="str">
        <f>"2016-07-10"</f>
        <v>2016-07-10</v>
      </c>
      <c r="I485" t="s">
        <v>26</v>
      </c>
      <c r="J485" t="str">
        <f>"2016-04-24"</f>
        <v>2016-04-24</v>
      </c>
      <c r="K485" t="s">
        <v>27</v>
      </c>
      <c r="L485">
        <v>2.29920977</v>
      </c>
      <c r="M485">
        <v>484</v>
      </c>
      <c r="N485" s="1">
        <v>0.56730000000000003</v>
      </c>
      <c r="O485" s="1">
        <v>0.79530000000000001</v>
      </c>
      <c r="P485" s="1">
        <v>-1.2999999999999999E-2</v>
      </c>
      <c r="Q485" s="1">
        <v>-5.9999999999999995E-4</v>
      </c>
      <c r="R485" s="1">
        <v>-8.6E-3</v>
      </c>
      <c r="S485" s="1">
        <v>3.7999999999999999E-2</v>
      </c>
      <c r="T485" s="1">
        <v>0.1048</v>
      </c>
      <c r="U485" s="1">
        <v>0.30559999999999998</v>
      </c>
    </row>
    <row r="486" spans="1:21" x14ac:dyDescent="0.25">
      <c r="A486" t="s">
        <v>1112</v>
      </c>
      <c r="B486" t="s">
        <v>1113</v>
      </c>
      <c r="C486" t="s">
        <v>30</v>
      </c>
      <c r="D486" t="s">
        <v>31</v>
      </c>
      <c r="E486" t="s">
        <v>31</v>
      </c>
      <c r="F486" t="str">
        <f t="shared" si="10"/>
        <v>2018-05-20</v>
      </c>
      <c r="G486">
        <v>30.89</v>
      </c>
      <c r="H486" t="str">
        <f>"2016-07-12"</f>
        <v>2016-07-12</v>
      </c>
      <c r="I486" t="s">
        <v>26</v>
      </c>
      <c r="J486" t="str">
        <f>"2016-07-11"</f>
        <v>2016-07-11</v>
      </c>
      <c r="K486" t="s">
        <v>27</v>
      </c>
      <c r="L486">
        <v>2.2989740599999999</v>
      </c>
      <c r="M486">
        <v>485</v>
      </c>
      <c r="N486" s="1">
        <v>0.67879999999999996</v>
      </c>
      <c r="O486" s="1">
        <v>0.79379999999999995</v>
      </c>
      <c r="P486" s="1">
        <v>-3.5000000000000001E-3</v>
      </c>
      <c r="Q486" s="1">
        <v>5.8999999999999999E-3</v>
      </c>
      <c r="R486" s="1">
        <v>5.6800000000000003E-2</v>
      </c>
      <c r="S486" s="1">
        <v>5.2499999999999998E-2</v>
      </c>
      <c r="T486" s="1">
        <v>0.1124</v>
      </c>
      <c r="U486" s="1">
        <v>0.40410000000000001</v>
      </c>
    </row>
    <row r="487" spans="1:21" x14ac:dyDescent="0.25">
      <c r="A487" t="s">
        <v>1114</v>
      </c>
      <c r="B487" t="s">
        <v>1115</v>
      </c>
      <c r="C487" t="s">
        <v>87</v>
      </c>
      <c r="D487" t="s">
        <v>664</v>
      </c>
      <c r="E487" t="s">
        <v>1116</v>
      </c>
      <c r="F487" t="str">
        <f t="shared" si="10"/>
        <v>2018-05-20</v>
      </c>
      <c r="G487">
        <v>17.55</v>
      </c>
      <c r="H487" t="str">
        <f>"2018-03-18"</f>
        <v>2018-03-18</v>
      </c>
      <c r="I487" t="s">
        <v>26</v>
      </c>
      <c r="J487" t="str">
        <f>"2018-01-23"</f>
        <v>2018-01-23</v>
      </c>
      <c r="K487" t="s">
        <v>40</v>
      </c>
      <c r="L487">
        <v>2.2984693900000002</v>
      </c>
      <c r="M487">
        <v>486</v>
      </c>
      <c r="N487" s="1">
        <v>0.45639999999999997</v>
      </c>
      <c r="O487" s="1">
        <v>0.79079999999999995</v>
      </c>
      <c r="P487" s="1">
        <v>0</v>
      </c>
      <c r="Q487" s="1">
        <v>3.5400000000000001E-2</v>
      </c>
      <c r="R487" s="1">
        <v>0.1623</v>
      </c>
      <c r="S487" s="1">
        <v>0.35</v>
      </c>
      <c r="T487" s="1">
        <v>0.56000000000000005</v>
      </c>
      <c r="U487" s="1">
        <v>0.54630000000000001</v>
      </c>
    </row>
    <row r="488" spans="1:21" x14ac:dyDescent="0.25">
      <c r="A488" t="s">
        <v>1117</v>
      </c>
      <c r="B488" t="s">
        <v>1118</v>
      </c>
      <c r="C488" t="s">
        <v>30</v>
      </c>
      <c r="D488" t="s">
        <v>299</v>
      </c>
      <c r="E488" t="s">
        <v>1087</v>
      </c>
      <c r="F488" t="str">
        <f t="shared" si="10"/>
        <v>2018-05-20</v>
      </c>
      <c r="G488">
        <v>90.43</v>
      </c>
      <c r="H488" t="str">
        <f>"2016-03-30"</f>
        <v>2016-03-30</v>
      </c>
      <c r="I488" t="s">
        <v>26</v>
      </c>
      <c r="J488" t="str">
        <f>"2016-03-02"</f>
        <v>2016-03-02</v>
      </c>
      <c r="K488" t="s">
        <v>27</v>
      </c>
      <c r="L488">
        <v>2.2973888499999999</v>
      </c>
      <c r="M488">
        <v>487</v>
      </c>
      <c r="N488" s="1">
        <v>0.51880000000000004</v>
      </c>
      <c r="O488" s="1">
        <v>0.7843</v>
      </c>
      <c r="P488" s="1">
        <v>-4.7800000000000002E-2</v>
      </c>
      <c r="Q488" s="1">
        <v>9.9000000000000008E-3</v>
      </c>
      <c r="R488" s="1">
        <v>-1.4500000000000001E-2</v>
      </c>
      <c r="S488" s="1">
        <v>6.2E-2</v>
      </c>
      <c r="T488" s="1">
        <v>0.1028</v>
      </c>
      <c r="U488" s="1">
        <v>0.1207</v>
      </c>
    </row>
    <row r="489" spans="1:21" x14ac:dyDescent="0.25">
      <c r="A489" t="s">
        <v>1119</v>
      </c>
      <c r="B489" t="s">
        <v>1120</v>
      </c>
      <c r="C489" t="s">
        <v>87</v>
      </c>
      <c r="D489" t="s">
        <v>144</v>
      </c>
      <c r="E489" t="s">
        <v>145</v>
      </c>
      <c r="F489" t="str">
        <f t="shared" si="10"/>
        <v>2018-05-20</v>
      </c>
      <c r="G489">
        <v>34.74</v>
      </c>
      <c r="H489" t="str">
        <f>"2017-12-19"</f>
        <v>2017-12-19</v>
      </c>
      <c r="I489" t="s">
        <v>26</v>
      </c>
      <c r="J489" t="str">
        <f>"2017-11-21"</f>
        <v>2017-11-21</v>
      </c>
      <c r="K489" t="s">
        <v>27</v>
      </c>
      <c r="L489">
        <v>2.29692308</v>
      </c>
      <c r="M489">
        <v>488</v>
      </c>
      <c r="N489" s="1">
        <v>0.20580000000000001</v>
      </c>
      <c r="O489" s="1">
        <v>0.78149999999999997</v>
      </c>
      <c r="P489" s="1">
        <v>0</v>
      </c>
      <c r="Q489" s="1">
        <v>1.4E-2</v>
      </c>
      <c r="R489" s="1">
        <v>4.07E-2</v>
      </c>
      <c r="S489" s="1">
        <v>9.4500000000000001E-2</v>
      </c>
      <c r="T489" s="1">
        <v>0.25509999999999999</v>
      </c>
      <c r="U489" s="1">
        <v>0.2447</v>
      </c>
    </row>
    <row r="490" spans="1:21" x14ac:dyDescent="0.25">
      <c r="A490" t="s">
        <v>1121</v>
      </c>
      <c r="B490" t="s">
        <v>1122</v>
      </c>
      <c r="C490" t="s">
        <v>43</v>
      </c>
      <c r="D490" t="s">
        <v>169</v>
      </c>
      <c r="E490" t="s">
        <v>904</v>
      </c>
      <c r="F490" t="str">
        <f t="shared" si="10"/>
        <v>2018-05-20</v>
      </c>
      <c r="G490">
        <v>17.78</v>
      </c>
      <c r="H490" t="str">
        <f>"2018-01-04"</f>
        <v>2018-01-04</v>
      </c>
      <c r="I490" t="s">
        <v>26</v>
      </c>
      <c r="J490" t="str">
        <f>"2017-11-14"</f>
        <v>2017-11-14</v>
      </c>
      <c r="K490" t="s">
        <v>40</v>
      </c>
      <c r="L490">
        <v>2.2966299600000002</v>
      </c>
      <c r="M490">
        <v>489</v>
      </c>
      <c r="N490" s="1">
        <v>0.26910000000000001</v>
      </c>
      <c r="O490" s="1">
        <v>0.77980000000000005</v>
      </c>
      <c r="P490" s="1">
        <v>-1.3299999999999999E-2</v>
      </c>
      <c r="Q490" s="1">
        <v>4.0000000000000001E-3</v>
      </c>
      <c r="R490" s="1">
        <v>-7.7999999999999996E-3</v>
      </c>
      <c r="S490" s="1">
        <v>6.2100000000000002E-2</v>
      </c>
      <c r="T490" s="1">
        <v>0.29310000000000003</v>
      </c>
      <c r="U490" s="1">
        <v>0.73460000000000003</v>
      </c>
    </row>
    <row r="491" spans="1:21" x14ac:dyDescent="0.25">
      <c r="A491" t="s">
        <v>1123</v>
      </c>
      <c r="B491" t="s">
        <v>1124</v>
      </c>
      <c r="C491" t="s">
        <v>23</v>
      </c>
      <c r="D491" t="s">
        <v>52</v>
      </c>
      <c r="E491" t="s">
        <v>53</v>
      </c>
      <c r="F491" t="str">
        <f t="shared" si="10"/>
        <v>2018-05-20</v>
      </c>
      <c r="G491">
        <v>54.7</v>
      </c>
      <c r="H491" t="str">
        <f>"2017-06-28"</f>
        <v>2017-06-28</v>
      </c>
      <c r="I491" t="s">
        <v>26</v>
      </c>
      <c r="J491" t="str">
        <f>"2017-02-22"</f>
        <v>2017-02-22</v>
      </c>
      <c r="K491" t="s">
        <v>40</v>
      </c>
      <c r="L491">
        <v>2.2940860199999999</v>
      </c>
      <c r="M491">
        <v>490</v>
      </c>
      <c r="N491" s="1">
        <v>0.39360000000000001</v>
      </c>
      <c r="O491" s="1">
        <v>0.76449999999999996</v>
      </c>
      <c r="P491" s="1">
        <v>-0.01</v>
      </c>
      <c r="Q491" s="1">
        <v>1.8E-3</v>
      </c>
      <c r="R491" s="1">
        <v>1.5800000000000002E-2</v>
      </c>
      <c r="S491" s="1">
        <v>4.3900000000000002E-2</v>
      </c>
      <c r="T491" s="1">
        <v>9.0700000000000003E-2</v>
      </c>
      <c r="U491" s="1">
        <v>0.55400000000000005</v>
      </c>
    </row>
    <row r="492" spans="1:21" x14ac:dyDescent="0.25">
      <c r="A492" t="s">
        <v>1125</v>
      </c>
      <c r="B492" t="s">
        <v>1126</v>
      </c>
      <c r="C492" t="s">
        <v>43</v>
      </c>
      <c r="D492" t="s">
        <v>44</v>
      </c>
      <c r="E492" t="s">
        <v>320</v>
      </c>
      <c r="F492" t="str">
        <f t="shared" si="10"/>
        <v>2018-05-20</v>
      </c>
      <c r="G492">
        <v>28.6</v>
      </c>
      <c r="H492" t="str">
        <f>"2018-04-29"</f>
        <v>2018-04-29</v>
      </c>
      <c r="I492" t="s">
        <v>26</v>
      </c>
      <c r="J492" t="str">
        <f>"2018-02-01"</f>
        <v>2018-02-01</v>
      </c>
      <c r="K492" t="s">
        <v>27</v>
      </c>
      <c r="L492">
        <v>2.2931529300000002</v>
      </c>
      <c r="M492">
        <v>491</v>
      </c>
      <c r="N492" s="1">
        <v>9.8299999999999998E-2</v>
      </c>
      <c r="O492" s="1">
        <v>0.75890000000000002</v>
      </c>
      <c r="P492" s="1">
        <v>-9.2600000000000002E-2</v>
      </c>
      <c r="Q492" s="1">
        <v>-4.4999999999999997E-3</v>
      </c>
      <c r="R492" s="1">
        <v>-2.8899999999999999E-2</v>
      </c>
      <c r="S492" s="1">
        <v>0.122</v>
      </c>
      <c r="T492" s="1">
        <v>0.20419999999999999</v>
      </c>
      <c r="U492" s="1">
        <v>-0.1578</v>
      </c>
    </row>
    <row r="493" spans="1:21" x14ac:dyDescent="0.25">
      <c r="A493" t="s">
        <v>1127</v>
      </c>
      <c r="B493" t="s">
        <v>1128</v>
      </c>
      <c r="C493" t="s">
        <v>87</v>
      </c>
      <c r="D493" t="s">
        <v>88</v>
      </c>
      <c r="E493" t="s">
        <v>89</v>
      </c>
      <c r="F493" t="str">
        <f t="shared" si="10"/>
        <v>2018-05-20</v>
      </c>
      <c r="G493">
        <v>65.319999999999993</v>
      </c>
      <c r="H493" t="str">
        <f>"2018-01-02"</f>
        <v>2018-01-02</v>
      </c>
      <c r="I493" t="s">
        <v>26</v>
      </c>
      <c r="J493" t="str">
        <f>"2017-10-02"</f>
        <v>2017-10-02</v>
      </c>
      <c r="K493" t="s">
        <v>27</v>
      </c>
      <c r="L493">
        <v>2.2926523300000001</v>
      </c>
      <c r="M493">
        <v>492</v>
      </c>
      <c r="N493" s="1">
        <v>0.23599999999999999</v>
      </c>
      <c r="O493" s="1">
        <v>0.75590000000000002</v>
      </c>
      <c r="P493" s="1">
        <v>0</v>
      </c>
      <c r="Q493" s="1">
        <v>2.4500000000000001E-2</v>
      </c>
      <c r="R493" s="1">
        <v>9.1200000000000003E-2</v>
      </c>
      <c r="S493" s="1">
        <v>0.14979999999999999</v>
      </c>
      <c r="T493" s="1">
        <v>0.19409999999999999</v>
      </c>
      <c r="U493" s="1">
        <v>0.21229999999999999</v>
      </c>
    </row>
    <row r="494" spans="1:21" x14ac:dyDescent="0.25">
      <c r="A494" t="s">
        <v>1129</v>
      </c>
      <c r="B494" t="s">
        <v>1130</v>
      </c>
      <c r="C494" t="s">
        <v>100</v>
      </c>
      <c r="D494" t="s">
        <v>199</v>
      </c>
      <c r="E494" t="s">
        <v>1131</v>
      </c>
      <c r="F494" t="str">
        <f t="shared" si="10"/>
        <v>2018-05-20</v>
      </c>
      <c r="G494">
        <v>44.15</v>
      </c>
      <c r="H494" t="str">
        <f>"2017-10-05"</f>
        <v>2017-10-05</v>
      </c>
      <c r="I494" t="s">
        <v>26</v>
      </c>
      <c r="J494" t="str">
        <f>"2017-04-13"</f>
        <v>2017-04-13</v>
      </c>
      <c r="K494" t="s">
        <v>40</v>
      </c>
      <c r="L494">
        <v>2.2925778700000001</v>
      </c>
      <c r="M494">
        <v>493</v>
      </c>
      <c r="N494" s="1">
        <v>0.19969999999999999</v>
      </c>
      <c r="O494" s="1">
        <v>0.75549999999999995</v>
      </c>
      <c r="P494" s="1">
        <v>-3.3999999999999998E-3</v>
      </c>
      <c r="Q494" s="1">
        <v>-3.3999999999999998E-3</v>
      </c>
      <c r="R494" s="1">
        <v>6.7999999999999996E-3</v>
      </c>
      <c r="S494" s="1">
        <v>2.0799999999999999E-2</v>
      </c>
      <c r="T494" s="1">
        <v>6.7999999999999996E-3</v>
      </c>
      <c r="U494" s="1">
        <v>0.51719999999999999</v>
      </c>
    </row>
    <row r="495" spans="1:21" x14ac:dyDescent="0.25">
      <c r="A495" t="s">
        <v>1132</v>
      </c>
      <c r="B495" t="s">
        <v>1133</v>
      </c>
      <c r="C495" t="s">
        <v>43</v>
      </c>
      <c r="D495" t="s">
        <v>169</v>
      </c>
      <c r="E495" t="s">
        <v>641</v>
      </c>
      <c r="F495" t="str">
        <f t="shared" si="10"/>
        <v>2018-05-20</v>
      </c>
      <c r="G495">
        <v>11.05</v>
      </c>
      <c r="H495" t="str">
        <f>"2018-03-19"</f>
        <v>2018-03-19</v>
      </c>
      <c r="I495" t="s">
        <v>26</v>
      </c>
      <c r="J495" t="str">
        <f>"2018-02-14"</f>
        <v>2018-02-14</v>
      </c>
      <c r="K495" t="s">
        <v>27</v>
      </c>
      <c r="L495">
        <v>2.2923280400000001</v>
      </c>
      <c r="M495">
        <v>494</v>
      </c>
      <c r="N495" s="1">
        <v>9.9500000000000005E-2</v>
      </c>
      <c r="O495" s="1">
        <v>0.754</v>
      </c>
      <c r="P495" s="1">
        <v>0</v>
      </c>
      <c r="Q495" s="1">
        <v>4.2500000000000003E-2</v>
      </c>
      <c r="R495" s="1">
        <v>5.2400000000000002E-2</v>
      </c>
      <c r="S495" s="1">
        <v>1.38E-2</v>
      </c>
      <c r="T495" s="1">
        <v>0.24859999999999999</v>
      </c>
      <c r="U495" s="1">
        <v>0.1946</v>
      </c>
    </row>
    <row r="496" spans="1:21" x14ac:dyDescent="0.25">
      <c r="A496" t="s">
        <v>1134</v>
      </c>
      <c r="B496" t="s">
        <v>1135</v>
      </c>
      <c r="C496" t="s">
        <v>37</v>
      </c>
      <c r="D496" t="s">
        <v>66</v>
      </c>
      <c r="E496" t="s">
        <v>67</v>
      </c>
      <c r="F496" t="str">
        <f t="shared" si="10"/>
        <v>2018-05-20</v>
      </c>
      <c r="G496">
        <v>103.95</v>
      </c>
      <c r="H496" t="str">
        <f>"2017-06-20"</f>
        <v>2017-06-20</v>
      </c>
      <c r="I496" t="s">
        <v>26</v>
      </c>
      <c r="J496" t="str">
        <f>"2017-05-28"</f>
        <v>2017-05-28</v>
      </c>
      <c r="K496" t="s">
        <v>27</v>
      </c>
      <c r="L496">
        <v>2.2921585200000001</v>
      </c>
      <c r="M496">
        <v>495</v>
      </c>
      <c r="N496" s="1">
        <v>0.44069999999999998</v>
      </c>
      <c r="O496" s="1">
        <v>0.753</v>
      </c>
      <c r="P496" s="1">
        <v>-4.3299999999999998E-2</v>
      </c>
      <c r="Q496" s="1">
        <v>-5.0000000000000001E-4</v>
      </c>
      <c r="R496" s="1">
        <v>3.2800000000000003E-2</v>
      </c>
      <c r="S496" s="1">
        <v>-4.3299999999999998E-2</v>
      </c>
      <c r="T496" s="1">
        <v>0.15049999999999999</v>
      </c>
      <c r="U496" s="1">
        <v>0.62419999999999998</v>
      </c>
    </row>
    <row r="497" spans="1:21" x14ac:dyDescent="0.25">
      <c r="A497" t="s">
        <v>1136</v>
      </c>
      <c r="B497" t="s">
        <v>1137</v>
      </c>
      <c r="C497" t="s">
        <v>30</v>
      </c>
      <c r="D497" t="s">
        <v>347</v>
      </c>
      <c r="E497" t="s">
        <v>523</v>
      </c>
      <c r="F497" t="str">
        <f t="shared" si="10"/>
        <v>2018-05-20</v>
      </c>
      <c r="G497">
        <v>35.5</v>
      </c>
      <c r="H497" t="str">
        <f>"2017-12-07"</f>
        <v>2017-12-07</v>
      </c>
      <c r="I497" t="s">
        <v>26</v>
      </c>
      <c r="J497" t="str">
        <f>"2017-10-18"</f>
        <v>2017-10-18</v>
      </c>
      <c r="K497" t="s">
        <v>27</v>
      </c>
      <c r="L497">
        <v>2.2900326799999999</v>
      </c>
      <c r="M497">
        <v>496</v>
      </c>
      <c r="N497" s="1">
        <v>0.38129999999999997</v>
      </c>
      <c r="O497" s="1">
        <v>0.74019999999999997</v>
      </c>
      <c r="P497" s="1">
        <v>0</v>
      </c>
      <c r="Q497" s="1">
        <v>1.5699999999999999E-2</v>
      </c>
      <c r="R497" s="1">
        <v>3.6499999999999998E-2</v>
      </c>
      <c r="S497" s="1">
        <v>9.4E-2</v>
      </c>
      <c r="T497" s="1">
        <v>0.1545</v>
      </c>
      <c r="U497" s="1">
        <v>0.43719999999999998</v>
      </c>
    </row>
    <row r="498" spans="1:21" x14ac:dyDescent="0.25">
      <c r="A498" t="s">
        <v>1138</v>
      </c>
      <c r="B498" t="s">
        <v>1139</v>
      </c>
      <c r="C498" t="s">
        <v>43</v>
      </c>
      <c r="D498" t="s">
        <v>169</v>
      </c>
      <c r="E498" t="s">
        <v>170</v>
      </c>
      <c r="F498" t="str">
        <f t="shared" si="10"/>
        <v>2018-05-20</v>
      </c>
      <c r="G498">
        <v>38.950000000000003</v>
      </c>
      <c r="H498" t="str">
        <f>"2016-11-30"</f>
        <v>2016-11-30</v>
      </c>
      <c r="I498" t="s">
        <v>26</v>
      </c>
      <c r="J498" t="str">
        <f>"2016-11-13"</f>
        <v>2016-11-13</v>
      </c>
      <c r="K498" t="s">
        <v>27</v>
      </c>
      <c r="L498">
        <v>2.2898065500000002</v>
      </c>
      <c r="M498">
        <v>497</v>
      </c>
      <c r="N498" s="1">
        <v>0.43990000000000001</v>
      </c>
      <c r="O498" s="1">
        <v>0.73880000000000001</v>
      </c>
      <c r="P498" s="1">
        <v>-9.2100000000000001E-2</v>
      </c>
      <c r="Q498" s="1">
        <v>2.64E-2</v>
      </c>
      <c r="R498" s="1">
        <v>4.8500000000000001E-2</v>
      </c>
      <c r="S498" s="1">
        <v>8.6499999999999994E-2</v>
      </c>
      <c r="T498" s="1">
        <v>5.1999999999999998E-3</v>
      </c>
      <c r="U498" s="1">
        <v>0.47820000000000001</v>
      </c>
    </row>
    <row r="499" spans="1:21" x14ac:dyDescent="0.25">
      <c r="A499" t="s">
        <v>1140</v>
      </c>
      <c r="B499" t="s">
        <v>1141</v>
      </c>
      <c r="C499" t="s">
        <v>37</v>
      </c>
      <c r="D499" t="s">
        <v>66</v>
      </c>
      <c r="E499" t="s">
        <v>94</v>
      </c>
      <c r="F499" t="str">
        <f t="shared" si="10"/>
        <v>2018-05-20</v>
      </c>
      <c r="G499">
        <v>86.47</v>
      </c>
      <c r="H499" t="str">
        <f>"2017-05-10"</f>
        <v>2017-05-10</v>
      </c>
      <c r="I499" t="s">
        <v>26</v>
      </c>
      <c r="J499" t="str">
        <f>"2017-05-02"</f>
        <v>2017-05-02</v>
      </c>
      <c r="K499" t="s">
        <v>27</v>
      </c>
      <c r="L499">
        <v>2.2894490200000002</v>
      </c>
      <c r="M499">
        <v>498</v>
      </c>
      <c r="N499" s="1">
        <v>0.26860000000000001</v>
      </c>
      <c r="O499" s="1">
        <v>0.73670000000000002</v>
      </c>
      <c r="P499" s="1">
        <v>-7.7899999999999997E-2</v>
      </c>
      <c r="Q499" s="1">
        <v>-1.29E-2</v>
      </c>
      <c r="R499" s="1">
        <v>1.67E-2</v>
      </c>
      <c r="S499" s="1">
        <v>1.3599999999999999E-2</v>
      </c>
      <c r="T499" s="1">
        <v>0.16850000000000001</v>
      </c>
      <c r="U499" s="1">
        <v>0.29370000000000002</v>
      </c>
    </row>
    <row r="500" spans="1:21" x14ac:dyDescent="0.25">
      <c r="A500" t="s">
        <v>1142</v>
      </c>
      <c r="B500" t="s">
        <v>1143</v>
      </c>
      <c r="C500" t="s">
        <v>30</v>
      </c>
      <c r="D500" t="s">
        <v>31</v>
      </c>
      <c r="E500" t="s">
        <v>31</v>
      </c>
      <c r="F500" t="str">
        <f t="shared" si="10"/>
        <v>2018-05-20</v>
      </c>
      <c r="G500">
        <v>17.55</v>
      </c>
      <c r="H500" t="str">
        <f>"2015-10-28"</f>
        <v>2015-10-28</v>
      </c>
      <c r="I500" t="s">
        <v>26</v>
      </c>
      <c r="J500" t="str">
        <f>"2015-09-29"</f>
        <v>2015-09-29</v>
      </c>
      <c r="K500" t="s">
        <v>40</v>
      </c>
      <c r="L500">
        <v>2.2890316199999998</v>
      </c>
      <c r="M500">
        <v>499</v>
      </c>
      <c r="N500" s="1">
        <v>0.50509999999999999</v>
      </c>
      <c r="O500" s="1">
        <v>0.73419999999999996</v>
      </c>
      <c r="P500" s="1">
        <v>-5.7000000000000002E-3</v>
      </c>
      <c r="Q500" s="1">
        <v>8.6E-3</v>
      </c>
      <c r="R500" s="1">
        <v>3.2399999999999998E-2</v>
      </c>
      <c r="S500" s="1">
        <v>6.2E-2</v>
      </c>
      <c r="T500" s="1">
        <v>7.3400000000000007E-2</v>
      </c>
      <c r="U500" s="1">
        <v>0.2626</v>
      </c>
    </row>
    <row r="501" spans="1:21" x14ac:dyDescent="0.25">
      <c r="A501" t="s">
        <v>1144</v>
      </c>
      <c r="B501" t="s">
        <v>1145</v>
      </c>
      <c r="C501" t="s">
        <v>43</v>
      </c>
      <c r="D501" t="s">
        <v>44</v>
      </c>
      <c r="E501" t="s">
        <v>320</v>
      </c>
      <c r="F501" t="str">
        <f t="shared" si="10"/>
        <v>2018-05-20</v>
      </c>
      <c r="G501">
        <v>58.04</v>
      </c>
      <c r="H501" t="str">
        <f>"2017-05-21"</f>
        <v>2017-05-21</v>
      </c>
      <c r="I501" t="s">
        <v>26</v>
      </c>
      <c r="J501" t="str">
        <f>"2017-02-07"</f>
        <v>2017-02-07</v>
      </c>
      <c r="K501" t="s">
        <v>40</v>
      </c>
      <c r="L501">
        <v>2.2883258799999999</v>
      </c>
      <c r="M501">
        <v>500</v>
      </c>
      <c r="N501" s="1">
        <v>0.32119999999999999</v>
      </c>
      <c r="O501" s="1">
        <v>0.73</v>
      </c>
      <c r="P501" s="1">
        <v>-1.04E-2</v>
      </c>
      <c r="Q501" s="1">
        <v>-1.04E-2</v>
      </c>
      <c r="R501" s="1">
        <v>5.9499999999999997E-2</v>
      </c>
      <c r="S501" s="1">
        <v>8.1600000000000006E-2</v>
      </c>
      <c r="T501" s="1">
        <v>0.2268</v>
      </c>
      <c r="U501" s="1">
        <v>0.31909999999999999</v>
      </c>
    </row>
    <row r="502" spans="1:21" x14ac:dyDescent="0.25">
      <c r="A502" t="s">
        <v>1146</v>
      </c>
      <c r="B502" t="s">
        <v>1147</v>
      </c>
      <c r="C502" t="s">
        <v>37</v>
      </c>
      <c r="D502" t="s">
        <v>66</v>
      </c>
      <c r="E502" t="s">
        <v>72</v>
      </c>
      <c r="F502" t="str">
        <f t="shared" si="10"/>
        <v>2018-05-20</v>
      </c>
      <c r="G502">
        <v>128.84</v>
      </c>
      <c r="H502" t="str">
        <f>"2017-08-31"</f>
        <v>2017-08-31</v>
      </c>
      <c r="I502" t="s">
        <v>26</v>
      </c>
      <c r="J502" t="str">
        <f>"2017-08-14"</f>
        <v>2017-08-14</v>
      </c>
      <c r="K502" t="s">
        <v>40</v>
      </c>
      <c r="L502">
        <v>2.2881553100000001</v>
      </c>
      <c r="M502">
        <v>501</v>
      </c>
      <c r="N502" s="1">
        <v>0.5857</v>
      </c>
      <c r="O502" s="1">
        <v>0.72889999999999999</v>
      </c>
      <c r="P502" s="1">
        <v>0</v>
      </c>
      <c r="Q502" s="1">
        <v>5.7000000000000002E-3</v>
      </c>
      <c r="R502" s="1">
        <v>3.5099999999999999E-2</v>
      </c>
      <c r="S502" s="1">
        <v>0.11360000000000001</v>
      </c>
      <c r="T502" s="1">
        <v>9.98E-2</v>
      </c>
      <c r="U502" s="1">
        <v>0.77270000000000005</v>
      </c>
    </row>
    <row r="503" spans="1:21" x14ac:dyDescent="0.25">
      <c r="A503" t="s">
        <v>1148</v>
      </c>
      <c r="B503" t="s">
        <v>1149</v>
      </c>
      <c r="C503" t="s">
        <v>30</v>
      </c>
      <c r="D503" t="s">
        <v>31</v>
      </c>
      <c r="E503" t="s">
        <v>31</v>
      </c>
      <c r="F503" t="str">
        <f t="shared" si="10"/>
        <v>2018-05-20</v>
      </c>
      <c r="G503">
        <v>76.3</v>
      </c>
      <c r="H503" t="str">
        <f>"2015-11-08"</f>
        <v>2015-11-08</v>
      </c>
      <c r="I503" t="s">
        <v>26</v>
      </c>
      <c r="J503" t="str">
        <f>"2015-10-14"</f>
        <v>2015-10-14</v>
      </c>
      <c r="K503" t="s">
        <v>40</v>
      </c>
      <c r="L503">
        <v>2.2877725</v>
      </c>
      <c r="M503">
        <v>502</v>
      </c>
      <c r="N503" s="1">
        <v>0.50519999999999998</v>
      </c>
      <c r="O503" s="1">
        <v>0.72660000000000002</v>
      </c>
      <c r="P503" s="1">
        <v>0</v>
      </c>
      <c r="Q503" s="1">
        <v>1.9400000000000001E-2</v>
      </c>
      <c r="R503" s="1">
        <v>3.5999999999999997E-2</v>
      </c>
      <c r="S503" s="1">
        <v>4.9500000000000002E-2</v>
      </c>
      <c r="T503" s="1">
        <v>5.2400000000000002E-2</v>
      </c>
      <c r="U503" s="1">
        <v>0.23960000000000001</v>
      </c>
    </row>
    <row r="504" spans="1:21" x14ac:dyDescent="0.25">
      <c r="A504" t="s">
        <v>1150</v>
      </c>
      <c r="B504" t="s">
        <v>1151</v>
      </c>
      <c r="C504" t="s">
        <v>109</v>
      </c>
      <c r="D504" t="s">
        <v>156</v>
      </c>
      <c r="E504" t="s">
        <v>284</v>
      </c>
      <c r="F504" t="str">
        <f t="shared" si="10"/>
        <v>2018-05-20</v>
      </c>
      <c r="G504">
        <v>71.27</v>
      </c>
      <c r="H504" t="str">
        <f>"2018-01-24"</f>
        <v>2018-01-24</v>
      </c>
      <c r="I504" t="s">
        <v>26</v>
      </c>
      <c r="J504" t="str">
        <f>"2017-08-21"</f>
        <v>2017-08-21</v>
      </c>
      <c r="K504" t="s">
        <v>57</v>
      </c>
      <c r="L504">
        <v>2.2871937500000001</v>
      </c>
      <c r="M504">
        <v>503</v>
      </c>
      <c r="N504" s="1">
        <v>0.31540000000000001</v>
      </c>
      <c r="O504" s="1">
        <v>0.72319999999999995</v>
      </c>
      <c r="P504" s="1">
        <v>0</v>
      </c>
      <c r="Q504" s="1">
        <v>1.3100000000000001E-2</v>
      </c>
      <c r="R504" s="1">
        <v>6.6299999999999998E-2</v>
      </c>
      <c r="S504" s="1">
        <v>9.3600000000000003E-2</v>
      </c>
      <c r="T504" s="1">
        <v>0.26929999999999998</v>
      </c>
      <c r="U504" s="1">
        <v>0.34499999999999997</v>
      </c>
    </row>
    <row r="505" spans="1:21" x14ac:dyDescent="0.25">
      <c r="A505" t="s">
        <v>1152</v>
      </c>
      <c r="B505" t="s">
        <v>1153</v>
      </c>
      <c r="C505" t="s">
        <v>30</v>
      </c>
      <c r="D505" t="s">
        <v>31</v>
      </c>
      <c r="E505" t="s">
        <v>31</v>
      </c>
      <c r="F505" t="str">
        <f t="shared" si="10"/>
        <v>2018-05-20</v>
      </c>
      <c r="G505">
        <v>40.020000000000003</v>
      </c>
      <c r="H505" t="str">
        <f>"2016-07-11"</f>
        <v>2016-07-11</v>
      </c>
      <c r="I505" t="s">
        <v>26</v>
      </c>
      <c r="J505" t="str">
        <f>"2016-02-23"</f>
        <v>2016-02-23</v>
      </c>
      <c r="K505" t="s">
        <v>57</v>
      </c>
      <c r="L505">
        <v>2.2870051600000001</v>
      </c>
      <c r="M505">
        <v>504</v>
      </c>
      <c r="N505" s="1">
        <v>0.49109999999999998</v>
      </c>
      <c r="O505" s="1">
        <v>0.72199999999999998</v>
      </c>
      <c r="P505" s="1">
        <v>-2.18E-2</v>
      </c>
      <c r="Q505" s="1">
        <v>1.6500000000000001E-2</v>
      </c>
      <c r="R505" s="1">
        <v>3.7600000000000001E-2</v>
      </c>
      <c r="S505" s="1">
        <v>5.1200000000000002E-2</v>
      </c>
      <c r="T505" s="1">
        <v>-1.01E-2</v>
      </c>
      <c r="U505" s="1">
        <v>0.20799999999999999</v>
      </c>
    </row>
    <row r="506" spans="1:21" x14ac:dyDescent="0.25">
      <c r="A506" t="s">
        <v>1154</v>
      </c>
      <c r="B506" t="s">
        <v>1155</v>
      </c>
      <c r="C506" t="s">
        <v>37</v>
      </c>
      <c r="D506" t="s">
        <v>38</v>
      </c>
      <c r="E506" t="s">
        <v>97</v>
      </c>
      <c r="F506" t="str">
        <f t="shared" si="10"/>
        <v>2018-05-20</v>
      </c>
      <c r="G506">
        <v>12.01</v>
      </c>
      <c r="H506" t="str">
        <f>"2017-10-04"</f>
        <v>2017-10-04</v>
      </c>
      <c r="I506" t="s">
        <v>26</v>
      </c>
      <c r="J506" t="str">
        <f>"2017-09-19"</f>
        <v>2017-09-19</v>
      </c>
      <c r="K506" t="s">
        <v>27</v>
      </c>
      <c r="L506">
        <v>2.2867717299999999</v>
      </c>
      <c r="M506">
        <v>505</v>
      </c>
      <c r="N506" s="1">
        <v>0.2928</v>
      </c>
      <c r="O506" s="1">
        <v>0.72060000000000002</v>
      </c>
      <c r="P506" s="1">
        <v>-1.23E-2</v>
      </c>
      <c r="Q506" s="1">
        <v>2.47E-2</v>
      </c>
      <c r="R506" s="1">
        <v>7.9100000000000004E-2</v>
      </c>
      <c r="S506" s="1">
        <v>2.7400000000000001E-2</v>
      </c>
      <c r="T506" s="1">
        <v>0.34789999999999999</v>
      </c>
      <c r="U506" s="1">
        <v>0.41289999999999999</v>
      </c>
    </row>
    <row r="507" spans="1:21" x14ac:dyDescent="0.25">
      <c r="A507" t="s">
        <v>1156</v>
      </c>
      <c r="B507" t="s">
        <v>1157</v>
      </c>
      <c r="C507" t="s">
        <v>30</v>
      </c>
      <c r="D507" t="s">
        <v>48</v>
      </c>
      <c r="E507" t="s">
        <v>177</v>
      </c>
      <c r="F507" t="str">
        <f t="shared" si="10"/>
        <v>2018-05-20</v>
      </c>
      <c r="G507">
        <v>4.6399999999999997</v>
      </c>
      <c r="H507" t="str">
        <f>"2018-02-28"</f>
        <v>2018-02-28</v>
      </c>
      <c r="I507" t="s">
        <v>26</v>
      </c>
      <c r="J507" t="str">
        <f>"2017-09-19"</f>
        <v>2017-09-19</v>
      </c>
      <c r="K507" t="s">
        <v>27</v>
      </c>
      <c r="L507">
        <v>2.2864197499999999</v>
      </c>
      <c r="M507">
        <v>506</v>
      </c>
      <c r="N507" s="1">
        <v>0.2747</v>
      </c>
      <c r="O507" s="1">
        <v>0.71850000000000003</v>
      </c>
      <c r="P507" s="1">
        <v>-2.3199999999999998E-2</v>
      </c>
      <c r="Q507" s="1">
        <v>8.6999999999999994E-3</v>
      </c>
      <c r="R507" s="1">
        <v>8.6999999999999994E-3</v>
      </c>
      <c r="S507" s="1">
        <v>0.1154</v>
      </c>
      <c r="T507" s="1">
        <v>0.34489999999999998</v>
      </c>
      <c r="U507" s="1">
        <v>0.75760000000000005</v>
      </c>
    </row>
    <row r="508" spans="1:21" x14ac:dyDescent="0.25">
      <c r="A508" t="s">
        <v>1158</v>
      </c>
      <c r="B508" t="s">
        <v>1159</v>
      </c>
      <c r="C508" t="s">
        <v>43</v>
      </c>
      <c r="D508" t="s">
        <v>193</v>
      </c>
      <c r="E508" t="s">
        <v>239</v>
      </c>
      <c r="F508" t="str">
        <f t="shared" si="10"/>
        <v>2018-05-20</v>
      </c>
      <c r="G508">
        <v>21.74</v>
      </c>
      <c r="H508" t="str">
        <f>"2017-07-11"</f>
        <v>2017-07-11</v>
      </c>
      <c r="I508" t="s">
        <v>26</v>
      </c>
      <c r="J508" t="str">
        <f>"2017-04-09"</f>
        <v>2017-04-09</v>
      </c>
      <c r="K508" t="s">
        <v>40</v>
      </c>
      <c r="L508">
        <v>2.2859773699999999</v>
      </c>
      <c r="M508">
        <v>507</v>
      </c>
      <c r="N508" s="1">
        <v>0.32800000000000001</v>
      </c>
      <c r="O508" s="1">
        <v>0.71589999999999998</v>
      </c>
      <c r="P508" s="1">
        <v>0</v>
      </c>
      <c r="Q508" s="1">
        <v>4.1999999999999997E-3</v>
      </c>
      <c r="R508" s="1">
        <v>6.3600000000000004E-2</v>
      </c>
      <c r="S508" s="1">
        <v>8.6999999999999994E-2</v>
      </c>
      <c r="T508" s="1">
        <v>0.13170000000000001</v>
      </c>
      <c r="U508" s="1">
        <v>0.58340000000000003</v>
      </c>
    </row>
    <row r="509" spans="1:21" x14ac:dyDescent="0.25">
      <c r="A509" t="s">
        <v>1160</v>
      </c>
      <c r="B509" t="s">
        <v>1161</v>
      </c>
      <c r="C509" t="s">
        <v>43</v>
      </c>
      <c r="D509" t="s">
        <v>44</v>
      </c>
      <c r="E509" t="s">
        <v>246</v>
      </c>
      <c r="F509" t="str">
        <f t="shared" si="10"/>
        <v>2018-05-20</v>
      </c>
      <c r="G509">
        <v>46.6</v>
      </c>
      <c r="H509" t="str">
        <f>"2016-11-27"</f>
        <v>2016-11-27</v>
      </c>
      <c r="I509" t="s">
        <v>26</v>
      </c>
      <c r="J509" t="str">
        <f>"2016-11-09"</f>
        <v>2016-11-09</v>
      </c>
      <c r="K509" t="s">
        <v>27</v>
      </c>
      <c r="L509">
        <v>2.28543428</v>
      </c>
      <c r="M509">
        <v>508</v>
      </c>
      <c r="N509" s="1">
        <v>0.36659999999999998</v>
      </c>
      <c r="O509" s="1">
        <v>0.71260000000000001</v>
      </c>
      <c r="P509" s="1">
        <v>0</v>
      </c>
      <c r="Q509" s="1">
        <v>1.1900000000000001E-2</v>
      </c>
      <c r="R509" s="1">
        <v>4.1300000000000003E-2</v>
      </c>
      <c r="S509" s="1">
        <v>0.1135</v>
      </c>
      <c r="T509" s="1">
        <v>9.7799999999999998E-2</v>
      </c>
      <c r="U509" s="1">
        <v>0.33910000000000001</v>
      </c>
    </row>
    <row r="510" spans="1:21" x14ac:dyDescent="0.25">
      <c r="A510" t="s">
        <v>1162</v>
      </c>
      <c r="B510" t="s">
        <v>454</v>
      </c>
      <c r="C510" t="s">
        <v>30</v>
      </c>
      <c r="D510" t="s">
        <v>31</v>
      </c>
      <c r="E510" t="s">
        <v>31</v>
      </c>
      <c r="F510" t="str">
        <f t="shared" si="10"/>
        <v>2018-05-20</v>
      </c>
      <c r="G510">
        <v>7.98</v>
      </c>
      <c r="H510" t="str">
        <f>"2018-02-27"</f>
        <v>2018-02-27</v>
      </c>
      <c r="I510" t="s">
        <v>26</v>
      </c>
      <c r="J510" t="str">
        <f>"2018-01-25"</f>
        <v>2018-01-25</v>
      </c>
      <c r="K510" t="s">
        <v>27</v>
      </c>
      <c r="L510">
        <v>2.2854077300000002</v>
      </c>
      <c r="M510">
        <v>509</v>
      </c>
      <c r="N510" s="1">
        <v>0.31469999999999998</v>
      </c>
      <c r="O510" s="1">
        <v>0.71240000000000003</v>
      </c>
      <c r="P510" s="1">
        <v>0</v>
      </c>
      <c r="Q510" s="1">
        <v>8.8000000000000005E-3</v>
      </c>
      <c r="R510" s="1">
        <v>4.7199999999999999E-2</v>
      </c>
      <c r="S510" s="1">
        <v>0.17180000000000001</v>
      </c>
      <c r="T510" s="1">
        <v>0.28710000000000002</v>
      </c>
      <c r="U510" s="1">
        <v>0.4723</v>
      </c>
    </row>
    <row r="511" spans="1:21" x14ac:dyDescent="0.25">
      <c r="A511" t="s">
        <v>1163</v>
      </c>
      <c r="B511" t="s">
        <v>1164</v>
      </c>
      <c r="C511" t="s">
        <v>87</v>
      </c>
      <c r="D511" t="s">
        <v>664</v>
      </c>
      <c r="E511" t="s">
        <v>1116</v>
      </c>
      <c r="F511" t="str">
        <f t="shared" si="10"/>
        <v>2018-05-20</v>
      </c>
      <c r="G511">
        <v>11.9</v>
      </c>
      <c r="H511" t="str">
        <f>"2016-08-15"</f>
        <v>2016-08-15</v>
      </c>
      <c r="I511" t="s">
        <v>26</v>
      </c>
      <c r="J511" t="str">
        <f>"2016-07-24"</f>
        <v>2016-07-24</v>
      </c>
      <c r="K511" t="s">
        <v>40</v>
      </c>
      <c r="L511">
        <v>2.2845528499999999</v>
      </c>
      <c r="M511">
        <v>510</v>
      </c>
      <c r="N511" s="1">
        <v>0.50629999999999997</v>
      </c>
      <c r="O511" s="1">
        <v>0.70730000000000004</v>
      </c>
      <c r="P511" s="1">
        <v>-1.24E-2</v>
      </c>
      <c r="Q511" s="1">
        <v>0</v>
      </c>
      <c r="R511" s="1">
        <v>9.6799999999999997E-2</v>
      </c>
      <c r="S511" s="1">
        <v>0.1333</v>
      </c>
      <c r="T511" s="1">
        <v>0.1019</v>
      </c>
      <c r="U511" s="1">
        <v>0.13880000000000001</v>
      </c>
    </row>
    <row r="512" spans="1:21" x14ac:dyDescent="0.25">
      <c r="A512" t="s">
        <v>1165</v>
      </c>
      <c r="B512" t="s">
        <v>1166</v>
      </c>
      <c r="C512" t="s">
        <v>30</v>
      </c>
      <c r="D512" t="s">
        <v>31</v>
      </c>
      <c r="E512" t="s">
        <v>31</v>
      </c>
      <c r="F512" t="str">
        <f t="shared" si="10"/>
        <v>2018-05-20</v>
      </c>
      <c r="G512">
        <v>38.369999999999997</v>
      </c>
      <c r="H512" t="str">
        <f>"2016-08-03"</f>
        <v>2016-08-03</v>
      </c>
      <c r="I512" t="s">
        <v>26</v>
      </c>
      <c r="J512" t="str">
        <f>"2016-06-12"</f>
        <v>2016-06-12</v>
      </c>
      <c r="K512" t="s">
        <v>40</v>
      </c>
      <c r="L512">
        <v>2.2839697999999999</v>
      </c>
      <c r="M512">
        <v>511</v>
      </c>
      <c r="N512" s="1">
        <v>0.6169</v>
      </c>
      <c r="O512" s="1">
        <v>0.70379999999999998</v>
      </c>
      <c r="P512" s="1">
        <v>-1.6199999999999999E-2</v>
      </c>
      <c r="Q512" s="1">
        <v>9.1999999999999998E-3</v>
      </c>
      <c r="R512" s="1">
        <v>4.8399999999999999E-2</v>
      </c>
      <c r="S512" s="1">
        <v>5.7599999999999998E-2</v>
      </c>
      <c r="T512" s="1">
        <v>0.2006</v>
      </c>
      <c r="U512" s="1">
        <v>0.28110000000000002</v>
      </c>
    </row>
    <row r="513" spans="1:21" x14ac:dyDescent="0.25">
      <c r="A513" t="s">
        <v>1167</v>
      </c>
      <c r="B513" t="s">
        <v>1168</v>
      </c>
      <c r="C513" t="s">
        <v>30</v>
      </c>
      <c r="D513" t="s">
        <v>31</v>
      </c>
      <c r="E513" t="s">
        <v>31</v>
      </c>
      <c r="F513" t="str">
        <f t="shared" si="10"/>
        <v>2018-05-20</v>
      </c>
      <c r="G513">
        <v>59.3</v>
      </c>
      <c r="H513" t="str">
        <f>"2016-07-13"</f>
        <v>2016-07-13</v>
      </c>
      <c r="I513" t="s">
        <v>26</v>
      </c>
      <c r="J513" t="str">
        <f>"2016-03-01"</f>
        <v>2016-03-01</v>
      </c>
      <c r="K513" t="s">
        <v>57</v>
      </c>
      <c r="L513">
        <v>2.2834337100000002</v>
      </c>
      <c r="M513">
        <v>512</v>
      </c>
      <c r="N513" s="1">
        <v>0.50349999999999995</v>
      </c>
      <c r="O513" s="1">
        <v>0.7006</v>
      </c>
      <c r="P513" s="1">
        <v>0</v>
      </c>
      <c r="Q513" s="1">
        <v>1.7999999999999999E-2</v>
      </c>
      <c r="R513" s="1">
        <v>4.5900000000000003E-2</v>
      </c>
      <c r="S513" s="1">
        <v>5.7000000000000002E-2</v>
      </c>
      <c r="T513" s="1">
        <v>9.5100000000000004E-2</v>
      </c>
      <c r="U513" s="1">
        <v>0.22140000000000001</v>
      </c>
    </row>
    <row r="514" spans="1:21" x14ac:dyDescent="0.25">
      <c r="A514" t="s">
        <v>1169</v>
      </c>
      <c r="B514" t="s">
        <v>1170</v>
      </c>
      <c r="C514" t="s">
        <v>30</v>
      </c>
      <c r="D514" t="s">
        <v>299</v>
      </c>
      <c r="E514" t="s">
        <v>300</v>
      </c>
      <c r="F514" t="str">
        <f t="shared" si="10"/>
        <v>2018-05-20</v>
      </c>
      <c r="G514">
        <v>21.02</v>
      </c>
      <c r="H514" t="str">
        <f>"2018-03-20"</f>
        <v>2018-03-20</v>
      </c>
      <c r="I514" t="s">
        <v>26</v>
      </c>
      <c r="J514" t="str">
        <f>"2017-11-12"</f>
        <v>2017-11-12</v>
      </c>
      <c r="K514" t="s">
        <v>57</v>
      </c>
      <c r="L514">
        <v>2.28275491</v>
      </c>
      <c r="M514">
        <v>513</v>
      </c>
      <c r="N514" s="1">
        <v>0.11509999999999999</v>
      </c>
      <c r="O514" s="1">
        <v>0.69650000000000001</v>
      </c>
      <c r="P514" s="1">
        <v>-7.3999999999999996E-2</v>
      </c>
      <c r="Q514" s="1">
        <v>1.4E-3</v>
      </c>
      <c r="R514" s="1">
        <v>1.9E-3</v>
      </c>
      <c r="S514" s="1">
        <v>2.24E-2</v>
      </c>
      <c r="T514" s="1">
        <v>0.65510000000000002</v>
      </c>
      <c r="U514" s="1">
        <v>0.2094</v>
      </c>
    </row>
    <row r="515" spans="1:21" x14ac:dyDescent="0.25">
      <c r="A515" t="s">
        <v>1171</v>
      </c>
      <c r="B515" t="s">
        <v>1172</v>
      </c>
      <c r="C515" t="s">
        <v>37</v>
      </c>
      <c r="D515" t="s">
        <v>66</v>
      </c>
      <c r="E515" t="s">
        <v>94</v>
      </c>
      <c r="F515" t="str">
        <f t="shared" si="10"/>
        <v>2018-05-20</v>
      </c>
      <c r="G515">
        <v>18.600000000000001</v>
      </c>
      <c r="H515" t="str">
        <f>"2016-09-22"</f>
        <v>2016-09-22</v>
      </c>
      <c r="I515" t="s">
        <v>26</v>
      </c>
      <c r="J515" t="str">
        <f>"2016-07-12"</f>
        <v>2016-07-12</v>
      </c>
      <c r="K515" t="s">
        <v>27</v>
      </c>
      <c r="L515">
        <v>2.2823315100000001</v>
      </c>
      <c r="M515">
        <v>514</v>
      </c>
      <c r="N515" s="1">
        <v>0.4017</v>
      </c>
      <c r="O515" s="1">
        <v>0.69399999999999995</v>
      </c>
      <c r="P515" s="1">
        <v>-4.3700000000000003E-2</v>
      </c>
      <c r="Q515" s="1">
        <v>1.09E-2</v>
      </c>
      <c r="R515" s="1">
        <v>2.1999999999999999E-2</v>
      </c>
      <c r="S515" s="1">
        <v>3.9100000000000003E-2</v>
      </c>
      <c r="T515" s="1">
        <v>5.4000000000000003E-3</v>
      </c>
      <c r="U515" s="1">
        <v>0.33329999999999999</v>
      </c>
    </row>
    <row r="516" spans="1:21" x14ac:dyDescent="0.25">
      <c r="A516" t="s">
        <v>1173</v>
      </c>
      <c r="B516" t="s">
        <v>1174</v>
      </c>
      <c r="C516" t="s">
        <v>23</v>
      </c>
      <c r="D516" t="s">
        <v>52</v>
      </c>
      <c r="E516" t="s">
        <v>190</v>
      </c>
      <c r="F516" t="str">
        <f t="shared" si="10"/>
        <v>2018-05-20</v>
      </c>
      <c r="G516">
        <v>26.04</v>
      </c>
      <c r="H516" t="str">
        <f>"2017-12-03"</f>
        <v>2017-12-03</v>
      </c>
      <c r="I516" t="s">
        <v>26</v>
      </c>
      <c r="J516" t="str">
        <f>"2017-05-14"</f>
        <v>2017-05-14</v>
      </c>
      <c r="K516" t="s">
        <v>57</v>
      </c>
      <c r="L516">
        <v>2.2814526599999998</v>
      </c>
      <c r="M516">
        <v>515</v>
      </c>
      <c r="N516" s="1">
        <v>-8.0000000000000004E-4</v>
      </c>
      <c r="O516" s="1">
        <v>0.68869999999999998</v>
      </c>
      <c r="P516" s="1">
        <v>-7.9899999999999999E-2</v>
      </c>
      <c r="Q516" s="1">
        <v>-1.9E-3</v>
      </c>
      <c r="R516" s="1">
        <v>5.6800000000000003E-2</v>
      </c>
      <c r="S516" s="1">
        <v>9.3200000000000005E-2</v>
      </c>
      <c r="T516" s="1">
        <v>8.4500000000000006E-2</v>
      </c>
      <c r="U516" s="1">
        <v>0.32250000000000001</v>
      </c>
    </row>
    <row r="517" spans="1:21" x14ac:dyDescent="0.25">
      <c r="A517" t="s">
        <v>1175</v>
      </c>
      <c r="B517" t="s">
        <v>1176</v>
      </c>
      <c r="C517" t="s">
        <v>23</v>
      </c>
      <c r="D517" t="s">
        <v>24</v>
      </c>
      <c r="E517" t="s">
        <v>628</v>
      </c>
      <c r="F517" t="str">
        <f t="shared" si="10"/>
        <v>2018-05-20</v>
      </c>
      <c r="G517">
        <v>10.45</v>
      </c>
      <c r="H517" t="str">
        <f>"2017-09-25"</f>
        <v>2017-09-25</v>
      </c>
      <c r="I517" t="s">
        <v>26</v>
      </c>
      <c r="J517" t="str">
        <f>"2017-06-29"</f>
        <v>2017-06-29</v>
      </c>
      <c r="K517" t="s">
        <v>27</v>
      </c>
      <c r="L517">
        <v>2.2809139799999998</v>
      </c>
      <c r="M517">
        <v>516</v>
      </c>
      <c r="N517" s="1">
        <v>0.27439999999999998</v>
      </c>
      <c r="O517" s="1">
        <v>0.6855</v>
      </c>
      <c r="P517" s="1">
        <v>-9.9099999999999994E-2</v>
      </c>
      <c r="Q517" s="1">
        <v>4.7999999999999996E-3</v>
      </c>
      <c r="R517" s="1">
        <v>2.9600000000000001E-2</v>
      </c>
      <c r="S517" s="1">
        <v>1.95E-2</v>
      </c>
      <c r="T517" s="1">
        <v>3.4700000000000002E-2</v>
      </c>
      <c r="U517" s="1">
        <v>0.59540000000000004</v>
      </c>
    </row>
    <row r="518" spans="1:21" x14ac:dyDescent="0.25">
      <c r="A518" t="s">
        <v>1177</v>
      </c>
      <c r="B518" t="s">
        <v>1178</v>
      </c>
      <c r="C518" t="s">
        <v>30</v>
      </c>
      <c r="D518" t="s">
        <v>31</v>
      </c>
      <c r="E518" t="s">
        <v>31</v>
      </c>
      <c r="F518" t="str">
        <f t="shared" si="10"/>
        <v>2018-05-20</v>
      </c>
      <c r="G518">
        <v>25.45</v>
      </c>
      <c r="H518" t="str">
        <f>"2016-08-14"</f>
        <v>2016-08-14</v>
      </c>
      <c r="I518" t="s">
        <v>26</v>
      </c>
      <c r="J518" t="str">
        <f>"2016-04-07"</f>
        <v>2016-04-07</v>
      </c>
      <c r="K518" t="s">
        <v>40</v>
      </c>
      <c r="L518">
        <v>2.2809050800000001</v>
      </c>
      <c r="M518">
        <v>517</v>
      </c>
      <c r="N518" s="1">
        <v>0.56999999999999995</v>
      </c>
      <c r="O518" s="1">
        <v>0.68540000000000001</v>
      </c>
      <c r="P518" s="1">
        <v>-9.2700000000000005E-2</v>
      </c>
      <c r="Q518" s="1">
        <v>1.7999999999999999E-2</v>
      </c>
      <c r="R518" s="1">
        <v>3.8800000000000001E-2</v>
      </c>
      <c r="S518" s="1">
        <v>3.8999999999999998E-3</v>
      </c>
      <c r="T518" s="1">
        <v>3.2500000000000001E-2</v>
      </c>
      <c r="U518" s="1">
        <v>0.15679999999999999</v>
      </c>
    </row>
    <row r="519" spans="1:21" x14ac:dyDescent="0.25">
      <c r="A519" t="s">
        <v>1179</v>
      </c>
      <c r="B519" t="s">
        <v>1180</v>
      </c>
      <c r="C519" t="s">
        <v>43</v>
      </c>
      <c r="D519" t="s">
        <v>44</v>
      </c>
      <c r="E519" t="s">
        <v>320</v>
      </c>
      <c r="F519" t="str">
        <f t="shared" si="10"/>
        <v>2018-05-20</v>
      </c>
      <c r="G519">
        <v>21.9</v>
      </c>
      <c r="H519" t="str">
        <f>"2018-04-17"</f>
        <v>2018-04-17</v>
      </c>
      <c r="I519" t="s">
        <v>26</v>
      </c>
      <c r="J519" t="str">
        <f>"2018-02-15"</f>
        <v>2018-02-15</v>
      </c>
      <c r="K519" t="s">
        <v>27</v>
      </c>
      <c r="L519">
        <v>2.2807692300000002</v>
      </c>
      <c r="M519">
        <v>518</v>
      </c>
      <c r="N519" s="1">
        <v>0.22689999999999999</v>
      </c>
      <c r="O519" s="1">
        <v>0.68459999999999999</v>
      </c>
      <c r="P519" s="1">
        <v>0</v>
      </c>
      <c r="Q519" s="1">
        <v>4.5999999999999999E-3</v>
      </c>
      <c r="R519" s="1">
        <v>1.3899999999999999E-2</v>
      </c>
      <c r="S519" s="1">
        <v>0.23380000000000001</v>
      </c>
      <c r="T519" s="1">
        <v>0.33939999999999998</v>
      </c>
      <c r="U519" s="1">
        <v>0.31530000000000002</v>
      </c>
    </row>
    <row r="520" spans="1:21" x14ac:dyDescent="0.25">
      <c r="A520" t="s">
        <v>1181</v>
      </c>
      <c r="B520" t="s">
        <v>1182</v>
      </c>
      <c r="C520" t="s">
        <v>83</v>
      </c>
      <c r="D520" t="s">
        <v>342</v>
      </c>
      <c r="E520" t="s">
        <v>342</v>
      </c>
      <c r="F520" t="str">
        <f t="shared" si="10"/>
        <v>2018-05-20</v>
      </c>
      <c r="G520">
        <v>22.55</v>
      </c>
      <c r="H520" t="str">
        <f>"2018-01-17"</f>
        <v>2018-01-17</v>
      </c>
      <c r="I520" t="s">
        <v>26</v>
      </c>
      <c r="J520" t="str">
        <f>"2017-11-19"</f>
        <v>2017-11-19</v>
      </c>
      <c r="K520" t="s">
        <v>27</v>
      </c>
      <c r="L520">
        <v>2.2804726400000002</v>
      </c>
      <c r="M520">
        <v>519</v>
      </c>
      <c r="N520" s="1">
        <v>0.40939999999999999</v>
      </c>
      <c r="O520" s="1">
        <v>0.68279999999999996</v>
      </c>
      <c r="P520" s="1">
        <v>0</v>
      </c>
      <c r="Q520" s="1">
        <v>1.8100000000000002E-2</v>
      </c>
      <c r="R520" s="1">
        <v>4.3999999999999997E-2</v>
      </c>
      <c r="S520" s="1">
        <v>0.1535</v>
      </c>
      <c r="T520" s="1">
        <v>0.21240000000000001</v>
      </c>
      <c r="U520" s="1">
        <v>0.73460000000000003</v>
      </c>
    </row>
    <row r="521" spans="1:21" x14ac:dyDescent="0.25">
      <c r="A521" t="s">
        <v>1183</v>
      </c>
      <c r="B521" t="s">
        <v>1184</v>
      </c>
      <c r="C521" t="s">
        <v>109</v>
      </c>
      <c r="D521" t="s">
        <v>110</v>
      </c>
      <c r="E521" t="s">
        <v>111</v>
      </c>
      <c r="F521" t="str">
        <f t="shared" si="10"/>
        <v>2018-05-20</v>
      </c>
      <c r="G521">
        <v>14.7</v>
      </c>
      <c r="H521" t="str">
        <f>"2018-05-13"</f>
        <v>2018-05-13</v>
      </c>
      <c r="I521" t="s">
        <v>26</v>
      </c>
      <c r="J521" t="str">
        <f>"2018-03-13"</f>
        <v>2018-03-13</v>
      </c>
      <c r="K521" t="s">
        <v>27</v>
      </c>
      <c r="L521">
        <v>2.2799999999999998</v>
      </c>
      <c r="M521">
        <v>520</v>
      </c>
      <c r="N521" s="1">
        <v>-1.67E-2</v>
      </c>
      <c r="O521" s="1">
        <v>0.68</v>
      </c>
      <c r="P521" s="1">
        <v>-1.67E-2</v>
      </c>
      <c r="Q521" s="1">
        <v>-3.3999999999999998E-3</v>
      </c>
      <c r="R521" s="1">
        <v>-3.3999999999999998E-3</v>
      </c>
      <c r="S521" s="1">
        <v>0.23530000000000001</v>
      </c>
      <c r="T521" s="1">
        <v>0.61539999999999995</v>
      </c>
      <c r="U521" s="1">
        <v>0.27829999999999999</v>
      </c>
    </row>
    <row r="522" spans="1:21" x14ac:dyDescent="0.25">
      <c r="A522" t="s">
        <v>1185</v>
      </c>
      <c r="B522" t="s">
        <v>1186</v>
      </c>
      <c r="C522" t="s">
        <v>37</v>
      </c>
      <c r="D522" t="s">
        <v>38</v>
      </c>
      <c r="E522" t="s">
        <v>39</v>
      </c>
      <c r="F522" t="str">
        <f t="shared" si="10"/>
        <v>2018-05-20</v>
      </c>
      <c r="G522">
        <v>23.35</v>
      </c>
      <c r="H522" t="str">
        <f>"2018-02-21"</f>
        <v>2018-02-21</v>
      </c>
      <c r="I522" t="s">
        <v>26</v>
      </c>
      <c r="J522" t="str">
        <f>"2018-01-21"</f>
        <v>2018-01-21</v>
      </c>
      <c r="K522" t="s">
        <v>27</v>
      </c>
      <c r="L522">
        <v>2.2799760199999999</v>
      </c>
      <c r="M522">
        <v>521</v>
      </c>
      <c r="N522" s="1">
        <v>0.42809999999999998</v>
      </c>
      <c r="O522" s="1">
        <v>0.67989999999999995</v>
      </c>
      <c r="P522" s="1">
        <v>-2.0999999999999999E-3</v>
      </c>
      <c r="Q522" s="1">
        <v>-2.0999999999999999E-3</v>
      </c>
      <c r="R522" s="1">
        <v>0.10929999999999999</v>
      </c>
      <c r="S522" s="1">
        <v>0.16170000000000001</v>
      </c>
      <c r="T522" s="1">
        <v>0.30449999999999999</v>
      </c>
      <c r="U522" s="1">
        <v>0.57769999999999999</v>
      </c>
    </row>
    <row r="523" spans="1:21" x14ac:dyDescent="0.25">
      <c r="A523" t="s">
        <v>1187</v>
      </c>
      <c r="B523" t="s">
        <v>1188</v>
      </c>
      <c r="C523" t="s">
        <v>43</v>
      </c>
      <c r="D523" t="s">
        <v>44</v>
      </c>
      <c r="E523" t="s">
        <v>1039</v>
      </c>
      <c r="F523" t="str">
        <f t="shared" si="10"/>
        <v>2018-05-20</v>
      </c>
      <c r="G523">
        <v>42.01</v>
      </c>
      <c r="H523" t="str">
        <f>"2018-02-26"</f>
        <v>2018-02-26</v>
      </c>
      <c r="I523" t="s">
        <v>26</v>
      </c>
      <c r="J523" t="str">
        <f>"2018-01-11"</f>
        <v>2018-01-11</v>
      </c>
      <c r="K523" t="s">
        <v>27</v>
      </c>
      <c r="L523">
        <v>2.2799546799999999</v>
      </c>
      <c r="M523">
        <v>522</v>
      </c>
      <c r="N523" s="1">
        <v>0.312</v>
      </c>
      <c r="O523" s="1">
        <v>0.67969999999999997</v>
      </c>
      <c r="P523" s="1">
        <v>0</v>
      </c>
      <c r="Q523" s="1">
        <v>3.0200000000000001E-2</v>
      </c>
      <c r="R523" s="1">
        <v>0.1176</v>
      </c>
      <c r="S523" s="1">
        <v>0.14249999999999999</v>
      </c>
      <c r="T523" s="1">
        <v>0.312</v>
      </c>
      <c r="U523" s="1">
        <v>9.9500000000000005E-2</v>
      </c>
    </row>
    <row r="524" spans="1:21" x14ac:dyDescent="0.25">
      <c r="A524" t="s">
        <v>1189</v>
      </c>
      <c r="B524" t="s">
        <v>1190</v>
      </c>
      <c r="C524" t="s">
        <v>43</v>
      </c>
      <c r="D524" t="s">
        <v>193</v>
      </c>
      <c r="E524" t="s">
        <v>194</v>
      </c>
      <c r="F524" t="str">
        <f t="shared" si="10"/>
        <v>2018-05-20</v>
      </c>
      <c r="G524">
        <v>39.340000000000003</v>
      </c>
      <c r="H524" t="str">
        <f>"2017-12-04"</f>
        <v>2017-12-04</v>
      </c>
      <c r="I524" t="s">
        <v>26</v>
      </c>
      <c r="J524" t="str">
        <f>"2017-10-09"</f>
        <v>2017-10-09</v>
      </c>
      <c r="K524" t="s">
        <v>27</v>
      </c>
      <c r="L524">
        <v>2.2798406600000001</v>
      </c>
      <c r="M524">
        <v>523</v>
      </c>
      <c r="N524" s="1">
        <v>0.11260000000000001</v>
      </c>
      <c r="O524" s="1">
        <v>0.67900000000000005</v>
      </c>
      <c r="P524" s="1">
        <v>0</v>
      </c>
      <c r="Q524" s="1">
        <v>1.6299999999999999E-2</v>
      </c>
      <c r="R524" s="1">
        <v>3.61E-2</v>
      </c>
      <c r="S524" s="1">
        <v>0.27150000000000002</v>
      </c>
      <c r="T524" s="1">
        <v>0.1608</v>
      </c>
      <c r="U524" s="1">
        <v>0.39360000000000001</v>
      </c>
    </row>
    <row r="525" spans="1:21" x14ac:dyDescent="0.25">
      <c r="A525" t="s">
        <v>1191</v>
      </c>
      <c r="B525" t="s">
        <v>1192</v>
      </c>
      <c r="C525" t="s">
        <v>30</v>
      </c>
      <c r="D525" t="s">
        <v>48</v>
      </c>
      <c r="E525" t="s">
        <v>387</v>
      </c>
      <c r="F525" t="str">
        <f t="shared" ref="F525:F588" si="11">"2018-05-20"</f>
        <v>2018-05-20</v>
      </c>
      <c r="G525">
        <v>44.65</v>
      </c>
      <c r="H525" t="str">
        <f>"2018-05-02"</f>
        <v>2018-05-02</v>
      </c>
      <c r="I525" t="s">
        <v>26</v>
      </c>
      <c r="J525" t="str">
        <f>"2017-11-05"</f>
        <v>2017-11-05</v>
      </c>
      <c r="K525" t="s">
        <v>57</v>
      </c>
      <c r="L525">
        <v>2.2797619</v>
      </c>
      <c r="M525">
        <v>524</v>
      </c>
      <c r="N525" s="1">
        <v>3.3999999999999998E-3</v>
      </c>
      <c r="O525" s="1">
        <v>0.67859999999999998</v>
      </c>
      <c r="P525" s="1">
        <v>-1.1000000000000001E-3</v>
      </c>
      <c r="Q525" s="1">
        <v>1.1000000000000001E-3</v>
      </c>
      <c r="R525" s="1">
        <v>1.6999999999999999E-3</v>
      </c>
      <c r="S525" s="1">
        <v>0.28120000000000001</v>
      </c>
      <c r="T525" s="1">
        <v>0.2437</v>
      </c>
      <c r="U525" s="1">
        <v>0.13320000000000001</v>
      </c>
    </row>
    <row r="526" spans="1:21" x14ac:dyDescent="0.25">
      <c r="A526" t="s">
        <v>1193</v>
      </c>
      <c r="B526" t="s">
        <v>1194</v>
      </c>
      <c r="C526" t="s">
        <v>37</v>
      </c>
      <c r="D526" t="s">
        <v>66</v>
      </c>
      <c r="E526" t="s">
        <v>94</v>
      </c>
      <c r="F526" t="str">
        <f t="shared" si="11"/>
        <v>2018-05-20</v>
      </c>
      <c r="G526">
        <v>53.45</v>
      </c>
      <c r="H526" t="str">
        <f>"2018-01-11"</f>
        <v>2018-01-11</v>
      </c>
      <c r="I526" t="s">
        <v>26</v>
      </c>
      <c r="J526" t="str">
        <f>"2018-01-02"</f>
        <v>2018-01-02</v>
      </c>
      <c r="K526" t="s">
        <v>27</v>
      </c>
      <c r="L526">
        <v>2.2796964900000001</v>
      </c>
      <c r="M526">
        <v>525</v>
      </c>
      <c r="N526" s="1">
        <v>0.41970000000000002</v>
      </c>
      <c r="O526" s="1">
        <v>0.67820000000000003</v>
      </c>
      <c r="P526" s="1">
        <v>-2.7300000000000001E-2</v>
      </c>
      <c r="Q526" s="1">
        <v>1.04E-2</v>
      </c>
      <c r="R526" s="1">
        <v>1.3299999999999999E-2</v>
      </c>
      <c r="S526" s="1">
        <v>-1.9E-3</v>
      </c>
      <c r="T526" s="1">
        <v>0.4909</v>
      </c>
      <c r="U526" s="1">
        <v>0.41589999999999999</v>
      </c>
    </row>
    <row r="527" spans="1:21" x14ac:dyDescent="0.25">
      <c r="A527" t="s">
        <v>1195</v>
      </c>
      <c r="B527" t="s">
        <v>1196</v>
      </c>
      <c r="C527" t="s">
        <v>109</v>
      </c>
      <c r="D527" t="s">
        <v>156</v>
      </c>
      <c r="E527" t="s">
        <v>277</v>
      </c>
      <c r="F527" t="str">
        <f t="shared" si="11"/>
        <v>2018-05-20</v>
      </c>
      <c r="G527">
        <v>38.69</v>
      </c>
      <c r="H527" t="str">
        <f>"2018-03-07"</f>
        <v>2018-03-07</v>
      </c>
      <c r="I527" t="s">
        <v>26</v>
      </c>
      <c r="J527" t="str">
        <f>"2018-03-05"</f>
        <v>2018-03-05</v>
      </c>
      <c r="K527" t="s">
        <v>27</v>
      </c>
      <c r="L527">
        <v>2.2792695300000001</v>
      </c>
      <c r="M527">
        <v>526</v>
      </c>
      <c r="N527" s="1">
        <v>0.3604</v>
      </c>
      <c r="O527" s="1">
        <v>0.67559999999999998</v>
      </c>
      <c r="P527" s="1">
        <v>0</v>
      </c>
      <c r="Q527" s="1">
        <v>6.1999999999999998E-3</v>
      </c>
      <c r="R527" s="1">
        <v>2.6499999999999999E-2</v>
      </c>
      <c r="S527" s="1">
        <v>0.48749999999999999</v>
      </c>
      <c r="T527" s="1">
        <v>0.43240000000000001</v>
      </c>
      <c r="U527" s="1">
        <v>0.40949999999999998</v>
      </c>
    </row>
    <row r="528" spans="1:21" x14ac:dyDescent="0.25">
      <c r="A528" t="s">
        <v>1197</v>
      </c>
      <c r="B528" t="s">
        <v>1198</v>
      </c>
      <c r="C528" t="s">
        <v>87</v>
      </c>
      <c r="D528" t="s">
        <v>144</v>
      </c>
      <c r="E528" t="s">
        <v>145</v>
      </c>
      <c r="F528" t="str">
        <f t="shared" si="11"/>
        <v>2018-05-20</v>
      </c>
      <c r="G528">
        <v>8.2100000000000009</v>
      </c>
      <c r="H528" t="str">
        <f>"2017-10-22"</f>
        <v>2017-10-22</v>
      </c>
      <c r="I528" t="s">
        <v>26</v>
      </c>
      <c r="J528" t="str">
        <f>"2017-09-20"</f>
        <v>2017-09-20</v>
      </c>
      <c r="K528" t="s">
        <v>27</v>
      </c>
      <c r="L528">
        <v>2.2792517000000001</v>
      </c>
      <c r="M528">
        <v>527</v>
      </c>
      <c r="N528" s="1">
        <v>5.8000000000000003E-2</v>
      </c>
      <c r="O528" s="1">
        <v>0.67549999999999999</v>
      </c>
      <c r="P528" s="1">
        <v>-5.4100000000000002E-2</v>
      </c>
      <c r="Q528" s="1">
        <v>-2.2599999999999999E-2</v>
      </c>
      <c r="R528" s="1">
        <v>3.1399999999999997E-2</v>
      </c>
      <c r="S528" s="1">
        <v>0.31359999999999999</v>
      </c>
      <c r="T528" s="1">
        <v>0.24390000000000001</v>
      </c>
      <c r="U528" s="1">
        <v>0.39860000000000001</v>
      </c>
    </row>
    <row r="529" spans="1:21" x14ac:dyDescent="0.25">
      <c r="A529" t="s">
        <v>1199</v>
      </c>
      <c r="B529" t="s">
        <v>1200</v>
      </c>
      <c r="C529" t="s">
        <v>43</v>
      </c>
      <c r="D529" t="s">
        <v>374</v>
      </c>
      <c r="E529" t="s">
        <v>375</v>
      </c>
      <c r="F529" t="str">
        <f t="shared" si="11"/>
        <v>2018-05-20</v>
      </c>
      <c r="G529">
        <v>71.849999999999994</v>
      </c>
      <c r="H529" t="str">
        <f>"2017-10-01"</f>
        <v>2017-10-01</v>
      </c>
      <c r="I529" t="s">
        <v>26</v>
      </c>
      <c r="J529" t="str">
        <f>"2017-09-21"</f>
        <v>2017-09-21</v>
      </c>
      <c r="K529" t="s">
        <v>27</v>
      </c>
      <c r="L529">
        <v>2.2788125699999999</v>
      </c>
      <c r="M529">
        <v>528</v>
      </c>
      <c r="N529" s="1">
        <v>0.4088</v>
      </c>
      <c r="O529" s="1">
        <v>0.67290000000000005</v>
      </c>
      <c r="P529" s="1">
        <v>0</v>
      </c>
      <c r="Q529" s="1">
        <v>4.8999999999999998E-3</v>
      </c>
      <c r="R529" s="1">
        <v>3.5999999999999997E-2</v>
      </c>
      <c r="S529" s="1">
        <v>0.10970000000000001</v>
      </c>
      <c r="T529" s="1">
        <v>0.15890000000000001</v>
      </c>
      <c r="U529" s="1">
        <v>0.55859999999999999</v>
      </c>
    </row>
    <row r="530" spans="1:21" x14ac:dyDescent="0.25">
      <c r="A530" t="s">
        <v>1201</v>
      </c>
      <c r="B530" t="s">
        <v>1202</v>
      </c>
      <c r="C530" t="s">
        <v>37</v>
      </c>
      <c r="D530" t="s">
        <v>38</v>
      </c>
      <c r="E530" t="s">
        <v>39</v>
      </c>
      <c r="F530" t="str">
        <f t="shared" si="11"/>
        <v>2018-05-20</v>
      </c>
      <c r="G530">
        <v>35.340000000000003</v>
      </c>
      <c r="H530" t="str">
        <f>"2018-02-13"</f>
        <v>2018-02-13</v>
      </c>
      <c r="I530" t="s">
        <v>26</v>
      </c>
      <c r="J530" t="str">
        <f>"2018-01-18"</f>
        <v>2018-01-18</v>
      </c>
      <c r="K530" t="s">
        <v>57</v>
      </c>
      <c r="L530">
        <v>2.2780925399999998</v>
      </c>
      <c r="M530">
        <v>529</v>
      </c>
      <c r="N530" s="1">
        <v>0.54930000000000001</v>
      </c>
      <c r="O530" s="1">
        <v>0.66859999999999997</v>
      </c>
      <c r="P530" s="1">
        <v>0</v>
      </c>
      <c r="Q530" s="1">
        <v>3.2399999999999998E-2</v>
      </c>
      <c r="R530" s="1">
        <v>8.7400000000000005E-2</v>
      </c>
      <c r="S530" s="1">
        <v>0.21229999999999999</v>
      </c>
      <c r="T530" s="1">
        <v>0.20899999999999999</v>
      </c>
      <c r="U530" s="1">
        <v>0.59189999999999998</v>
      </c>
    </row>
    <row r="531" spans="1:21" x14ac:dyDescent="0.25">
      <c r="A531" t="s">
        <v>1203</v>
      </c>
      <c r="B531" t="s">
        <v>1204</v>
      </c>
      <c r="C531" t="s">
        <v>30</v>
      </c>
      <c r="D531" t="s">
        <v>31</v>
      </c>
      <c r="E531" t="s">
        <v>31</v>
      </c>
      <c r="F531" t="str">
        <f t="shared" si="11"/>
        <v>2018-05-20</v>
      </c>
      <c r="G531">
        <v>39.4</v>
      </c>
      <c r="H531" t="str">
        <f>"2016-04-17"</f>
        <v>2016-04-17</v>
      </c>
      <c r="I531" t="s">
        <v>26</v>
      </c>
      <c r="J531" t="str">
        <f>"2016-01-21"</f>
        <v>2016-01-21</v>
      </c>
      <c r="K531" t="s">
        <v>40</v>
      </c>
      <c r="L531">
        <v>2.2780129800000002</v>
      </c>
      <c r="M531">
        <v>530</v>
      </c>
      <c r="N531" s="1">
        <v>0.49530000000000002</v>
      </c>
      <c r="O531" s="1">
        <v>0.66810000000000003</v>
      </c>
      <c r="P531" s="1">
        <v>-7.9399999999999998E-2</v>
      </c>
      <c r="Q531" s="1">
        <v>1.8100000000000002E-2</v>
      </c>
      <c r="R531" s="1">
        <v>1.4200000000000001E-2</v>
      </c>
      <c r="S531" s="1">
        <v>7.7000000000000002E-3</v>
      </c>
      <c r="T531" s="1">
        <v>5.7700000000000001E-2</v>
      </c>
      <c r="U531" s="1">
        <v>0.10059999999999999</v>
      </c>
    </row>
    <row r="532" spans="1:21" x14ac:dyDescent="0.25">
      <c r="A532" t="s">
        <v>1205</v>
      </c>
      <c r="B532" t="s">
        <v>1206</v>
      </c>
      <c r="C532" t="s">
        <v>109</v>
      </c>
      <c r="D532" t="s">
        <v>110</v>
      </c>
      <c r="E532" t="s">
        <v>251</v>
      </c>
      <c r="F532" t="str">
        <f t="shared" si="11"/>
        <v>2018-05-20</v>
      </c>
      <c r="G532">
        <v>8.3000000000000007</v>
      </c>
      <c r="H532" t="str">
        <f>"2018-03-25"</f>
        <v>2018-03-25</v>
      </c>
      <c r="I532" t="s">
        <v>26</v>
      </c>
      <c r="J532" t="str">
        <f>"2018-02-15"</f>
        <v>2018-02-15</v>
      </c>
      <c r="K532" t="s">
        <v>27</v>
      </c>
      <c r="L532">
        <v>2.2777777800000001</v>
      </c>
      <c r="M532">
        <v>531</v>
      </c>
      <c r="N532" s="1">
        <v>5.6000000000000001E-2</v>
      </c>
      <c r="O532" s="1">
        <v>0.66669999999999996</v>
      </c>
      <c r="P532" s="1">
        <v>0</v>
      </c>
      <c r="Q532" s="1">
        <v>1.0999999999999999E-2</v>
      </c>
      <c r="R532" s="1">
        <v>2.0899999999999998E-2</v>
      </c>
      <c r="S532" s="1">
        <v>1.34E-2</v>
      </c>
      <c r="T532" s="1">
        <v>2.8500000000000001E-2</v>
      </c>
      <c r="U532" s="1">
        <v>-5.4699999999999999E-2</v>
      </c>
    </row>
    <row r="533" spans="1:21" x14ac:dyDescent="0.25">
      <c r="A533" t="s">
        <v>1207</v>
      </c>
      <c r="B533" t="s">
        <v>1208</v>
      </c>
      <c r="C533" t="s">
        <v>23</v>
      </c>
      <c r="D533" t="s">
        <v>52</v>
      </c>
      <c r="E533" t="s">
        <v>56</v>
      </c>
      <c r="F533" t="str">
        <f t="shared" si="11"/>
        <v>2018-05-20</v>
      </c>
      <c r="G533">
        <v>48.45</v>
      </c>
      <c r="H533" t="str">
        <f>"2016-11-10"</f>
        <v>2016-11-10</v>
      </c>
      <c r="I533" t="s">
        <v>26</v>
      </c>
      <c r="J533" t="str">
        <f>"2016-11-03"</f>
        <v>2016-11-03</v>
      </c>
      <c r="K533" t="s">
        <v>40</v>
      </c>
      <c r="L533">
        <v>2.2774914100000001</v>
      </c>
      <c r="M533">
        <v>532</v>
      </c>
      <c r="N533" s="1">
        <v>0.44409999999999999</v>
      </c>
      <c r="O533" s="1">
        <v>0.66490000000000005</v>
      </c>
      <c r="P533" s="1">
        <v>-6.1999999999999998E-3</v>
      </c>
      <c r="Q533" s="1">
        <v>1.3599999999999999E-2</v>
      </c>
      <c r="R533" s="1">
        <v>4.19E-2</v>
      </c>
      <c r="S533" s="1">
        <v>8.3000000000000001E-3</v>
      </c>
      <c r="T533" s="1">
        <v>6.4799999999999996E-2</v>
      </c>
      <c r="U533" s="1">
        <v>0.33100000000000002</v>
      </c>
    </row>
    <row r="534" spans="1:21" x14ac:dyDescent="0.25">
      <c r="A534" t="s">
        <v>1209</v>
      </c>
      <c r="B534" t="s">
        <v>1210</v>
      </c>
      <c r="C534" t="s">
        <v>100</v>
      </c>
      <c r="D534" t="s">
        <v>101</v>
      </c>
      <c r="E534" t="s">
        <v>102</v>
      </c>
      <c r="F534" t="str">
        <f t="shared" si="11"/>
        <v>2018-05-20</v>
      </c>
      <c r="G534">
        <v>34.46</v>
      </c>
      <c r="H534" t="str">
        <f>"2018-01-02"</f>
        <v>2018-01-02</v>
      </c>
      <c r="I534" t="s">
        <v>26</v>
      </c>
      <c r="J534" t="str">
        <f>"2017-11-21"</f>
        <v>2017-11-21</v>
      </c>
      <c r="K534" t="s">
        <v>40</v>
      </c>
      <c r="L534">
        <v>2.2771878999999999</v>
      </c>
      <c r="M534">
        <v>533</v>
      </c>
      <c r="N534" s="1">
        <v>0.4758</v>
      </c>
      <c r="O534" s="1">
        <v>0.66310000000000002</v>
      </c>
      <c r="P534" s="1">
        <v>-1.5699999999999999E-2</v>
      </c>
      <c r="Q534" s="1">
        <v>5.9999999999999995E-4</v>
      </c>
      <c r="R534" s="1">
        <v>2.5999999999999999E-3</v>
      </c>
      <c r="S534" s="1">
        <v>1.1999999999999999E-3</v>
      </c>
      <c r="T534" s="1">
        <v>-1.4E-2</v>
      </c>
      <c r="U534" s="1">
        <v>0.69589999999999996</v>
      </c>
    </row>
    <row r="535" spans="1:21" x14ac:dyDescent="0.25">
      <c r="A535" t="s">
        <v>1211</v>
      </c>
      <c r="B535" t="s">
        <v>1212</v>
      </c>
      <c r="C535" t="s">
        <v>100</v>
      </c>
      <c r="D535" t="s">
        <v>217</v>
      </c>
      <c r="E535" t="s">
        <v>762</v>
      </c>
      <c r="F535" t="str">
        <f t="shared" si="11"/>
        <v>2018-05-20</v>
      </c>
      <c r="G535">
        <v>59.33</v>
      </c>
      <c r="H535" t="str">
        <f>"2017-07-03"</f>
        <v>2017-07-03</v>
      </c>
      <c r="I535" t="s">
        <v>26</v>
      </c>
      <c r="J535" t="str">
        <f>"2017-05-28"</f>
        <v>2017-05-28</v>
      </c>
      <c r="K535" t="s">
        <v>40</v>
      </c>
      <c r="L535">
        <v>2.2771393899999999</v>
      </c>
      <c r="M535">
        <v>534</v>
      </c>
      <c r="N535" s="1">
        <v>0.55269999999999997</v>
      </c>
      <c r="O535" s="1">
        <v>0.66279999999999994</v>
      </c>
      <c r="P535" s="1">
        <v>0</v>
      </c>
      <c r="Q535" s="1">
        <v>1.0699999999999999E-2</v>
      </c>
      <c r="R535" s="1">
        <v>4.7500000000000001E-2</v>
      </c>
      <c r="S535" s="1">
        <v>0.1638</v>
      </c>
      <c r="T535" s="1">
        <v>0.14099999999999999</v>
      </c>
      <c r="U535" s="1">
        <v>0.65169999999999995</v>
      </c>
    </row>
    <row r="536" spans="1:21" x14ac:dyDescent="0.25">
      <c r="A536" t="s">
        <v>1213</v>
      </c>
      <c r="B536" t="s">
        <v>1214</v>
      </c>
      <c r="C536" t="s">
        <v>43</v>
      </c>
      <c r="D536" t="s">
        <v>150</v>
      </c>
      <c r="E536" t="s">
        <v>151</v>
      </c>
      <c r="F536" t="str">
        <f t="shared" si="11"/>
        <v>2018-05-20</v>
      </c>
      <c r="G536">
        <v>39.799999999999997</v>
      </c>
      <c r="H536" t="str">
        <f>"2017-06-12"</f>
        <v>2017-06-12</v>
      </c>
      <c r="I536" t="s">
        <v>26</v>
      </c>
      <c r="J536" t="str">
        <f>"2017-06-08"</f>
        <v>2017-06-08</v>
      </c>
      <c r="K536" t="s">
        <v>40</v>
      </c>
      <c r="L536">
        <v>2.2769659</v>
      </c>
      <c r="M536">
        <v>535</v>
      </c>
      <c r="N536" s="1">
        <v>0.52780000000000005</v>
      </c>
      <c r="O536" s="1">
        <v>0.66180000000000005</v>
      </c>
      <c r="P536" s="1">
        <v>-7.2300000000000003E-2</v>
      </c>
      <c r="Q536" s="1">
        <v>0</v>
      </c>
      <c r="R536" s="1">
        <v>6.3E-3</v>
      </c>
      <c r="S536" s="1">
        <v>8.8900000000000007E-2</v>
      </c>
      <c r="T536" s="1">
        <v>0.12429999999999999</v>
      </c>
      <c r="U536" s="1">
        <v>0.95579999999999998</v>
      </c>
    </row>
    <row r="537" spans="1:21" x14ac:dyDescent="0.25">
      <c r="A537" t="s">
        <v>1215</v>
      </c>
      <c r="B537" t="s">
        <v>1216</v>
      </c>
      <c r="C537" t="s">
        <v>114</v>
      </c>
      <c r="D537" t="s">
        <v>225</v>
      </c>
      <c r="E537" t="s">
        <v>226</v>
      </c>
      <c r="F537" t="str">
        <f t="shared" si="11"/>
        <v>2018-05-20</v>
      </c>
      <c r="G537">
        <v>27.48</v>
      </c>
      <c r="H537" t="str">
        <f>"2017-10-09"</f>
        <v>2017-10-09</v>
      </c>
      <c r="I537" t="s">
        <v>26</v>
      </c>
      <c r="J537" t="str">
        <f>"2017-09-27"</f>
        <v>2017-09-27</v>
      </c>
      <c r="K537" t="s">
        <v>27</v>
      </c>
      <c r="L537">
        <v>2.2769044699999998</v>
      </c>
      <c r="M537">
        <v>536</v>
      </c>
      <c r="N537" s="1">
        <v>0.2026</v>
      </c>
      <c r="O537" s="1">
        <v>0.66139999999999999</v>
      </c>
      <c r="P537" s="1">
        <v>0</v>
      </c>
      <c r="Q537" s="1">
        <v>1.5100000000000001E-2</v>
      </c>
      <c r="R537" s="1">
        <v>5.7299999999999997E-2</v>
      </c>
      <c r="S537" s="1">
        <v>6.59E-2</v>
      </c>
      <c r="T537" s="1">
        <v>1.8499999999999999E-2</v>
      </c>
      <c r="U537" s="1">
        <v>0.47349999999999998</v>
      </c>
    </row>
    <row r="538" spans="1:21" x14ac:dyDescent="0.25">
      <c r="A538" t="s">
        <v>1217</v>
      </c>
      <c r="B538" t="s">
        <v>1218</v>
      </c>
      <c r="C538" t="s">
        <v>87</v>
      </c>
      <c r="D538" t="s">
        <v>88</v>
      </c>
      <c r="E538" t="s">
        <v>89</v>
      </c>
      <c r="F538" t="str">
        <f t="shared" si="11"/>
        <v>2018-05-20</v>
      </c>
      <c r="G538">
        <v>12.97</v>
      </c>
      <c r="H538" t="str">
        <f>"2018-05-06"</f>
        <v>2018-05-06</v>
      </c>
      <c r="I538" t="s">
        <v>26</v>
      </c>
      <c r="J538" t="str">
        <f>"2018-04-17"</f>
        <v>2018-04-17</v>
      </c>
      <c r="K538" t="s">
        <v>27</v>
      </c>
      <c r="L538">
        <v>2.2767819</v>
      </c>
      <c r="M538">
        <v>537</v>
      </c>
      <c r="N538" s="1">
        <v>0.156</v>
      </c>
      <c r="O538" s="1">
        <v>0.66069999999999995</v>
      </c>
      <c r="P538" s="1">
        <v>0</v>
      </c>
      <c r="Q538" s="1">
        <v>1.8100000000000002E-2</v>
      </c>
      <c r="R538" s="1">
        <v>9.9199999999999997E-2</v>
      </c>
      <c r="S538" s="1">
        <v>0.25559999999999999</v>
      </c>
      <c r="T538" s="1">
        <v>0.4622</v>
      </c>
      <c r="U538" s="1">
        <v>0.10009999999999999</v>
      </c>
    </row>
    <row r="539" spans="1:21" x14ac:dyDescent="0.25">
      <c r="A539" t="s">
        <v>1219</v>
      </c>
      <c r="B539" t="s">
        <v>1220</v>
      </c>
      <c r="C539" t="s">
        <v>87</v>
      </c>
      <c r="D539" t="s">
        <v>144</v>
      </c>
      <c r="E539" t="s">
        <v>145</v>
      </c>
      <c r="F539" t="str">
        <f t="shared" si="11"/>
        <v>2018-05-20</v>
      </c>
      <c r="G539">
        <v>7.19</v>
      </c>
      <c r="H539" t="str">
        <f>"2018-05-17"</f>
        <v>2018-05-17</v>
      </c>
      <c r="I539" t="s">
        <v>26</v>
      </c>
      <c r="J539" t="str">
        <f>"2018-04-17"</f>
        <v>2018-04-17</v>
      </c>
      <c r="K539" t="s">
        <v>27</v>
      </c>
      <c r="L539">
        <v>2.27611367</v>
      </c>
      <c r="M539">
        <v>538</v>
      </c>
      <c r="N539" s="1">
        <v>1.7000000000000001E-2</v>
      </c>
      <c r="O539" s="1">
        <v>0.65669999999999995</v>
      </c>
      <c r="P539" s="1">
        <v>0</v>
      </c>
      <c r="Q539" s="1">
        <v>1.1299999999999999E-2</v>
      </c>
      <c r="R539" s="1">
        <v>9.0999999999999998E-2</v>
      </c>
      <c r="S539" s="1">
        <v>0.1963</v>
      </c>
      <c r="T539" s="1">
        <v>0.38269999999999998</v>
      </c>
      <c r="U539" s="1">
        <v>-6.1400000000000003E-2</v>
      </c>
    </row>
    <row r="540" spans="1:21" x14ac:dyDescent="0.25">
      <c r="A540" t="s">
        <v>1221</v>
      </c>
      <c r="B540" t="s">
        <v>1222</v>
      </c>
      <c r="C540" t="s">
        <v>43</v>
      </c>
      <c r="D540" t="s">
        <v>169</v>
      </c>
      <c r="E540" t="s">
        <v>1223</v>
      </c>
      <c r="F540" t="str">
        <f t="shared" si="11"/>
        <v>2018-05-20</v>
      </c>
      <c r="G540">
        <v>60.22</v>
      </c>
      <c r="H540" t="str">
        <f>"2016-04-13"</f>
        <v>2016-04-13</v>
      </c>
      <c r="I540" t="s">
        <v>26</v>
      </c>
      <c r="J540" t="str">
        <f>"2015-09-28"</f>
        <v>2015-09-28</v>
      </c>
      <c r="K540" t="s">
        <v>57</v>
      </c>
      <c r="L540">
        <v>2.2753543700000001</v>
      </c>
      <c r="M540">
        <v>539</v>
      </c>
      <c r="N540" s="1">
        <v>0.32469999999999999</v>
      </c>
      <c r="O540" s="1">
        <v>0.65210000000000001</v>
      </c>
      <c r="P540" s="1">
        <v>-4.2599999999999999E-2</v>
      </c>
      <c r="Q540" s="1">
        <v>2.07E-2</v>
      </c>
      <c r="R540" s="1">
        <v>5.67E-2</v>
      </c>
      <c r="S540" s="1">
        <v>0.1298</v>
      </c>
      <c r="T540" s="1">
        <v>8.3699999999999997E-2</v>
      </c>
      <c r="U540" s="1">
        <v>0.2044</v>
      </c>
    </row>
    <row r="541" spans="1:21" x14ac:dyDescent="0.25">
      <c r="A541" t="s">
        <v>1224</v>
      </c>
      <c r="B541" t="s">
        <v>1225</v>
      </c>
      <c r="C541" t="s">
        <v>43</v>
      </c>
      <c r="D541" t="s">
        <v>44</v>
      </c>
      <c r="E541" t="s">
        <v>246</v>
      </c>
      <c r="F541" t="str">
        <f t="shared" si="11"/>
        <v>2018-05-20</v>
      </c>
      <c r="G541">
        <v>24.18</v>
      </c>
      <c r="H541" t="str">
        <f>"2018-01-25"</f>
        <v>2018-01-25</v>
      </c>
      <c r="I541" t="s">
        <v>26</v>
      </c>
      <c r="J541" t="str">
        <f>"2017-11-28"</f>
        <v>2017-11-28</v>
      </c>
      <c r="K541" t="s">
        <v>27</v>
      </c>
      <c r="L541">
        <v>2.2752732199999999</v>
      </c>
      <c r="M541">
        <v>540</v>
      </c>
      <c r="N541" s="1">
        <v>0.20599999999999999</v>
      </c>
      <c r="O541" s="1">
        <v>0.65159999999999996</v>
      </c>
      <c r="P541" s="1">
        <v>0</v>
      </c>
      <c r="Q541" s="1">
        <v>1.72E-2</v>
      </c>
      <c r="R541" s="1">
        <v>3.4700000000000002E-2</v>
      </c>
      <c r="S541" s="1">
        <v>0.1283</v>
      </c>
      <c r="T541" s="1">
        <v>0.17549999999999999</v>
      </c>
      <c r="U541" s="1">
        <v>0.2432</v>
      </c>
    </row>
    <row r="542" spans="1:21" x14ac:dyDescent="0.25">
      <c r="A542" t="s">
        <v>1226</v>
      </c>
      <c r="B542" t="s">
        <v>1227</v>
      </c>
      <c r="C542" t="s">
        <v>23</v>
      </c>
      <c r="D542" t="s">
        <v>52</v>
      </c>
      <c r="E542" t="s">
        <v>190</v>
      </c>
      <c r="F542" t="str">
        <f t="shared" si="11"/>
        <v>2018-05-20</v>
      </c>
      <c r="G542">
        <v>17.98</v>
      </c>
      <c r="H542" t="str">
        <f>"2018-04-11"</f>
        <v>2018-04-11</v>
      </c>
      <c r="I542" t="s">
        <v>26</v>
      </c>
      <c r="J542" t="str">
        <f>"2018-03-28"</f>
        <v>2018-03-28</v>
      </c>
      <c r="K542" t="s">
        <v>27</v>
      </c>
      <c r="L542">
        <v>2.27492355</v>
      </c>
      <c r="M542">
        <v>541</v>
      </c>
      <c r="N542" s="1">
        <v>8.0500000000000002E-2</v>
      </c>
      <c r="O542" s="1">
        <v>0.64949999999999997</v>
      </c>
      <c r="P542" s="1">
        <v>-1.5299999999999999E-2</v>
      </c>
      <c r="Q542" s="1">
        <v>-3.8999999999999998E-3</v>
      </c>
      <c r="R542" s="1">
        <v>9.5000000000000001E-2</v>
      </c>
      <c r="S542" s="1">
        <v>9.6299999999999997E-2</v>
      </c>
      <c r="T542" s="1">
        <v>0.54330000000000001</v>
      </c>
      <c r="U542" s="1">
        <v>-0.185</v>
      </c>
    </row>
    <row r="543" spans="1:21" x14ac:dyDescent="0.25">
      <c r="A543" t="s">
        <v>1228</v>
      </c>
      <c r="B543" t="s">
        <v>1229</v>
      </c>
      <c r="C543" t="s">
        <v>30</v>
      </c>
      <c r="D543" t="s">
        <v>31</v>
      </c>
      <c r="E543" t="s">
        <v>31</v>
      </c>
      <c r="F543" t="str">
        <f t="shared" si="11"/>
        <v>2018-05-20</v>
      </c>
      <c r="G543">
        <v>78.099999999999994</v>
      </c>
      <c r="H543" t="str">
        <f>"2016-07-14"</f>
        <v>2016-07-14</v>
      </c>
      <c r="I543" t="s">
        <v>26</v>
      </c>
      <c r="J543" t="str">
        <f>"2016-04-18"</f>
        <v>2016-04-18</v>
      </c>
      <c r="K543" t="s">
        <v>57</v>
      </c>
      <c r="L543">
        <v>2.2747291399999998</v>
      </c>
      <c r="M543">
        <v>542</v>
      </c>
      <c r="N543" s="1">
        <v>0.52629999999999999</v>
      </c>
      <c r="O543" s="1">
        <v>0.64839999999999998</v>
      </c>
      <c r="P543" s="1">
        <v>-1.4500000000000001E-2</v>
      </c>
      <c r="Q543" s="1">
        <v>2.7E-2</v>
      </c>
      <c r="R543" s="1">
        <v>3.0300000000000001E-2</v>
      </c>
      <c r="S543" s="1">
        <v>6.5500000000000003E-2</v>
      </c>
      <c r="T543" s="1">
        <v>0.12859999999999999</v>
      </c>
      <c r="U543" s="1">
        <v>0.26069999999999999</v>
      </c>
    </row>
    <row r="544" spans="1:21" x14ac:dyDescent="0.25">
      <c r="A544" t="s">
        <v>1230</v>
      </c>
      <c r="B544" t="s">
        <v>1231</v>
      </c>
      <c r="C544" t="s">
        <v>30</v>
      </c>
      <c r="D544" t="s">
        <v>347</v>
      </c>
      <c r="E544" t="s">
        <v>348</v>
      </c>
      <c r="F544" t="str">
        <f t="shared" si="11"/>
        <v>2018-05-20</v>
      </c>
      <c r="G544">
        <v>26.89</v>
      </c>
      <c r="H544" t="str">
        <f>"2018-02-27"</f>
        <v>2018-02-27</v>
      </c>
      <c r="I544" t="s">
        <v>26</v>
      </c>
      <c r="J544" t="str">
        <f>"2017-07-17"</f>
        <v>2017-07-17</v>
      </c>
      <c r="K544" t="s">
        <v>57</v>
      </c>
      <c r="L544">
        <v>2.2746119299999998</v>
      </c>
      <c r="M544">
        <v>543</v>
      </c>
      <c r="N544" s="1">
        <v>0.15959999999999999</v>
      </c>
      <c r="O544" s="1">
        <v>0.64770000000000005</v>
      </c>
      <c r="P544" s="1">
        <v>0</v>
      </c>
      <c r="Q544" s="1">
        <v>1.66E-2</v>
      </c>
      <c r="R544" s="1">
        <v>3.6999999999999998E-2</v>
      </c>
      <c r="S544" s="1">
        <v>3.2599999999999997E-2</v>
      </c>
      <c r="T544" s="1">
        <v>0.33450000000000002</v>
      </c>
      <c r="U544" s="1">
        <v>0.25130000000000002</v>
      </c>
    </row>
    <row r="545" spans="1:21" x14ac:dyDescent="0.25">
      <c r="A545" t="s">
        <v>1232</v>
      </c>
      <c r="B545" t="s">
        <v>1233</v>
      </c>
      <c r="C545" t="s">
        <v>43</v>
      </c>
      <c r="D545" t="s">
        <v>44</v>
      </c>
      <c r="E545" t="s">
        <v>246</v>
      </c>
      <c r="F545" t="str">
        <f t="shared" si="11"/>
        <v>2018-05-20</v>
      </c>
      <c r="G545">
        <v>66.55</v>
      </c>
      <c r="H545" t="str">
        <f>"2017-09-03"</f>
        <v>2017-09-03</v>
      </c>
      <c r="I545" t="s">
        <v>26</v>
      </c>
      <c r="J545" t="str">
        <f>"2017-02-28"</f>
        <v>2017-02-28</v>
      </c>
      <c r="K545" t="s">
        <v>40</v>
      </c>
      <c r="L545">
        <v>2.2745462000000001</v>
      </c>
      <c r="M545">
        <v>544</v>
      </c>
      <c r="N545" s="1">
        <v>0.29220000000000002</v>
      </c>
      <c r="O545" s="1">
        <v>0.64729999999999999</v>
      </c>
      <c r="P545" s="1">
        <v>-2.1299999999999999E-2</v>
      </c>
      <c r="Q545" s="1">
        <v>1.06E-2</v>
      </c>
      <c r="R545" s="1">
        <v>2.5399999999999999E-2</v>
      </c>
      <c r="S545" s="1">
        <v>-1.9199999999999998E-2</v>
      </c>
      <c r="T545" s="1">
        <v>0.18729999999999999</v>
      </c>
      <c r="U545" s="1">
        <v>0.42349999999999999</v>
      </c>
    </row>
    <row r="546" spans="1:21" x14ac:dyDescent="0.25">
      <c r="A546" t="s">
        <v>1234</v>
      </c>
      <c r="B546" t="s">
        <v>1235</v>
      </c>
      <c r="C546" t="s">
        <v>109</v>
      </c>
      <c r="D546" t="s">
        <v>110</v>
      </c>
      <c r="E546" t="s">
        <v>251</v>
      </c>
      <c r="F546" t="str">
        <f t="shared" si="11"/>
        <v>2018-05-20</v>
      </c>
      <c r="G546">
        <v>12</v>
      </c>
      <c r="H546" t="str">
        <f>"2018-02-28"</f>
        <v>2018-02-28</v>
      </c>
      <c r="I546" t="s">
        <v>26</v>
      </c>
      <c r="J546" t="str">
        <f>"2018-01-29"</f>
        <v>2018-01-29</v>
      </c>
      <c r="K546" t="s">
        <v>27</v>
      </c>
      <c r="L546">
        <v>2.2739726</v>
      </c>
      <c r="M546">
        <v>545</v>
      </c>
      <c r="N546" s="1">
        <v>7.1400000000000005E-2</v>
      </c>
      <c r="O546" s="1">
        <v>0.64380000000000004</v>
      </c>
      <c r="P546" s="1">
        <v>-2.4400000000000002E-2</v>
      </c>
      <c r="Q546" s="1">
        <v>1.2699999999999999E-2</v>
      </c>
      <c r="R546" s="1">
        <v>2.1299999999999999E-2</v>
      </c>
      <c r="S546" s="1">
        <v>9.0899999999999995E-2</v>
      </c>
      <c r="T546" s="1">
        <v>8.1100000000000005E-2</v>
      </c>
      <c r="U546" s="1">
        <v>2.1299999999999999E-2</v>
      </c>
    </row>
    <row r="547" spans="1:21" x14ac:dyDescent="0.25">
      <c r="A547" t="s">
        <v>1236</v>
      </c>
      <c r="B547" t="s">
        <v>1237</v>
      </c>
      <c r="C547" t="s">
        <v>30</v>
      </c>
      <c r="D547" t="s">
        <v>31</v>
      </c>
      <c r="E547" t="s">
        <v>31</v>
      </c>
      <c r="F547" t="str">
        <f t="shared" si="11"/>
        <v>2018-05-20</v>
      </c>
      <c r="G547">
        <v>28.45</v>
      </c>
      <c r="H547" t="str">
        <f>"2016-09-01"</f>
        <v>2016-09-01</v>
      </c>
      <c r="I547" t="s">
        <v>26</v>
      </c>
      <c r="J547" t="str">
        <f>"2016-07-25"</f>
        <v>2016-07-25</v>
      </c>
      <c r="K547" t="s">
        <v>27</v>
      </c>
      <c r="L547">
        <v>2.2737682800000001</v>
      </c>
      <c r="M547">
        <v>546</v>
      </c>
      <c r="N547" s="1">
        <v>0.59119999999999995</v>
      </c>
      <c r="O547" s="1">
        <v>0.64259999999999995</v>
      </c>
      <c r="P547" s="1">
        <v>-6.8699999999999997E-2</v>
      </c>
      <c r="Q547" s="1">
        <v>-8.6999999999999994E-3</v>
      </c>
      <c r="R547" s="1">
        <v>3.5000000000000001E-3</v>
      </c>
      <c r="S547" s="1">
        <v>-1.5599999999999999E-2</v>
      </c>
      <c r="T547" s="1">
        <v>7.1000000000000004E-3</v>
      </c>
      <c r="U547" s="1">
        <v>0.19789999999999999</v>
      </c>
    </row>
    <row r="548" spans="1:21" x14ac:dyDescent="0.25">
      <c r="A548" t="s">
        <v>1238</v>
      </c>
      <c r="B548" t="s">
        <v>1239</v>
      </c>
      <c r="C548" t="s">
        <v>43</v>
      </c>
      <c r="D548" t="s">
        <v>44</v>
      </c>
      <c r="E548" t="s">
        <v>246</v>
      </c>
      <c r="F548" t="str">
        <f t="shared" si="11"/>
        <v>2018-05-20</v>
      </c>
      <c r="G548">
        <v>94.2</v>
      </c>
      <c r="H548" t="str">
        <f>"2017-07-19"</f>
        <v>2017-07-19</v>
      </c>
      <c r="I548" t="s">
        <v>26</v>
      </c>
      <c r="J548" t="str">
        <f>"2017-07-10"</f>
        <v>2017-07-10</v>
      </c>
      <c r="K548" t="s">
        <v>40</v>
      </c>
      <c r="L548">
        <v>2.2732811100000001</v>
      </c>
      <c r="M548">
        <v>547</v>
      </c>
      <c r="N548" s="1">
        <v>0.41649999999999998</v>
      </c>
      <c r="O548" s="1">
        <v>0.63970000000000005</v>
      </c>
      <c r="P548" s="1">
        <v>0</v>
      </c>
      <c r="Q548" s="1">
        <v>5.0000000000000001E-4</v>
      </c>
      <c r="R548" s="1">
        <v>3.4599999999999999E-2</v>
      </c>
      <c r="S548" s="1">
        <v>9.7900000000000001E-2</v>
      </c>
      <c r="T548" s="1">
        <v>0.19539999999999999</v>
      </c>
      <c r="U548" s="1">
        <v>0.54549999999999998</v>
      </c>
    </row>
    <row r="549" spans="1:21" x14ac:dyDescent="0.25">
      <c r="A549" t="s">
        <v>1240</v>
      </c>
      <c r="B549" t="s">
        <v>1241</v>
      </c>
      <c r="C549" t="s">
        <v>43</v>
      </c>
      <c r="D549" t="s">
        <v>44</v>
      </c>
      <c r="E549" t="s">
        <v>246</v>
      </c>
      <c r="F549" t="str">
        <f t="shared" si="11"/>
        <v>2018-05-20</v>
      </c>
      <c r="G549">
        <v>47.3</v>
      </c>
      <c r="H549" t="str">
        <f>"2017-08-14"</f>
        <v>2017-08-14</v>
      </c>
      <c r="I549" t="s">
        <v>26</v>
      </c>
      <c r="J549" t="str">
        <f>"2017-07-10"</f>
        <v>2017-07-10</v>
      </c>
      <c r="K549" t="s">
        <v>57</v>
      </c>
      <c r="L549">
        <v>2.2732524600000001</v>
      </c>
      <c r="M549">
        <v>548</v>
      </c>
      <c r="N549" s="1">
        <v>0.504</v>
      </c>
      <c r="O549" s="1">
        <v>0.63949999999999996</v>
      </c>
      <c r="P549" s="1">
        <v>0</v>
      </c>
      <c r="Q549" s="1">
        <v>2.3800000000000002E-2</v>
      </c>
      <c r="R549" s="1">
        <v>4.7600000000000003E-2</v>
      </c>
      <c r="S549" s="1">
        <v>7.2599999999999998E-2</v>
      </c>
      <c r="T549" s="1">
        <v>8.8599999999999998E-2</v>
      </c>
      <c r="U549" s="1">
        <v>0.68630000000000002</v>
      </c>
    </row>
    <row r="550" spans="1:21" x14ac:dyDescent="0.25">
      <c r="A550" t="s">
        <v>1242</v>
      </c>
      <c r="B550" t="s">
        <v>1243</v>
      </c>
      <c r="C550" t="s">
        <v>23</v>
      </c>
      <c r="D550" t="s">
        <v>52</v>
      </c>
      <c r="E550" t="s">
        <v>190</v>
      </c>
      <c r="F550" t="str">
        <f t="shared" si="11"/>
        <v>2018-05-20</v>
      </c>
      <c r="G550">
        <v>13.49</v>
      </c>
      <c r="H550" t="str">
        <f>"2018-05-06"</f>
        <v>2018-05-06</v>
      </c>
      <c r="I550" t="s">
        <v>26</v>
      </c>
      <c r="J550" t="str">
        <f>"2017-02-23"</f>
        <v>2017-02-23</v>
      </c>
      <c r="K550" t="s">
        <v>57</v>
      </c>
      <c r="L550">
        <v>2.27285599</v>
      </c>
      <c r="M550">
        <v>549</v>
      </c>
      <c r="N550" s="1">
        <v>-5.1999999999999998E-3</v>
      </c>
      <c r="O550" s="1">
        <v>0.6371</v>
      </c>
      <c r="P550" s="1">
        <v>-9.4600000000000004E-2</v>
      </c>
      <c r="Q550" s="1">
        <v>1.5E-3</v>
      </c>
      <c r="R550" s="1">
        <v>-4.4000000000000003E-3</v>
      </c>
      <c r="S550" s="1">
        <v>-4.4000000000000003E-3</v>
      </c>
      <c r="T550" s="1">
        <v>0.22189999999999999</v>
      </c>
      <c r="U550" s="1">
        <v>-4.8000000000000001E-2</v>
      </c>
    </row>
    <row r="551" spans="1:21" x14ac:dyDescent="0.25">
      <c r="A551" t="s">
        <v>1244</v>
      </c>
      <c r="B551" t="s">
        <v>1245</v>
      </c>
      <c r="C551" t="s">
        <v>30</v>
      </c>
      <c r="D551" t="s">
        <v>31</v>
      </c>
      <c r="E551" t="s">
        <v>31</v>
      </c>
      <c r="F551" t="str">
        <f t="shared" si="11"/>
        <v>2018-05-20</v>
      </c>
      <c r="G551">
        <v>8.8000000000000007</v>
      </c>
      <c r="H551" t="str">
        <f>"2016-04-25"</f>
        <v>2016-04-25</v>
      </c>
      <c r="I551" t="s">
        <v>26</v>
      </c>
      <c r="J551" t="str">
        <f>"2016-04-12"</f>
        <v>2016-04-12</v>
      </c>
      <c r="K551" t="s">
        <v>27</v>
      </c>
      <c r="L551">
        <v>2.2726146200000001</v>
      </c>
      <c r="M551">
        <v>550</v>
      </c>
      <c r="N551" s="1">
        <v>0.36859999999999998</v>
      </c>
      <c r="O551" s="1">
        <v>0.63570000000000004</v>
      </c>
      <c r="P551" s="1">
        <v>-9.2799999999999994E-2</v>
      </c>
      <c r="Q551" s="1">
        <v>5.7000000000000002E-3</v>
      </c>
      <c r="R551" s="1">
        <v>2.3300000000000001E-2</v>
      </c>
      <c r="S551" s="1">
        <v>5.7000000000000002E-3</v>
      </c>
      <c r="T551" s="1">
        <v>-5.5999999999999999E-3</v>
      </c>
      <c r="U551" s="1">
        <v>0.1656</v>
      </c>
    </row>
    <row r="552" spans="1:21" x14ac:dyDescent="0.25">
      <c r="A552" t="s">
        <v>1246</v>
      </c>
      <c r="B552" t="s">
        <v>1247</v>
      </c>
      <c r="C552" t="s">
        <v>87</v>
      </c>
      <c r="D552" t="s">
        <v>144</v>
      </c>
      <c r="E552" t="s">
        <v>145</v>
      </c>
      <c r="F552" t="str">
        <f t="shared" si="11"/>
        <v>2018-05-20</v>
      </c>
      <c r="G552">
        <v>15.39</v>
      </c>
      <c r="H552" t="str">
        <f>"2018-05-15"</f>
        <v>2018-05-15</v>
      </c>
      <c r="I552" t="s">
        <v>26</v>
      </c>
      <c r="J552" t="str">
        <f>"2018-04-23"</f>
        <v>2018-04-23</v>
      </c>
      <c r="K552" t="s">
        <v>27</v>
      </c>
      <c r="L552">
        <v>2.2725823599999999</v>
      </c>
      <c r="M552">
        <v>551</v>
      </c>
      <c r="N552" s="1">
        <v>5.4100000000000002E-2</v>
      </c>
      <c r="O552" s="1">
        <v>0.63549999999999995</v>
      </c>
      <c r="P552" s="1">
        <v>0</v>
      </c>
      <c r="Q552" s="1">
        <v>1.12E-2</v>
      </c>
      <c r="R552" s="1">
        <v>5.8500000000000003E-2</v>
      </c>
      <c r="S552" s="1">
        <v>0.27510000000000001</v>
      </c>
      <c r="T552" s="1">
        <v>0.49559999999999998</v>
      </c>
      <c r="U552" s="1">
        <v>-0.1426</v>
      </c>
    </row>
    <row r="553" spans="1:21" x14ac:dyDescent="0.25">
      <c r="A553" t="s">
        <v>1248</v>
      </c>
      <c r="B553" t="s">
        <v>1249</v>
      </c>
      <c r="C553" t="s">
        <v>30</v>
      </c>
      <c r="D553" t="s">
        <v>299</v>
      </c>
      <c r="E553" t="s">
        <v>1250</v>
      </c>
      <c r="F553" t="str">
        <f t="shared" si="11"/>
        <v>2018-05-20</v>
      </c>
      <c r="G553">
        <v>23.79</v>
      </c>
      <c r="H553" t="str">
        <f>"2016-06-29"</f>
        <v>2016-06-29</v>
      </c>
      <c r="I553" t="s">
        <v>26</v>
      </c>
      <c r="J553" t="str">
        <f>"2016-06-01"</f>
        <v>2016-06-01</v>
      </c>
      <c r="K553" t="s">
        <v>27</v>
      </c>
      <c r="L553">
        <v>2.27194787</v>
      </c>
      <c r="M553">
        <v>552</v>
      </c>
      <c r="N553" s="1">
        <v>0.42630000000000001</v>
      </c>
      <c r="O553" s="1">
        <v>0.63170000000000004</v>
      </c>
      <c r="P553" s="1">
        <v>0</v>
      </c>
      <c r="Q553" s="1">
        <v>1.06E-2</v>
      </c>
      <c r="R553" s="1">
        <v>3.8899999999999997E-2</v>
      </c>
      <c r="S553" s="1">
        <v>0.16500000000000001</v>
      </c>
      <c r="T553" s="1">
        <v>0.2009</v>
      </c>
      <c r="U553" s="1">
        <v>0.3291</v>
      </c>
    </row>
    <row r="554" spans="1:21" x14ac:dyDescent="0.25">
      <c r="A554" t="s">
        <v>1251</v>
      </c>
      <c r="B554" t="s">
        <v>1252</v>
      </c>
      <c r="C554" t="s">
        <v>23</v>
      </c>
      <c r="D554" t="s">
        <v>52</v>
      </c>
      <c r="E554" t="s">
        <v>190</v>
      </c>
      <c r="F554" t="str">
        <f t="shared" si="11"/>
        <v>2018-05-20</v>
      </c>
      <c r="G554">
        <v>25.59</v>
      </c>
      <c r="H554" t="str">
        <f>"2017-10-24"</f>
        <v>2017-10-24</v>
      </c>
      <c r="I554" t="s">
        <v>26</v>
      </c>
      <c r="J554" t="str">
        <f>"2017-09-13"</f>
        <v>2017-09-13</v>
      </c>
      <c r="K554" t="s">
        <v>27</v>
      </c>
      <c r="L554">
        <v>2.2718291900000001</v>
      </c>
      <c r="M554">
        <v>553</v>
      </c>
      <c r="N554" s="1">
        <v>0.2215</v>
      </c>
      <c r="O554" s="1">
        <v>0.63100000000000001</v>
      </c>
      <c r="P554" s="1">
        <v>-2.3E-3</v>
      </c>
      <c r="Q554" s="1">
        <v>-2.3E-3</v>
      </c>
      <c r="R554" s="1">
        <v>4.19E-2</v>
      </c>
      <c r="S554" s="1">
        <v>0.19639999999999999</v>
      </c>
      <c r="T554" s="1">
        <v>0.28920000000000001</v>
      </c>
      <c r="U554" s="1">
        <v>0.44990000000000002</v>
      </c>
    </row>
    <row r="555" spans="1:21" x14ac:dyDescent="0.25">
      <c r="A555" t="s">
        <v>1253</v>
      </c>
      <c r="B555" t="s">
        <v>1254</v>
      </c>
      <c r="C555" t="s">
        <v>30</v>
      </c>
      <c r="D555" t="s">
        <v>31</v>
      </c>
      <c r="E555" t="s">
        <v>31</v>
      </c>
      <c r="F555" t="str">
        <f t="shared" si="11"/>
        <v>2018-05-20</v>
      </c>
      <c r="G555">
        <v>9.85</v>
      </c>
      <c r="H555" t="str">
        <f>"2017-01-15"</f>
        <v>2017-01-15</v>
      </c>
      <c r="I555" t="s">
        <v>26</v>
      </c>
      <c r="J555" t="str">
        <f>"2016-12-18"</f>
        <v>2016-12-18</v>
      </c>
      <c r="K555" t="s">
        <v>27</v>
      </c>
      <c r="L555">
        <v>2.2713498599999999</v>
      </c>
      <c r="M555">
        <v>554</v>
      </c>
      <c r="N555" s="1">
        <v>0.28760000000000002</v>
      </c>
      <c r="O555" s="1">
        <v>0.62809999999999999</v>
      </c>
      <c r="P555" s="1">
        <v>-1.01E-2</v>
      </c>
      <c r="Q555" s="1">
        <v>5.1000000000000004E-3</v>
      </c>
      <c r="R555" s="1">
        <v>2.5999999999999999E-2</v>
      </c>
      <c r="S555" s="1">
        <v>2.5999999999999999E-2</v>
      </c>
      <c r="T555" s="1">
        <v>0.16569999999999999</v>
      </c>
      <c r="U555" s="1">
        <v>0.24679999999999999</v>
      </c>
    </row>
    <row r="556" spans="1:21" x14ac:dyDescent="0.25">
      <c r="A556" t="s">
        <v>1255</v>
      </c>
      <c r="B556" t="s">
        <v>1256</v>
      </c>
      <c r="C556" t="s">
        <v>43</v>
      </c>
      <c r="D556" t="s">
        <v>193</v>
      </c>
      <c r="E556" t="s">
        <v>239</v>
      </c>
      <c r="F556" t="str">
        <f t="shared" si="11"/>
        <v>2018-05-20</v>
      </c>
      <c r="G556">
        <v>28.52</v>
      </c>
      <c r="H556" t="str">
        <f>"2016-12-06"</f>
        <v>2016-12-06</v>
      </c>
      <c r="I556" t="s">
        <v>26</v>
      </c>
      <c r="J556" t="str">
        <f>"2016-11-02"</f>
        <v>2016-11-02</v>
      </c>
      <c r="K556" t="s">
        <v>40</v>
      </c>
      <c r="L556">
        <v>2.2713089800000001</v>
      </c>
      <c r="M556">
        <v>555</v>
      </c>
      <c r="N556" s="1">
        <v>0.37780000000000002</v>
      </c>
      <c r="O556" s="1">
        <v>0.62790000000000001</v>
      </c>
      <c r="P556" s="1">
        <v>-8.1799999999999998E-2</v>
      </c>
      <c r="Q556" s="1">
        <v>2.5000000000000001E-3</v>
      </c>
      <c r="R556" s="1">
        <v>5.0099999999999999E-2</v>
      </c>
      <c r="S556" s="1">
        <v>-4.7399999999999998E-2</v>
      </c>
      <c r="T556" s="1">
        <v>-3.9699999999999999E-2</v>
      </c>
      <c r="U556" s="1">
        <v>0.23780000000000001</v>
      </c>
    </row>
    <row r="557" spans="1:21" x14ac:dyDescent="0.25">
      <c r="A557" t="s">
        <v>1257</v>
      </c>
      <c r="B557" t="s">
        <v>1258</v>
      </c>
      <c r="C557" t="s">
        <v>30</v>
      </c>
      <c r="D557" t="s">
        <v>31</v>
      </c>
      <c r="E557" t="s">
        <v>31</v>
      </c>
      <c r="F557" t="str">
        <f t="shared" si="11"/>
        <v>2018-05-20</v>
      </c>
      <c r="G557">
        <v>18.8</v>
      </c>
      <c r="H557" t="str">
        <f>"2016-09-08"</f>
        <v>2016-09-08</v>
      </c>
      <c r="I557" t="s">
        <v>26</v>
      </c>
      <c r="J557" t="str">
        <f>"2016-08-01"</f>
        <v>2016-08-01</v>
      </c>
      <c r="K557" t="s">
        <v>40</v>
      </c>
      <c r="L557">
        <v>2.2712842700000002</v>
      </c>
      <c r="M557">
        <v>556</v>
      </c>
      <c r="N557" s="1">
        <v>0.58250000000000002</v>
      </c>
      <c r="O557" s="1">
        <v>0.62770000000000004</v>
      </c>
      <c r="P557" s="1">
        <v>-2.5399999999999999E-2</v>
      </c>
      <c r="Q557" s="1">
        <v>1.18E-2</v>
      </c>
      <c r="R557" s="1">
        <v>3.8100000000000002E-2</v>
      </c>
      <c r="S557" s="1">
        <v>-3.2000000000000002E-3</v>
      </c>
      <c r="T557" s="1">
        <v>7.3700000000000002E-2</v>
      </c>
      <c r="U557" s="1">
        <v>0.18240000000000001</v>
      </c>
    </row>
    <row r="558" spans="1:21" x14ac:dyDescent="0.25">
      <c r="A558" t="s">
        <v>1259</v>
      </c>
      <c r="B558" t="s">
        <v>1260</v>
      </c>
      <c r="C558" t="s">
        <v>109</v>
      </c>
      <c r="D558" t="s">
        <v>156</v>
      </c>
      <c r="E558" t="s">
        <v>284</v>
      </c>
      <c r="F558" t="str">
        <f t="shared" si="11"/>
        <v>2018-05-20</v>
      </c>
      <c r="G558">
        <v>12.6</v>
      </c>
      <c r="H558" t="str">
        <f>"2017-10-03"</f>
        <v>2017-10-03</v>
      </c>
      <c r="I558" t="s">
        <v>26</v>
      </c>
      <c r="J558" t="str">
        <f>"2017-08-31"</f>
        <v>2017-08-31</v>
      </c>
      <c r="K558" t="s">
        <v>27</v>
      </c>
      <c r="L558">
        <v>2.2709677400000001</v>
      </c>
      <c r="M558">
        <v>557</v>
      </c>
      <c r="N558" s="1">
        <v>0.16669999999999999</v>
      </c>
      <c r="O558" s="1">
        <v>0.62580000000000002</v>
      </c>
      <c r="P558" s="1">
        <v>0</v>
      </c>
      <c r="Q558" s="1">
        <v>4.1300000000000003E-2</v>
      </c>
      <c r="R558" s="1">
        <v>0.1613</v>
      </c>
      <c r="S558" s="1">
        <v>0.12</v>
      </c>
      <c r="T558" s="1">
        <v>0.1507</v>
      </c>
      <c r="U558" s="1">
        <v>8.1500000000000003E-2</v>
      </c>
    </row>
    <row r="559" spans="1:21" x14ac:dyDescent="0.25">
      <c r="A559" t="s">
        <v>1261</v>
      </c>
      <c r="B559" t="s">
        <v>1262</v>
      </c>
      <c r="C559" t="s">
        <v>109</v>
      </c>
      <c r="D559" t="s">
        <v>156</v>
      </c>
      <c r="E559" t="s">
        <v>277</v>
      </c>
      <c r="F559" t="str">
        <f t="shared" si="11"/>
        <v>2018-05-20</v>
      </c>
      <c r="G559">
        <v>32.08</v>
      </c>
      <c r="H559" t="str">
        <f>"2016-10-10"</f>
        <v>2016-10-10</v>
      </c>
      <c r="I559" t="s">
        <v>26</v>
      </c>
      <c r="J559" t="str">
        <f>"2016-09-22"</f>
        <v>2016-09-22</v>
      </c>
      <c r="K559" t="s">
        <v>27</v>
      </c>
      <c r="L559">
        <v>2.2708544399999999</v>
      </c>
      <c r="M559">
        <v>558</v>
      </c>
      <c r="N559" s="1">
        <v>0.45490000000000003</v>
      </c>
      <c r="O559" s="1">
        <v>0.62509999999999999</v>
      </c>
      <c r="P559" s="1">
        <v>-5.3400000000000003E-2</v>
      </c>
      <c r="Q559" s="1">
        <v>2.52E-2</v>
      </c>
      <c r="R559" s="1">
        <v>3.4500000000000003E-2</v>
      </c>
      <c r="S559" s="1">
        <v>8.5300000000000001E-2</v>
      </c>
      <c r="T559" s="1">
        <v>4.5600000000000002E-2</v>
      </c>
      <c r="U559" s="1">
        <v>0.33279999999999998</v>
      </c>
    </row>
    <row r="560" spans="1:21" x14ac:dyDescent="0.25">
      <c r="A560" t="s">
        <v>1263</v>
      </c>
      <c r="B560" t="s">
        <v>1264</v>
      </c>
      <c r="C560" t="s">
        <v>37</v>
      </c>
      <c r="D560" t="s">
        <v>66</v>
      </c>
      <c r="E560" t="s">
        <v>94</v>
      </c>
      <c r="F560" t="str">
        <f t="shared" si="11"/>
        <v>2018-05-20</v>
      </c>
      <c r="G560">
        <v>93.85</v>
      </c>
      <c r="H560" t="str">
        <f>"2017-11-12"</f>
        <v>2017-11-12</v>
      </c>
      <c r="I560" t="s">
        <v>26</v>
      </c>
      <c r="J560" t="str">
        <f>"2017-10-17"</f>
        <v>2017-10-17</v>
      </c>
      <c r="K560" t="s">
        <v>27</v>
      </c>
      <c r="L560">
        <v>2.2708513699999999</v>
      </c>
      <c r="M560">
        <v>559</v>
      </c>
      <c r="N560" s="1">
        <v>0.37609999999999999</v>
      </c>
      <c r="O560" s="1">
        <v>0.62509999999999999</v>
      </c>
      <c r="P560" s="1">
        <v>-8.5000000000000006E-3</v>
      </c>
      <c r="Q560" s="1">
        <v>6.4000000000000003E-3</v>
      </c>
      <c r="R560" s="1">
        <v>3.6999999999999998E-2</v>
      </c>
      <c r="S560" s="1">
        <v>-6.4000000000000003E-3</v>
      </c>
      <c r="T560" s="1">
        <v>0.18870000000000001</v>
      </c>
      <c r="U560" s="1">
        <v>0.48970000000000002</v>
      </c>
    </row>
    <row r="561" spans="1:21" x14ac:dyDescent="0.25">
      <c r="A561" t="s">
        <v>1265</v>
      </c>
      <c r="B561" t="s">
        <v>1266</v>
      </c>
      <c r="C561" t="s">
        <v>37</v>
      </c>
      <c r="D561" t="s">
        <v>66</v>
      </c>
      <c r="E561" t="s">
        <v>72</v>
      </c>
      <c r="F561" t="str">
        <f t="shared" si="11"/>
        <v>2018-05-20</v>
      </c>
      <c r="G561">
        <v>40.950000000000003</v>
      </c>
      <c r="H561" t="str">
        <f>"2018-01-23"</f>
        <v>2018-01-23</v>
      </c>
      <c r="I561" t="s">
        <v>26</v>
      </c>
      <c r="J561" t="str">
        <f>"2017-11-19"</f>
        <v>2017-11-19</v>
      </c>
      <c r="K561" t="s">
        <v>40</v>
      </c>
      <c r="L561">
        <v>2.27029703</v>
      </c>
      <c r="M561">
        <v>560</v>
      </c>
      <c r="N561" s="1">
        <v>0.19040000000000001</v>
      </c>
      <c r="O561" s="1">
        <v>0.62180000000000002</v>
      </c>
      <c r="P561" s="1">
        <v>-2.3800000000000002E-2</v>
      </c>
      <c r="Q561" s="1">
        <v>3.7000000000000002E-3</v>
      </c>
      <c r="R561" s="1">
        <v>1.9900000000000001E-2</v>
      </c>
      <c r="S561" s="1">
        <v>0.21879999999999999</v>
      </c>
      <c r="T561" s="1">
        <v>0.19739999999999999</v>
      </c>
      <c r="U561" s="1">
        <v>0.44440000000000002</v>
      </c>
    </row>
    <row r="562" spans="1:21" x14ac:dyDescent="0.25">
      <c r="A562" t="s">
        <v>1267</v>
      </c>
      <c r="B562" t="s">
        <v>1268</v>
      </c>
      <c r="C562" t="s">
        <v>109</v>
      </c>
      <c r="D562" t="s">
        <v>110</v>
      </c>
      <c r="E562" t="s">
        <v>111</v>
      </c>
      <c r="F562" t="str">
        <f t="shared" si="11"/>
        <v>2018-05-20</v>
      </c>
      <c r="G562">
        <v>36.380000000000003</v>
      </c>
      <c r="H562" t="str">
        <f>"2017-12-11"</f>
        <v>2017-12-11</v>
      </c>
      <c r="I562" t="s">
        <v>26</v>
      </c>
      <c r="J562" t="str">
        <f>"2017-09-19"</f>
        <v>2017-09-19</v>
      </c>
      <c r="K562" t="s">
        <v>40</v>
      </c>
      <c r="L562">
        <v>2.2700816599999998</v>
      </c>
      <c r="M562">
        <v>561</v>
      </c>
      <c r="N562" s="1">
        <v>0.33019999999999999</v>
      </c>
      <c r="O562" s="1">
        <v>0.62050000000000005</v>
      </c>
      <c r="P562" s="1">
        <v>0</v>
      </c>
      <c r="Q562" s="1">
        <v>4.3900000000000002E-2</v>
      </c>
      <c r="R562" s="1">
        <v>9.0899999999999995E-2</v>
      </c>
      <c r="S562" s="1">
        <v>9.1200000000000003E-2</v>
      </c>
      <c r="T562" s="1">
        <v>0.14760000000000001</v>
      </c>
      <c r="U562" s="1">
        <v>0.28320000000000001</v>
      </c>
    </row>
    <row r="563" spans="1:21" x14ac:dyDescent="0.25">
      <c r="A563" t="s">
        <v>1269</v>
      </c>
      <c r="B563" t="s">
        <v>1270</v>
      </c>
      <c r="C563" t="s">
        <v>30</v>
      </c>
      <c r="D563" t="s">
        <v>31</v>
      </c>
      <c r="E563" t="s">
        <v>31</v>
      </c>
      <c r="F563" t="str">
        <f t="shared" si="11"/>
        <v>2018-05-20</v>
      </c>
      <c r="G563">
        <v>24.7</v>
      </c>
      <c r="H563" t="str">
        <f>"2016-07-17"</f>
        <v>2016-07-17</v>
      </c>
      <c r="I563" t="s">
        <v>26</v>
      </c>
      <c r="J563" t="str">
        <f>"2016-07-05"</f>
        <v>2016-07-05</v>
      </c>
      <c r="K563" t="s">
        <v>40</v>
      </c>
      <c r="L563">
        <v>2.2690631799999998</v>
      </c>
      <c r="M563">
        <v>562</v>
      </c>
      <c r="N563" s="1">
        <v>0.4521</v>
      </c>
      <c r="O563" s="1">
        <v>0.61439999999999995</v>
      </c>
      <c r="P563" s="1">
        <v>-5.8999999999999997E-2</v>
      </c>
      <c r="Q563" s="1">
        <v>1.0200000000000001E-2</v>
      </c>
      <c r="R563" s="1">
        <v>1.6500000000000001E-2</v>
      </c>
      <c r="S563" s="1">
        <v>0.1027</v>
      </c>
      <c r="T563" s="1">
        <v>2.07E-2</v>
      </c>
      <c r="U563" s="1">
        <v>0.13039999999999999</v>
      </c>
    </row>
    <row r="564" spans="1:21" x14ac:dyDescent="0.25">
      <c r="A564" t="s">
        <v>1271</v>
      </c>
      <c r="B564" t="s">
        <v>1272</v>
      </c>
      <c r="C564" t="s">
        <v>23</v>
      </c>
      <c r="D564" t="s">
        <v>24</v>
      </c>
      <c r="E564" t="s">
        <v>164</v>
      </c>
      <c r="F564" t="str">
        <f t="shared" si="11"/>
        <v>2018-05-20</v>
      </c>
      <c r="G564">
        <v>17.09</v>
      </c>
      <c r="H564" t="str">
        <f>"2018-02-13"</f>
        <v>2018-02-13</v>
      </c>
      <c r="I564" t="s">
        <v>26</v>
      </c>
      <c r="J564" t="str">
        <f>"2017-09-13"</f>
        <v>2017-09-13</v>
      </c>
      <c r="K564" t="s">
        <v>57</v>
      </c>
      <c r="L564">
        <v>2.2684574300000002</v>
      </c>
      <c r="M564">
        <v>563</v>
      </c>
      <c r="N564" s="1">
        <v>8.3699999999999997E-2</v>
      </c>
      <c r="O564" s="1">
        <v>0.61070000000000002</v>
      </c>
      <c r="P564" s="1">
        <v>-5.7999999999999996E-3</v>
      </c>
      <c r="Q564" s="1">
        <v>7.1000000000000004E-3</v>
      </c>
      <c r="R564" s="1">
        <v>6.0199999999999997E-2</v>
      </c>
      <c r="S564" s="1">
        <v>0.1348</v>
      </c>
      <c r="T564" s="1">
        <v>8.5800000000000001E-2</v>
      </c>
      <c r="U564" s="1">
        <v>-6.3600000000000004E-2</v>
      </c>
    </row>
    <row r="565" spans="1:21" x14ac:dyDescent="0.25">
      <c r="A565" t="s">
        <v>1273</v>
      </c>
      <c r="B565" t="s">
        <v>1274</v>
      </c>
      <c r="C565" t="s">
        <v>30</v>
      </c>
      <c r="D565" t="s">
        <v>31</v>
      </c>
      <c r="E565" t="s">
        <v>31</v>
      </c>
      <c r="F565" t="str">
        <f t="shared" si="11"/>
        <v>2018-05-20</v>
      </c>
      <c r="G565">
        <v>15.75</v>
      </c>
      <c r="H565" t="str">
        <f>"2016-07-27"</f>
        <v>2016-07-27</v>
      </c>
      <c r="I565" t="s">
        <v>26</v>
      </c>
      <c r="J565" t="str">
        <f>"2016-05-25"</f>
        <v>2016-05-25</v>
      </c>
      <c r="K565" t="s">
        <v>27</v>
      </c>
      <c r="L565">
        <v>2.2678571399999998</v>
      </c>
      <c r="M565">
        <v>564</v>
      </c>
      <c r="N565" s="1">
        <v>0.49149999999999999</v>
      </c>
      <c r="O565" s="1">
        <v>0.60709999999999997</v>
      </c>
      <c r="P565" s="1">
        <v>-5.4100000000000002E-2</v>
      </c>
      <c r="Q565" s="1">
        <v>1.29E-2</v>
      </c>
      <c r="R565" s="1">
        <v>3.2800000000000003E-2</v>
      </c>
      <c r="S565" s="1">
        <v>-6.3E-3</v>
      </c>
      <c r="T565" s="1">
        <v>-3.2000000000000002E-3</v>
      </c>
      <c r="U565" s="1">
        <v>0</v>
      </c>
    </row>
    <row r="566" spans="1:21" x14ac:dyDescent="0.25">
      <c r="A566" t="s">
        <v>1275</v>
      </c>
      <c r="B566" t="s">
        <v>1276</v>
      </c>
      <c r="C566" t="s">
        <v>43</v>
      </c>
      <c r="D566" t="s">
        <v>374</v>
      </c>
      <c r="E566" t="s">
        <v>375</v>
      </c>
      <c r="F566" t="str">
        <f t="shared" si="11"/>
        <v>2018-05-20</v>
      </c>
      <c r="G566">
        <v>133.91999999999999</v>
      </c>
      <c r="H566" t="str">
        <f>"2017-07-19"</f>
        <v>2017-07-19</v>
      </c>
      <c r="I566" t="s">
        <v>26</v>
      </c>
      <c r="J566" t="str">
        <f>"2017-03-22"</f>
        <v>2017-03-22</v>
      </c>
      <c r="K566" t="s">
        <v>40</v>
      </c>
      <c r="L566">
        <v>2.2675938100000002</v>
      </c>
      <c r="M566">
        <v>565</v>
      </c>
      <c r="N566" s="1">
        <v>0.40970000000000001</v>
      </c>
      <c r="O566" s="1">
        <v>0.60560000000000003</v>
      </c>
      <c r="P566" s="1">
        <v>-5.7299999999999997E-2</v>
      </c>
      <c r="Q566" s="1">
        <v>1.54E-2</v>
      </c>
      <c r="R566" s="1">
        <v>1.5900000000000001E-2</v>
      </c>
      <c r="S566" s="1">
        <v>-5.0999999999999997E-2</v>
      </c>
      <c r="T566" s="1">
        <v>-2.7799999999999998E-2</v>
      </c>
      <c r="U566" s="1">
        <v>0.57240000000000002</v>
      </c>
    </row>
    <row r="567" spans="1:21" x14ac:dyDescent="0.25">
      <c r="A567" t="s">
        <v>1277</v>
      </c>
      <c r="B567" t="s">
        <v>1278</v>
      </c>
      <c r="C567" t="s">
        <v>23</v>
      </c>
      <c r="D567" t="s">
        <v>411</v>
      </c>
      <c r="E567" t="s">
        <v>412</v>
      </c>
      <c r="F567" t="str">
        <f t="shared" si="11"/>
        <v>2018-05-20</v>
      </c>
      <c r="G567">
        <v>35.15</v>
      </c>
      <c r="H567" t="str">
        <f>"2017-05-14"</f>
        <v>2017-05-14</v>
      </c>
      <c r="I567" t="s">
        <v>26</v>
      </c>
      <c r="J567" t="str">
        <f>"2017-04-02"</f>
        <v>2017-04-02</v>
      </c>
      <c r="K567" t="s">
        <v>27</v>
      </c>
      <c r="L567">
        <v>2.26750381</v>
      </c>
      <c r="M567">
        <v>566</v>
      </c>
      <c r="N567" s="1">
        <v>0.2712</v>
      </c>
      <c r="O567" s="1">
        <v>0.60499999999999998</v>
      </c>
      <c r="P567" s="1">
        <v>-1.54E-2</v>
      </c>
      <c r="Q567" s="1">
        <v>2.8999999999999998E-3</v>
      </c>
      <c r="R567" s="1">
        <v>1.5900000000000001E-2</v>
      </c>
      <c r="S567" s="1">
        <v>0.15060000000000001</v>
      </c>
      <c r="T567" s="1">
        <v>0.12659999999999999</v>
      </c>
      <c r="U567" s="1">
        <v>0.25090000000000001</v>
      </c>
    </row>
    <row r="568" spans="1:21" x14ac:dyDescent="0.25">
      <c r="A568" t="s">
        <v>1279</v>
      </c>
      <c r="B568" t="s">
        <v>1280</v>
      </c>
      <c r="C568" t="s">
        <v>100</v>
      </c>
      <c r="D568" t="s">
        <v>1034</v>
      </c>
      <c r="E568" t="s">
        <v>1281</v>
      </c>
      <c r="F568" t="str">
        <f t="shared" si="11"/>
        <v>2018-05-20</v>
      </c>
      <c r="G568">
        <v>5.81</v>
      </c>
      <c r="H568" t="str">
        <f>"2017-12-13"</f>
        <v>2017-12-13</v>
      </c>
      <c r="I568" t="s">
        <v>26</v>
      </c>
      <c r="J568" t="str">
        <f>"2017-11-27"</f>
        <v>2017-11-27</v>
      </c>
      <c r="K568" t="s">
        <v>27</v>
      </c>
      <c r="L568">
        <v>2.26675849</v>
      </c>
      <c r="M568">
        <v>567</v>
      </c>
      <c r="N568" s="1">
        <v>0.44529999999999997</v>
      </c>
      <c r="O568" s="1">
        <v>0.60060000000000002</v>
      </c>
      <c r="P568" s="1">
        <v>-1.1900000000000001E-2</v>
      </c>
      <c r="Q568" s="1">
        <v>-1.1900000000000001E-2</v>
      </c>
      <c r="R568" s="1">
        <v>7.5899999999999995E-2</v>
      </c>
      <c r="S568" s="1">
        <v>0.14149999999999999</v>
      </c>
      <c r="T568" s="1">
        <v>0.29110000000000003</v>
      </c>
      <c r="U568" s="1">
        <v>0.58740000000000003</v>
      </c>
    </row>
    <row r="569" spans="1:21" x14ac:dyDescent="0.25">
      <c r="A569" t="s">
        <v>1282</v>
      </c>
      <c r="B569" t="s">
        <v>1283</v>
      </c>
      <c r="C569" t="s">
        <v>109</v>
      </c>
      <c r="D569" t="s">
        <v>110</v>
      </c>
      <c r="E569" t="s">
        <v>111</v>
      </c>
      <c r="F569" t="str">
        <f t="shared" si="11"/>
        <v>2018-05-20</v>
      </c>
      <c r="G569">
        <v>32.49</v>
      </c>
      <c r="H569" t="str">
        <f>"2017-11-29"</f>
        <v>2017-11-29</v>
      </c>
      <c r="I569" t="s">
        <v>26</v>
      </c>
      <c r="J569" t="str">
        <f>"2017-11-01"</f>
        <v>2017-11-01</v>
      </c>
      <c r="K569" t="s">
        <v>40</v>
      </c>
      <c r="L569">
        <v>2.26674877</v>
      </c>
      <c r="M569">
        <v>568</v>
      </c>
      <c r="N569" s="1">
        <v>0.34649999999999997</v>
      </c>
      <c r="O569" s="1">
        <v>0.60050000000000003</v>
      </c>
      <c r="P569" s="1">
        <v>-2.8E-3</v>
      </c>
      <c r="Q569" s="1">
        <v>-2.8E-3</v>
      </c>
      <c r="R569" s="1">
        <v>3.44E-2</v>
      </c>
      <c r="S569" s="1">
        <v>0.18579999999999999</v>
      </c>
      <c r="T569" s="1">
        <v>0.36459999999999998</v>
      </c>
      <c r="U569" s="1">
        <v>0.41449999999999998</v>
      </c>
    </row>
    <row r="570" spans="1:21" x14ac:dyDescent="0.25">
      <c r="A570" t="s">
        <v>1284</v>
      </c>
      <c r="B570" t="s">
        <v>1285</v>
      </c>
      <c r="C570" t="s">
        <v>109</v>
      </c>
      <c r="D570" t="s">
        <v>156</v>
      </c>
      <c r="E570" t="s">
        <v>284</v>
      </c>
      <c r="F570" t="str">
        <f t="shared" si="11"/>
        <v>2018-05-20</v>
      </c>
      <c r="G570">
        <v>80.97</v>
      </c>
      <c r="H570" t="str">
        <f>"2017-09-24"</f>
        <v>2017-09-24</v>
      </c>
      <c r="I570" t="s">
        <v>26</v>
      </c>
      <c r="J570" t="str">
        <f>"2017-09-18"</f>
        <v>2017-09-18</v>
      </c>
      <c r="K570" t="s">
        <v>40</v>
      </c>
      <c r="L570">
        <v>2.2666205700000002</v>
      </c>
      <c r="M570">
        <v>569</v>
      </c>
      <c r="N570" s="1">
        <v>0.4945</v>
      </c>
      <c r="O570" s="1">
        <v>0.59970000000000001</v>
      </c>
      <c r="P570" s="1">
        <v>-9.4000000000000004E-3</v>
      </c>
      <c r="Q570" s="1">
        <v>7.7999999999999996E-3</v>
      </c>
      <c r="R570" s="1">
        <v>7.6E-3</v>
      </c>
      <c r="S570" s="1">
        <v>0.1216</v>
      </c>
      <c r="T570" s="1">
        <v>0.36570000000000003</v>
      </c>
      <c r="U570" s="1">
        <v>0.6552</v>
      </c>
    </row>
    <row r="571" spans="1:21" x14ac:dyDescent="0.25">
      <c r="A571" t="s">
        <v>1286</v>
      </c>
      <c r="B571" t="s">
        <v>1287</v>
      </c>
      <c r="C571" t="s">
        <v>37</v>
      </c>
      <c r="D571" t="s">
        <v>66</v>
      </c>
      <c r="E571" t="s">
        <v>72</v>
      </c>
      <c r="F571" t="str">
        <f t="shared" si="11"/>
        <v>2018-05-20</v>
      </c>
      <c r="G571">
        <v>24.06</v>
      </c>
      <c r="H571" t="str">
        <f>"2018-05-14"</f>
        <v>2018-05-14</v>
      </c>
      <c r="I571" t="s">
        <v>26</v>
      </c>
      <c r="J571" t="str">
        <f>"2018-03-11"</f>
        <v>2018-03-11</v>
      </c>
      <c r="K571" t="s">
        <v>27</v>
      </c>
      <c r="L571">
        <v>2.2664451799999998</v>
      </c>
      <c r="M571">
        <v>570</v>
      </c>
      <c r="N571" s="1">
        <v>2.6499999999999999E-2</v>
      </c>
      <c r="O571" s="1">
        <v>0.59870000000000001</v>
      </c>
      <c r="P571" s="1">
        <v>-8.0000000000000004E-4</v>
      </c>
      <c r="Q571" s="1">
        <v>-8.0000000000000004E-4</v>
      </c>
      <c r="R571" s="1">
        <v>2.6499999999999999E-2</v>
      </c>
      <c r="S571" s="1">
        <v>0.16969999999999999</v>
      </c>
      <c r="T571" s="1">
        <v>0.31330000000000002</v>
      </c>
      <c r="U571" s="1">
        <v>0.1113</v>
      </c>
    </row>
    <row r="572" spans="1:21" x14ac:dyDescent="0.25">
      <c r="A572" t="s">
        <v>1288</v>
      </c>
      <c r="B572" t="s">
        <v>1289</v>
      </c>
      <c r="C572" t="s">
        <v>30</v>
      </c>
      <c r="D572" t="s">
        <v>48</v>
      </c>
      <c r="E572" t="s">
        <v>49</v>
      </c>
      <c r="F572" t="str">
        <f t="shared" si="11"/>
        <v>2018-05-20</v>
      </c>
      <c r="G572">
        <v>62.44</v>
      </c>
      <c r="H572" t="str">
        <f>"2017-06-28"</f>
        <v>2017-06-28</v>
      </c>
      <c r="I572" t="s">
        <v>26</v>
      </c>
      <c r="J572" t="str">
        <f>"2017-03-21"</f>
        <v>2017-03-21</v>
      </c>
      <c r="K572" t="s">
        <v>40</v>
      </c>
      <c r="L572">
        <v>2.2654761899999998</v>
      </c>
      <c r="M572">
        <v>571</v>
      </c>
      <c r="N572" s="1">
        <v>0.3422</v>
      </c>
      <c r="O572" s="1">
        <v>0.59289999999999998</v>
      </c>
      <c r="P572" s="1">
        <v>0</v>
      </c>
      <c r="Q572" s="1">
        <v>5.1999999999999998E-3</v>
      </c>
      <c r="R572" s="1">
        <v>5.33E-2</v>
      </c>
      <c r="S572" s="1">
        <v>0.15690000000000001</v>
      </c>
      <c r="T572" s="1">
        <v>0.2056</v>
      </c>
      <c r="U572" s="1">
        <v>0.54710000000000003</v>
      </c>
    </row>
    <row r="573" spans="1:21" x14ac:dyDescent="0.25">
      <c r="A573" t="s">
        <v>1290</v>
      </c>
      <c r="B573" t="s">
        <v>1291</v>
      </c>
      <c r="C573" t="s">
        <v>114</v>
      </c>
      <c r="D573" t="s">
        <v>803</v>
      </c>
      <c r="E573" t="s">
        <v>804</v>
      </c>
      <c r="F573" t="str">
        <f t="shared" si="11"/>
        <v>2018-05-20</v>
      </c>
      <c r="G573">
        <v>19.45</v>
      </c>
      <c r="H573" t="str">
        <f>"2017-05-09"</f>
        <v>2017-05-09</v>
      </c>
      <c r="I573" t="s">
        <v>26</v>
      </c>
      <c r="J573" t="str">
        <f>"2016-11-07"</f>
        <v>2016-11-07</v>
      </c>
      <c r="K573" t="s">
        <v>40</v>
      </c>
      <c r="L573">
        <v>2.2646258499999998</v>
      </c>
      <c r="M573">
        <v>572</v>
      </c>
      <c r="N573" s="1">
        <v>0.15090000000000001</v>
      </c>
      <c r="O573" s="1">
        <v>0.58779999999999999</v>
      </c>
      <c r="P573" s="1">
        <v>-3.95E-2</v>
      </c>
      <c r="Q573" s="1">
        <v>1.04E-2</v>
      </c>
      <c r="R573" s="1">
        <v>5.4199999999999998E-2</v>
      </c>
      <c r="S573" s="1">
        <v>1.04E-2</v>
      </c>
      <c r="T573" s="1">
        <v>4.0099999999999997E-2</v>
      </c>
      <c r="U573" s="1">
        <v>0.2271</v>
      </c>
    </row>
    <row r="574" spans="1:21" x14ac:dyDescent="0.25">
      <c r="A574" t="s">
        <v>1292</v>
      </c>
      <c r="B574" t="s">
        <v>1293</v>
      </c>
      <c r="C574" t="s">
        <v>109</v>
      </c>
      <c r="D574" t="s">
        <v>110</v>
      </c>
      <c r="E574" t="s">
        <v>732</v>
      </c>
      <c r="F574" t="str">
        <f t="shared" si="11"/>
        <v>2018-05-20</v>
      </c>
      <c r="G574">
        <v>55.25</v>
      </c>
      <c r="H574" t="str">
        <f>"2017-07-02"</f>
        <v>2017-07-02</v>
      </c>
      <c r="I574" t="s">
        <v>26</v>
      </c>
      <c r="J574" t="str">
        <f>"2017-06-01"</f>
        <v>2017-06-01</v>
      </c>
      <c r="K574" t="s">
        <v>27</v>
      </c>
      <c r="L574">
        <v>2.2642276400000001</v>
      </c>
      <c r="M574">
        <v>573</v>
      </c>
      <c r="N574" s="1">
        <v>0.3952</v>
      </c>
      <c r="O574" s="1">
        <v>0.58540000000000003</v>
      </c>
      <c r="P574" s="1">
        <v>-7.5300000000000006E-2</v>
      </c>
      <c r="Q574" s="1">
        <v>-1.0699999999999999E-2</v>
      </c>
      <c r="R574" s="1">
        <v>8.2000000000000007E-3</v>
      </c>
      <c r="S574" s="1">
        <v>6.4000000000000003E-3</v>
      </c>
      <c r="T574" s="1">
        <v>-2.7300000000000001E-2</v>
      </c>
      <c r="U574" s="1">
        <v>0.57179999999999997</v>
      </c>
    </row>
    <row r="575" spans="1:21" x14ac:dyDescent="0.25">
      <c r="A575" t="s">
        <v>1294</v>
      </c>
      <c r="B575" t="s">
        <v>1295</v>
      </c>
      <c r="C575" t="s">
        <v>37</v>
      </c>
      <c r="D575" t="s">
        <v>66</v>
      </c>
      <c r="E575" t="s">
        <v>72</v>
      </c>
      <c r="F575" t="str">
        <f t="shared" si="11"/>
        <v>2018-05-20</v>
      </c>
      <c r="G575">
        <v>26.7</v>
      </c>
      <c r="H575" t="str">
        <f>"2018-03-08"</f>
        <v>2018-03-08</v>
      </c>
      <c r="I575" t="s">
        <v>26</v>
      </c>
      <c r="J575" t="str">
        <f>"2018-01-18"</f>
        <v>2018-01-18</v>
      </c>
      <c r="K575" t="s">
        <v>40</v>
      </c>
      <c r="L575">
        <v>2.26409496</v>
      </c>
      <c r="M575">
        <v>574</v>
      </c>
      <c r="N575" s="1">
        <v>0.20810000000000001</v>
      </c>
      <c r="O575" s="1">
        <v>0.58460000000000001</v>
      </c>
      <c r="P575" s="1">
        <v>-1.9E-3</v>
      </c>
      <c r="Q575" s="1">
        <v>-1.9E-3</v>
      </c>
      <c r="R575" s="1">
        <v>7.4399999999999994E-2</v>
      </c>
      <c r="S575" s="1">
        <v>0.14349999999999999</v>
      </c>
      <c r="T575" s="1">
        <v>0.40160000000000001</v>
      </c>
      <c r="U575" s="1">
        <v>0.45500000000000002</v>
      </c>
    </row>
    <row r="576" spans="1:21" x14ac:dyDescent="0.25">
      <c r="A576" t="s">
        <v>1296</v>
      </c>
      <c r="B576" t="s">
        <v>1297</v>
      </c>
      <c r="C576" t="s">
        <v>23</v>
      </c>
      <c r="D576" t="s">
        <v>24</v>
      </c>
      <c r="E576" t="s">
        <v>494</v>
      </c>
      <c r="F576" t="str">
        <f t="shared" si="11"/>
        <v>2018-05-20</v>
      </c>
      <c r="G576">
        <v>28.6</v>
      </c>
      <c r="H576" t="str">
        <f>"2018-01-02"</f>
        <v>2018-01-02</v>
      </c>
      <c r="I576" t="s">
        <v>26</v>
      </c>
      <c r="J576" t="str">
        <f>"2017-12-26"</f>
        <v>2017-12-26</v>
      </c>
      <c r="K576" t="s">
        <v>27</v>
      </c>
      <c r="L576">
        <v>2.2640812600000002</v>
      </c>
      <c r="M576">
        <v>575</v>
      </c>
      <c r="N576" s="1">
        <v>4.5699999999999998E-2</v>
      </c>
      <c r="O576" s="1">
        <v>0.58450000000000002</v>
      </c>
      <c r="P576" s="1">
        <v>-4.8300000000000003E-2</v>
      </c>
      <c r="Q576" s="1">
        <v>2.3300000000000001E-2</v>
      </c>
      <c r="R576" s="1">
        <v>1.78E-2</v>
      </c>
      <c r="S576" s="1">
        <v>5.5399999999999998E-2</v>
      </c>
      <c r="T576" s="1">
        <v>5.1499999999999997E-2</v>
      </c>
      <c r="U576" s="1">
        <v>3.5000000000000001E-3</v>
      </c>
    </row>
    <row r="577" spans="1:21" x14ac:dyDescent="0.25">
      <c r="A577" t="s">
        <v>1298</v>
      </c>
      <c r="B577" t="s">
        <v>1299</v>
      </c>
      <c r="C577" t="s">
        <v>23</v>
      </c>
      <c r="D577" t="s">
        <v>52</v>
      </c>
      <c r="E577" t="s">
        <v>190</v>
      </c>
      <c r="F577" t="str">
        <f t="shared" si="11"/>
        <v>2018-05-20</v>
      </c>
      <c r="G577">
        <v>79.87</v>
      </c>
      <c r="H577" t="str">
        <f>"2017-12-10"</f>
        <v>2017-12-10</v>
      </c>
      <c r="I577" t="s">
        <v>26</v>
      </c>
      <c r="J577" t="str">
        <f>"2017-10-10"</f>
        <v>2017-10-10</v>
      </c>
      <c r="K577" t="s">
        <v>40</v>
      </c>
      <c r="L577">
        <v>2.2637018000000002</v>
      </c>
      <c r="M577">
        <v>576</v>
      </c>
      <c r="N577" s="1">
        <v>0.35880000000000001</v>
      </c>
      <c r="O577" s="1">
        <v>0.58220000000000005</v>
      </c>
      <c r="P577" s="1">
        <v>-9.2100000000000001E-2</v>
      </c>
      <c r="Q577" s="1">
        <v>3.2300000000000002E-2</v>
      </c>
      <c r="R577" s="1">
        <v>0.1055</v>
      </c>
      <c r="S577" s="1">
        <v>8.8400000000000006E-2</v>
      </c>
      <c r="T577" s="1">
        <v>0.126</v>
      </c>
      <c r="U577" s="1">
        <v>0.5726</v>
      </c>
    </row>
    <row r="578" spans="1:21" x14ac:dyDescent="0.25">
      <c r="A578" t="s">
        <v>1300</v>
      </c>
      <c r="B578" t="s">
        <v>1301</v>
      </c>
      <c r="C578" t="s">
        <v>23</v>
      </c>
      <c r="D578" t="s">
        <v>52</v>
      </c>
      <c r="E578" t="s">
        <v>190</v>
      </c>
      <c r="F578" t="str">
        <f t="shared" si="11"/>
        <v>2018-05-20</v>
      </c>
      <c r="G578">
        <v>35.92</v>
      </c>
      <c r="H578" t="str">
        <f>"2017-09-13"</f>
        <v>2017-09-13</v>
      </c>
      <c r="I578" t="s">
        <v>26</v>
      </c>
      <c r="J578" t="str">
        <f>"2017-05-18"</f>
        <v>2017-05-18</v>
      </c>
      <c r="K578" t="s">
        <v>40</v>
      </c>
      <c r="L578">
        <v>2.2634976500000001</v>
      </c>
      <c r="M578">
        <v>577</v>
      </c>
      <c r="N578" s="1">
        <v>0.24979999999999999</v>
      </c>
      <c r="O578" s="1">
        <v>0.58099999999999996</v>
      </c>
      <c r="P578" s="1">
        <v>-3.5999999999999999E-3</v>
      </c>
      <c r="Q578" s="1">
        <v>-2.9999999999999997E-4</v>
      </c>
      <c r="R578" s="1">
        <v>1.9E-2</v>
      </c>
      <c r="S578" s="1">
        <v>0.1052</v>
      </c>
      <c r="T578" s="1">
        <v>0.20580000000000001</v>
      </c>
      <c r="U578" s="1">
        <v>0.40639999999999998</v>
      </c>
    </row>
    <row r="579" spans="1:21" x14ac:dyDescent="0.25">
      <c r="A579" t="s">
        <v>1302</v>
      </c>
      <c r="B579" t="s">
        <v>1303</v>
      </c>
      <c r="C579" t="s">
        <v>43</v>
      </c>
      <c r="D579" t="s">
        <v>193</v>
      </c>
      <c r="E579" t="s">
        <v>239</v>
      </c>
      <c r="F579" t="str">
        <f t="shared" si="11"/>
        <v>2018-05-20</v>
      </c>
      <c r="G579">
        <v>63.5</v>
      </c>
      <c r="H579" t="str">
        <f>"2017-06-26"</f>
        <v>2017-06-26</v>
      </c>
      <c r="I579" t="s">
        <v>26</v>
      </c>
      <c r="J579" t="str">
        <f>"2017-03-05"</f>
        <v>2017-03-05</v>
      </c>
      <c r="K579" t="s">
        <v>40</v>
      </c>
      <c r="L579">
        <v>2.2633980400000002</v>
      </c>
      <c r="M579">
        <v>578</v>
      </c>
      <c r="N579" s="1">
        <v>0.46010000000000001</v>
      </c>
      <c r="O579" s="1">
        <v>0.58040000000000003</v>
      </c>
      <c r="P579" s="1">
        <v>0</v>
      </c>
      <c r="Q579" s="1">
        <v>1.0200000000000001E-2</v>
      </c>
      <c r="R579" s="1">
        <v>5.2400000000000002E-2</v>
      </c>
      <c r="S579" s="1">
        <v>0.13600000000000001</v>
      </c>
      <c r="T579" s="1">
        <v>8.4400000000000003E-2</v>
      </c>
      <c r="U579" s="1">
        <v>0.56559999999999999</v>
      </c>
    </row>
    <row r="580" spans="1:21" x14ac:dyDescent="0.25">
      <c r="A580" t="s">
        <v>1304</v>
      </c>
      <c r="B580" t="s">
        <v>1305</v>
      </c>
      <c r="C580" t="s">
        <v>109</v>
      </c>
      <c r="D580" t="s">
        <v>110</v>
      </c>
      <c r="E580" t="s">
        <v>111</v>
      </c>
      <c r="F580" t="str">
        <f t="shared" si="11"/>
        <v>2018-05-20</v>
      </c>
      <c r="G580">
        <v>71.849999999999994</v>
      </c>
      <c r="H580" t="str">
        <f>"2018-03-22"</f>
        <v>2018-03-22</v>
      </c>
      <c r="I580" t="s">
        <v>26</v>
      </c>
      <c r="J580" t="str">
        <f>"2018-03-04"</f>
        <v>2018-03-04</v>
      </c>
      <c r="K580" t="s">
        <v>27</v>
      </c>
      <c r="L580">
        <v>2.2633025500000001</v>
      </c>
      <c r="M580">
        <v>579</v>
      </c>
      <c r="N580" s="1">
        <v>0.1114</v>
      </c>
      <c r="O580" s="1">
        <v>0.57979999999999998</v>
      </c>
      <c r="P580" s="1">
        <v>0</v>
      </c>
      <c r="Q580" s="1">
        <v>2.5000000000000001E-3</v>
      </c>
      <c r="R580" s="1">
        <v>3.2800000000000003E-2</v>
      </c>
      <c r="S580" s="1">
        <v>9.6799999999999997E-2</v>
      </c>
      <c r="T580" s="1">
        <v>0.1802</v>
      </c>
      <c r="U580" s="1">
        <v>0.22900000000000001</v>
      </c>
    </row>
    <row r="581" spans="1:21" x14ac:dyDescent="0.25">
      <c r="A581" t="s">
        <v>1306</v>
      </c>
      <c r="B581" t="s">
        <v>1307</v>
      </c>
      <c r="C581" t="s">
        <v>37</v>
      </c>
      <c r="D581" t="s">
        <v>66</v>
      </c>
      <c r="E581" t="s">
        <v>72</v>
      </c>
      <c r="F581" t="str">
        <f t="shared" si="11"/>
        <v>2018-05-20</v>
      </c>
      <c r="G581">
        <v>64.53</v>
      </c>
      <c r="H581" t="str">
        <f>"2017-04-26"</f>
        <v>2017-04-26</v>
      </c>
      <c r="I581" t="s">
        <v>26</v>
      </c>
      <c r="J581" t="str">
        <f>"2017-04-06"</f>
        <v>2017-04-06</v>
      </c>
      <c r="K581" t="s">
        <v>40</v>
      </c>
      <c r="L581">
        <v>2.2632158599999999</v>
      </c>
      <c r="M581">
        <v>580</v>
      </c>
      <c r="N581" s="1">
        <v>0.40860000000000002</v>
      </c>
      <c r="O581" s="1">
        <v>0.57930000000000004</v>
      </c>
      <c r="P581" s="1">
        <v>-4.0000000000000001E-3</v>
      </c>
      <c r="Q581" s="1">
        <v>-8.9999999999999998E-4</v>
      </c>
      <c r="R581" s="1">
        <v>2.4299999999999999E-2</v>
      </c>
      <c r="S581" s="1">
        <v>0.15809999999999999</v>
      </c>
      <c r="T581" s="1">
        <v>0.1741</v>
      </c>
      <c r="U581" s="1">
        <v>0.34489999999999998</v>
      </c>
    </row>
    <row r="582" spans="1:21" x14ac:dyDescent="0.25">
      <c r="A582" t="s">
        <v>1308</v>
      </c>
      <c r="B582" t="s">
        <v>1309</v>
      </c>
      <c r="C582" t="s">
        <v>30</v>
      </c>
      <c r="D582" t="s">
        <v>31</v>
      </c>
      <c r="E582" t="s">
        <v>31</v>
      </c>
      <c r="F582" t="str">
        <f t="shared" si="11"/>
        <v>2018-05-20</v>
      </c>
      <c r="G582">
        <v>25.23</v>
      </c>
      <c r="H582" t="str">
        <f>"2017-09-27"</f>
        <v>2017-09-27</v>
      </c>
      <c r="I582" t="s">
        <v>26</v>
      </c>
      <c r="J582" t="str">
        <f>"2017-08-07"</f>
        <v>2017-08-07</v>
      </c>
      <c r="K582" t="s">
        <v>40</v>
      </c>
      <c r="L582">
        <v>2.2631414300000001</v>
      </c>
      <c r="M582">
        <v>581</v>
      </c>
      <c r="N582" s="1">
        <v>0.36670000000000003</v>
      </c>
      <c r="O582" s="1">
        <v>0.57879999999999998</v>
      </c>
      <c r="P582" s="1">
        <v>-5.8999999999999999E-3</v>
      </c>
      <c r="Q582" s="1">
        <v>5.5999999999999999E-3</v>
      </c>
      <c r="R582" s="1">
        <v>2.7699999999999999E-2</v>
      </c>
      <c r="S582" s="1">
        <v>0.17019999999999999</v>
      </c>
      <c r="T582" s="1">
        <v>0.2621</v>
      </c>
      <c r="U582" s="1">
        <v>0.36899999999999999</v>
      </c>
    </row>
    <row r="583" spans="1:21" x14ac:dyDescent="0.25">
      <c r="A583" t="s">
        <v>1310</v>
      </c>
      <c r="B583" t="s">
        <v>1311</v>
      </c>
      <c r="C583" t="s">
        <v>30</v>
      </c>
      <c r="D583" t="s">
        <v>31</v>
      </c>
      <c r="E583" t="s">
        <v>31</v>
      </c>
      <c r="F583" t="str">
        <f t="shared" si="11"/>
        <v>2018-05-20</v>
      </c>
      <c r="G583">
        <v>26.2</v>
      </c>
      <c r="H583" t="str">
        <f>"2016-04-07"</f>
        <v>2016-04-07</v>
      </c>
      <c r="I583" t="s">
        <v>26</v>
      </c>
      <c r="J583" t="str">
        <f>"2016-02-25"</f>
        <v>2016-02-25</v>
      </c>
      <c r="K583" t="s">
        <v>40</v>
      </c>
      <c r="L583">
        <v>2.2625776700000002</v>
      </c>
      <c r="M583">
        <v>582</v>
      </c>
      <c r="N583" s="1">
        <v>0.44190000000000002</v>
      </c>
      <c r="O583" s="1">
        <v>0.57550000000000001</v>
      </c>
      <c r="P583" s="1">
        <v>-2.24E-2</v>
      </c>
      <c r="Q583" s="1">
        <v>0</v>
      </c>
      <c r="R583" s="1">
        <v>7.7000000000000002E-3</v>
      </c>
      <c r="S583" s="1">
        <v>1.35E-2</v>
      </c>
      <c r="T583" s="1">
        <v>3.7600000000000001E-2</v>
      </c>
      <c r="U583" s="1">
        <v>0.2046</v>
      </c>
    </row>
    <row r="584" spans="1:21" x14ac:dyDescent="0.25">
      <c r="A584" t="s">
        <v>1312</v>
      </c>
      <c r="B584" t="s">
        <v>1313</v>
      </c>
      <c r="C584" t="s">
        <v>109</v>
      </c>
      <c r="D584" t="s">
        <v>156</v>
      </c>
      <c r="E584" t="s">
        <v>157</v>
      </c>
      <c r="F584" t="str">
        <f t="shared" si="11"/>
        <v>2018-05-20</v>
      </c>
      <c r="G584">
        <v>12.73</v>
      </c>
      <c r="H584" t="str">
        <f>"2018-05-13"</f>
        <v>2018-05-13</v>
      </c>
      <c r="I584" t="s">
        <v>26</v>
      </c>
      <c r="J584" t="str">
        <f>"2018-03-05"</f>
        <v>2018-03-05</v>
      </c>
      <c r="K584" t="s">
        <v>27</v>
      </c>
      <c r="L584">
        <v>2.2612890000000001</v>
      </c>
      <c r="M584">
        <v>583</v>
      </c>
      <c r="N584" s="1">
        <v>5.7299999999999997E-2</v>
      </c>
      <c r="O584" s="1">
        <v>0.56769999999999998</v>
      </c>
      <c r="P584" s="1">
        <v>-2.9700000000000001E-2</v>
      </c>
      <c r="Q584" s="1">
        <v>4.7000000000000002E-3</v>
      </c>
      <c r="R584" s="1">
        <v>4.1700000000000001E-2</v>
      </c>
      <c r="S584" s="1">
        <v>0.1099</v>
      </c>
      <c r="T584" s="1">
        <v>0.22639999999999999</v>
      </c>
      <c r="U584" s="1">
        <v>-0.43169999999999997</v>
      </c>
    </row>
    <row r="585" spans="1:21" x14ac:dyDescent="0.25">
      <c r="A585" t="s">
        <v>1314</v>
      </c>
      <c r="B585" t="s">
        <v>1315</v>
      </c>
      <c r="C585" t="s">
        <v>37</v>
      </c>
      <c r="D585" t="s">
        <v>66</v>
      </c>
      <c r="E585" t="s">
        <v>94</v>
      </c>
      <c r="F585" t="str">
        <f t="shared" si="11"/>
        <v>2018-05-20</v>
      </c>
      <c r="G585">
        <v>11.34</v>
      </c>
      <c r="H585" t="str">
        <f>"2017-07-27"</f>
        <v>2017-07-27</v>
      </c>
      <c r="I585" t="s">
        <v>26</v>
      </c>
      <c r="J585" t="str">
        <f>"2017-07-17"</f>
        <v>2017-07-17</v>
      </c>
      <c r="K585" t="s">
        <v>27</v>
      </c>
      <c r="L585">
        <v>2.2610497199999999</v>
      </c>
      <c r="M585">
        <v>584</v>
      </c>
      <c r="N585" s="1">
        <v>0.2233</v>
      </c>
      <c r="O585" s="1">
        <v>0.56630000000000003</v>
      </c>
      <c r="P585" s="1">
        <v>0</v>
      </c>
      <c r="Q585" s="1">
        <v>8.8999999999999999E-3</v>
      </c>
      <c r="R585" s="1">
        <v>2.81E-2</v>
      </c>
      <c r="S585" s="1">
        <v>0.21410000000000001</v>
      </c>
      <c r="T585" s="1">
        <v>0.33100000000000002</v>
      </c>
      <c r="U585" s="1">
        <v>0.56630000000000003</v>
      </c>
    </row>
    <row r="586" spans="1:21" x14ac:dyDescent="0.25">
      <c r="A586" t="s">
        <v>1316</v>
      </c>
      <c r="B586" t="s">
        <v>1317</v>
      </c>
      <c r="C586" t="s">
        <v>30</v>
      </c>
      <c r="D586" t="s">
        <v>31</v>
      </c>
      <c r="E586" t="s">
        <v>31</v>
      </c>
      <c r="F586" t="str">
        <f t="shared" si="11"/>
        <v>2018-05-20</v>
      </c>
      <c r="G586">
        <v>29.1</v>
      </c>
      <c r="H586" t="str">
        <f>"2017-10-23"</f>
        <v>2017-10-23</v>
      </c>
      <c r="I586" t="s">
        <v>26</v>
      </c>
      <c r="J586" t="str">
        <f>"2016-10-20"</f>
        <v>2016-10-20</v>
      </c>
      <c r="K586" t="s">
        <v>57</v>
      </c>
      <c r="L586">
        <v>2.2607526899999999</v>
      </c>
      <c r="M586">
        <v>585</v>
      </c>
      <c r="N586" s="1">
        <v>0.16869999999999999</v>
      </c>
      <c r="O586" s="1">
        <v>0.5645</v>
      </c>
      <c r="P586" s="1">
        <v>-1.8499999999999999E-2</v>
      </c>
      <c r="Q586" s="1">
        <v>8.6999999999999994E-3</v>
      </c>
      <c r="R586" s="1">
        <v>2.1100000000000001E-2</v>
      </c>
      <c r="S586" s="1">
        <v>8.6999999999999994E-3</v>
      </c>
      <c r="T586" s="1">
        <v>8.6999999999999994E-3</v>
      </c>
      <c r="U586" s="1">
        <v>0.29909999999999998</v>
      </c>
    </row>
    <row r="587" spans="1:21" x14ac:dyDescent="0.25">
      <c r="A587" t="s">
        <v>1318</v>
      </c>
      <c r="B587" t="s">
        <v>1319</v>
      </c>
      <c r="C587" t="s">
        <v>30</v>
      </c>
      <c r="D587" t="s">
        <v>77</v>
      </c>
      <c r="E587" t="s">
        <v>78</v>
      </c>
      <c r="F587" t="str">
        <f t="shared" si="11"/>
        <v>2018-05-20</v>
      </c>
      <c r="G587">
        <v>37.770000000000003</v>
      </c>
      <c r="H587" t="str">
        <f>"2017-07-30"</f>
        <v>2017-07-30</v>
      </c>
      <c r="I587" t="s">
        <v>26</v>
      </c>
      <c r="J587" t="str">
        <f>"2017-06-07"</f>
        <v>2017-06-07</v>
      </c>
      <c r="K587" t="s">
        <v>27</v>
      </c>
      <c r="L587">
        <v>2.2605546400000001</v>
      </c>
      <c r="M587">
        <v>586</v>
      </c>
      <c r="N587" s="1">
        <v>0.43180000000000002</v>
      </c>
      <c r="O587" s="1">
        <v>0.56330000000000002</v>
      </c>
      <c r="P587" s="1">
        <v>0</v>
      </c>
      <c r="Q587" s="1">
        <v>6.1000000000000004E-3</v>
      </c>
      <c r="R587" s="1">
        <v>8.3000000000000001E-3</v>
      </c>
      <c r="S587" s="1">
        <v>7.5499999999999998E-2</v>
      </c>
      <c r="T587" s="1">
        <v>0.17960000000000001</v>
      </c>
      <c r="U587" s="1">
        <v>0.55430000000000001</v>
      </c>
    </row>
    <row r="588" spans="1:21" x14ac:dyDescent="0.25">
      <c r="A588" t="s">
        <v>1320</v>
      </c>
      <c r="B588" t="s">
        <v>1321</v>
      </c>
      <c r="C588" t="s">
        <v>23</v>
      </c>
      <c r="D588" t="s">
        <v>52</v>
      </c>
      <c r="E588" t="s">
        <v>190</v>
      </c>
      <c r="F588" t="str">
        <f t="shared" si="11"/>
        <v>2018-05-20</v>
      </c>
      <c r="G588">
        <v>3.14</v>
      </c>
      <c r="H588" t="str">
        <f>"2018-04-30"</f>
        <v>2018-04-30</v>
      </c>
      <c r="I588" t="s">
        <v>26</v>
      </c>
      <c r="J588" t="str">
        <f>"2018-04-12"</f>
        <v>2018-04-12</v>
      </c>
      <c r="K588" t="s">
        <v>27</v>
      </c>
      <c r="L588">
        <v>2.2603648399999998</v>
      </c>
      <c r="M588">
        <v>587</v>
      </c>
      <c r="N588" s="1">
        <v>0.41439999999999999</v>
      </c>
      <c r="O588" s="1">
        <v>0.56220000000000003</v>
      </c>
      <c r="P588" s="1">
        <v>-1.8800000000000001E-2</v>
      </c>
      <c r="Q588" s="1">
        <v>-1.8800000000000001E-2</v>
      </c>
      <c r="R588" s="1">
        <v>0.21240000000000001</v>
      </c>
      <c r="S588" s="1">
        <v>0.44040000000000001</v>
      </c>
      <c r="T588" s="1">
        <v>0.33050000000000002</v>
      </c>
      <c r="U588" s="1">
        <v>0.56220000000000003</v>
      </c>
    </row>
    <row r="589" spans="1:21" x14ac:dyDescent="0.25">
      <c r="A589" t="s">
        <v>1322</v>
      </c>
      <c r="B589" t="s">
        <v>1323</v>
      </c>
      <c r="C589" t="s">
        <v>30</v>
      </c>
      <c r="D589" t="s">
        <v>31</v>
      </c>
      <c r="E589" t="s">
        <v>31</v>
      </c>
      <c r="F589" t="str">
        <f t="shared" ref="F589:F652" si="12">"2018-05-20"</f>
        <v>2018-05-20</v>
      </c>
      <c r="G589">
        <v>13.84</v>
      </c>
      <c r="H589" t="str">
        <f>"2018-05-17"</f>
        <v>2018-05-17</v>
      </c>
      <c r="I589" t="s">
        <v>26</v>
      </c>
      <c r="J589" t="str">
        <f>"2018-05-02"</f>
        <v>2018-05-02</v>
      </c>
      <c r="K589" t="s">
        <v>27</v>
      </c>
      <c r="L589">
        <v>2.2603461199999999</v>
      </c>
      <c r="M589">
        <v>588</v>
      </c>
      <c r="N589" s="1">
        <v>3.0499999999999999E-2</v>
      </c>
      <c r="O589" s="1">
        <v>0.56210000000000004</v>
      </c>
      <c r="P589" s="1">
        <v>0</v>
      </c>
      <c r="Q589" s="1">
        <v>5.7999999999999996E-3</v>
      </c>
      <c r="R589" s="1">
        <v>4.4499999999999998E-2</v>
      </c>
      <c r="S589" s="1">
        <v>9.5799999999999996E-2</v>
      </c>
      <c r="T589" s="1">
        <v>0.1206</v>
      </c>
      <c r="U589" s="1">
        <v>0.15720000000000001</v>
      </c>
    </row>
    <row r="590" spans="1:21" x14ac:dyDescent="0.25">
      <c r="A590" t="s">
        <v>1324</v>
      </c>
      <c r="B590" t="s">
        <v>1325</v>
      </c>
      <c r="C590" t="s">
        <v>87</v>
      </c>
      <c r="D590" t="s">
        <v>144</v>
      </c>
      <c r="E590" t="s">
        <v>145</v>
      </c>
      <c r="F590" t="str">
        <f t="shared" si="12"/>
        <v>2018-05-20</v>
      </c>
      <c r="G590">
        <v>17.62</v>
      </c>
      <c r="H590" t="str">
        <f>"2018-05-16"</f>
        <v>2018-05-16</v>
      </c>
      <c r="I590" t="s">
        <v>26</v>
      </c>
      <c r="J590" t="str">
        <f>"2018-03-27"</f>
        <v>2018-03-27</v>
      </c>
      <c r="K590" t="s">
        <v>40</v>
      </c>
      <c r="L590">
        <v>2.2603427900000002</v>
      </c>
      <c r="M590">
        <v>589</v>
      </c>
      <c r="N590" s="1">
        <v>3.6499999999999998E-2</v>
      </c>
      <c r="O590" s="1">
        <v>0.56210000000000004</v>
      </c>
      <c r="P590" s="1">
        <v>0</v>
      </c>
      <c r="Q590" s="1">
        <v>1.8499999999999999E-2</v>
      </c>
      <c r="R590" s="1">
        <v>5.0099999999999999E-2</v>
      </c>
      <c r="S590" s="1">
        <v>0.18260000000000001</v>
      </c>
      <c r="T590" s="1">
        <v>0.2908</v>
      </c>
      <c r="U590" s="1">
        <v>-0.15079999999999999</v>
      </c>
    </row>
    <row r="591" spans="1:21" x14ac:dyDescent="0.25">
      <c r="A591" t="s">
        <v>1326</v>
      </c>
      <c r="B591" t="s">
        <v>1327</v>
      </c>
      <c r="C591" t="s">
        <v>43</v>
      </c>
      <c r="D591" t="s">
        <v>44</v>
      </c>
      <c r="E591" t="s">
        <v>1039</v>
      </c>
      <c r="F591" t="str">
        <f t="shared" si="12"/>
        <v>2018-05-20</v>
      </c>
      <c r="G591">
        <v>74.66</v>
      </c>
      <c r="H591" t="str">
        <f>"2017-09-24"</f>
        <v>2017-09-24</v>
      </c>
      <c r="I591" t="s">
        <v>26</v>
      </c>
      <c r="J591" t="str">
        <f>"2017-08-17"</f>
        <v>2017-08-17</v>
      </c>
      <c r="K591" t="s">
        <v>40</v>
      </c>
      <c r="L591">
        <v>2.2596688899999999</v>
      </c>
      <c r="M591">
        <v>590</v>
      </c>
      <c r="N591" s="1">
        <v>0.42020000000000002</v>
      </c>
      <c r="O591" s="1">
        <v>0.55800000000000005</v>
      </c>
      <c r="P591" s="1">
        <v>0</v>
      </c>
      <c r="Q591" s="1">
        <v>3.4799999999999998E-2</v>
      </c>
      <c r="R591" s="1">
        <v>7.0900000000000005E-2</v>
      </c>
      <c r="S591" s="1">
        <v>0.1711</v>
      </c>
      <c r="T591" s="1">
        <v>0.18079999999999999</v>
      </c>
      <c r="U591" s="1">
        <v>0.54769999999999996</v>
      </c>
    </row>
    <row r="592" spans="1:21" x14ac:dyDescent="0.25">
      <c r="A592" t="s">
        <v>1328</v>
      </c>
      <c r="B592" t="s">
        <v>1329</v>
      </c>
      <c r="C592" t="s">
        <v>23</v>
      </c>
      <c r="D592" t="s">
        <v>24</v>
      </c>
      <c r="E592" t="s">
        <v>307</v>
      </c>
      <c r="F592" t="str">
        <f t="shared" si="12"/>
        <v>2018-05-20</v>
      </c>
      <c r="G592">
        <v>12.85</v>
      </c>
      <c r="H592" t="str">
        <f>"2018-05-20"</f>
        <v>2018-05-20</v>
      </c>
      <c r="I592" t="s">
        <v>26</v>
      </c>
      <c r="J592" t="str">
        <f>"2018-05-17"</f>
        <v>2018-05-17</v>
      </c>
      <c r="K592" t="s">
        <v>27</v>
      </c>
      <c r="L592">
        <v>2.25959596</v>
      </c>
      <c r="M592">
        <v>591</v>
      </c>
      <c r="N592" s="1">
        <v>7.7999999999999996E-3</v>
      </c>
      <c r="O592" s="1">
        <v>0.55759999999999998</v>
      </c>
      <c r="P592" s="1">
        <v>-2.2800000000000001E-2</v>
      </c>
      <c r="Q592" s="1">
        <v>7.7999999999999996E-3</v>
      </c>
      <c r="R592" s="1">
        <v>4.9000000000000002E-2</v>
      </c>
      <c r="S592" s="1">
        <v>0.14729999999999999</v>
      </c>
      <c r="T592" s="1">
        <v>0.1789</v>
      </c>
      <c r="U592" s="1">
        <v>-4.8099999999999997E-2</v>
      </c>
    </row>
    <row r="593" spans="1:21" x14ac:dyDescent="0.25">
      <c r="A593" t="s">
        <v>1330</v>
      </c>
      <c r="B593" t="s">
        <v>1331</v>
      </c>
      <c r="C593" t="s">
        <v>109</v>
      </c>
      <c r="D593" t="s">
        <v>110</v>
      </c>
      <c r="E593" t="s">
        <v>111</v>
      </c>
      <c r="F593" t="str">
        <f t="shared" si="12"/>
        <v>2018-05-20</v>
      </c>
      <c r="G593">
        <v>35.25</v>
      </c>
      <c r="H593" t="str">
        <f>"2018-05-16"</f>
        <v>2018-05-16</v>
      </c>
      <c r="I593" t="s">
        <v>26</v>
      </c>
      <c r="J593" t="str">
        <f>"2018-04-17"</f>
        <v>2018-04-17</v>
      </c>
      <c r="K593" t="s">
        <v>27</v>
      </c>
      <c r="L593">
        <v>2.2593819000000002</v>
      </c>
      <c r="M593">
        <v>592</v>
      </c>
      <c r="N593" s="1">
        <v>4.3E-3</v>
      </c>
      <c r="O593" s="1">
        <v>0.55630000000000002</v>
      </c>
      <c r="P593" s="1">
        <v>-2.35E-2</v>
      </c>
      <c r="Q593" s="1">
        <v>-2.35E-2</v>
      </c>
      <c r="R593" s="1">
        <v>5.7000000000000002E-2</v>
      </c>
      <c r="S593" s="1">
        <v>0.29599999999999999</v>
      </c>
      <c r="T593" s="1">
        <v>0.38779999999999998</v>
      </c>
      <c r="U593" s="1">
        <v>0.13339999999999999</v>
      </c>
    </row>
    <row r="594" spans="1:21" x14ac:dyDescent="0.25">
      <c r="A594" t="s">
        <v>1332</v>
      </c>
      <c r="B594" t="s">
        <v>1333</v>
      </c>
      <c r="C594" t="s">
        <v>37</v>
      </c>
      <c r="D594" t="s">
        <v>38</v>
      </c>
      <c r="E594" t="s">
        <v>39</v>
      </c>
      <c r="F594" t="str">
        <f t="shared" si="12"/>
        <v>2018-05-20</v>
      </c>
      <c r="G594">
        <v>7.7</v>
      </c>
      <c r="H594" t="str">
        <f>"2018-05-13"</f>
        <v>2018-05-13</v>
      </c>
      <c r="I594" t="s">
        <v>26</v>
      </c>
      <c r="J594" t="str">
        <f>"2018-03-20"</f>
        <v>2018-03-20</v>
      </c>
      <c r="K594" t="s">
        <v>27</v>
      </c>
      <c r="L594">
        <v>2.2592592599999999</v>
      </c>
      <c r="M594">
        <v>593</v>
      </c>
      <c r="N594" s="1">
        <v>0.18459999999999999</v>
      </c>
      <c r="O594" s="1">
        <v>0.55559999999999998</v>
      </c>
      <c r="P594" s="1">
        <v>-3.1399999999999997E-2</v>
      </c>
      <c r="Q594" s="1">
        <v>-3.1399999999999997E-2</v>
      </c>
      <c r="R594" s="1">
        <v>0.18459999999999999</v>
      </c>
      <c r="S594" s="1">
        <v>5.4800000000000001E-2</v>
      </c>
      <c r="T594" s="1">
        <v>0.33910000000000001</v>
      </c>
      <c r="U594" s="1">
        <v>6.4999999999999997E-3</v>
      </c>
    </row>
    <row r="595" spans="1:21" x14ac:dyDescent="0.25">
      <c r="A595" t="s">
        <v>1334</v>
      </c>
      <c r="B595" t="s">
        <v>1335</v>
      </c>
      <c r="C595" t="s">
        <v>23</v>
      </c>
      <c r="D595" t="s">
        <v>24</v>
      </c>
      <c r="E595" t="s">
        <v>494</v>
      </c>
      <c r="F595" t="str">
        <f t="shared" si="12"/>
        <v>2018-05-20</v>
      </c>
      <c r="G595">
        <v>24.7</v>
      </c>
      <c r="H595" t="str">
        <f>"2018-01-25"</f>
        <v>2018-01-25</v>
      </c>
      <c r="I595" t="s">
        <v>26</v>
      </c>
      <c r="J595" t="str">
        <f>"2017-12-26"</f>
        <v>2017-12-26</v>
      </c>
      <c r="K595" t="s">
        <v>27</v>
      </c>
      <c r="L595">
        <v>2.2589098500000002</v>
      </c>
      <c r="M595">
        <v>594</v>
      </c>
      <c r="N595" s="1">
        <v>0.22889999999999999</v>
      </c>
      <c r="O595" s="1">
        <v>0.55349999999999999</v>
      </c>
      <c r="P595" s="1">
        <v>-2.18E-2</v>
      </c>
      <c r="Q595" s="1">
        <v>1.0200000000000001E-2</v>
      </c>
      <c r="R595" s="1">
        <v>4.4400000000000002E-2</v>
      </c>
      <c r="S595" s="1">
        <v>0.27979999999999999</v>
      </c>
      <c r="T595" s="1">
        <v>0.2228</v>
      </c>
      <c r="U595" s="1">
        <v>4.8800000000000003E-2</v>
      </c>
    </row>
    <row r="596" spans="1:21" x14ac:dyDescent="0.25">
      <c r="A596" t="s">
        <v>1336</v>
      </c>
      <c r="B596" t="s">
        <v>1337</v>
      </c>
      <c r="C596" t="s">
        <v>114</v>
      </c>
      <c r="D596" t="s">
        <v>225</v>
      </c>
      <c r="E596" t="s">
        <v>226</v>
      </c>
      <c r="F596" t="str">
        <f t="shared" si="12"/>
        <v>2018-05-20</v>
      </c>
      <c r="G596">
        <v>86.21</v>
      </c>
      <c r="H596" t="str">
        <f>"2017-07-30"</f>
        <v>2017-07-30</v>
      </c>
      <c r="I596" t="s">
        <v>26</v>
      </c>
      <c r="J596" t="str">
        <f>"2017-07-19"</f>
        <v>2017-07-19</v>
      </c>
      <c r="K596" t="s">
        <v>27</v>
      </c>
      <c r="L596">
        <v>2.25805196</v>
      </c>
      <c r="M596">
        <v>595</v>
      </c>
      <c r="N596" s="1">
        <v>0.39029999999999998</v>
      </c>
      <c r="O596" s="1">
        <v>0.54830000000000001</v>
      </c>
      <c r="P596" s="1">
        <v>0</v>
      </c>
      <c r="Q596" s="1">
        <v>5.7000000000000002E-3</v>
      </c>
      <c r="R596" s="1">
        <v>4.4699999999999997E-2</v>
      </c>
      <c r="S596" s="1">
        <v>7.0699999999999999E-2</v>
      </c>
      <c r="T596" s="1">
        <v>0.1138</v>
      </c>
      <c r="U596" s="1">
        <v>0.62139999999999995</v>
      </c>
    </row>
    <row r="597" spans="1:21" x14ac:dyDescent="0.25">
      <c r="A597" t="s">
        <v>1338</v>
      </c>
      <c r="B597" t="s">
        <v>1339</v>
      </c>
      <c r="C597" t="s">
        <v>37</v>
      </c>
      <c r="D597" t="s">
        <v>66</v>
      </c>
      <c r="E597" t="s">
        <v>94</v>
      </c>
      <c r="F597" t="str">
        <f t="shared" si="12"/>
        <v>2018-05-20</v>
      </c>
      <c r="G597">
        <v>12.33</v>
      </c>
      <c r="H597" t="str">
        <f>"2018-03-08"</f>
        <v>2018-03-08</v>
      </c>
      <c r="I597" t="s">
        <v>26</v>
      </c>
      <c r="J597" t="str">
        <f>"2018-02-04"</f>
        <v>2018-02-04</v>
      </c>
      <c r="K597" t="s">
        <v>40</v>
      </c>
      <c r="L597">
        <v>2.2578419099999998</v>
      </c>
      <c r="M597">
        <v>596</v>
      </c>
      <c r="N597" s="1">
        <v>1.9E-2</v>
      </c>
      <c r="O597" s="1">
        <v>0.54710000000000003</v>
      </c>
      <c r="P597" s="1">
        <v>-4.2000000000000003E-2</v>
      </c>
      <c r="Q597" s="1">
        <v>4.0500000000000001E-2</v>
      </c>
      <c r="R597" s="1">
        <v>8.3500000000000005E-2</v>
      </c>
      <c r="S597" s="1">
        <v>0.1128</v>
      </c>
      <c r="T597" s="1">
        <v>0.28710000000000002</v>
      </c>
      <c r="U597" s="1">
        <v>0.78180000000000005</v>
      </c>
    </row>
    <row r="598" spans="1:21" x14ac:dyDescent="0.25">
      <c r="A598" t="s">
        <v>1340</v>
      </c>
      <c r="B598" t="s">
        <v>1341</v>
      </c>
      <c r="C598" t="s">
        <v>43</v>
      </c>
      <c r="D598" t="s">
        <v>1342</v>
      </c>
      <c r="E598" t="s">
        <v>1343</v>
      </c>
      <c r="F598" t="str">
        <f t="shared" si="12"/>
        <v>2018-05-20</v>
      </c>
      <c r="G598">
        <v>24.9</v>
      </c>
      <c r="H598" t="str">
        <f>"2018-03-12"</f>
        <v>2018-03-12</v>
      </c>
      <c r="I598" t="s">
        <v>26</v>
      </c>
      <c r="J598" t="str">
        <f>"2018-02-05"</f>
        <v>2018-02-05</v>
      </c>
      <c r="K598" t="s">
        <v>40</v>
      </c>
      <c r="L598">
        <v>2.25776398</v>
      </c>
      <c r="M598">
        <v>597</v>
      </c>
      <c r="N598" s="1">
        <v>0.19420000000000001</v>
      </c>
      <c r="O598" s="1">
        <v>0.54659999999999997</v>
      </c>
      <c r="P598" s="1">
        <v>0</v>
      </c>
      <c r="Q598" s="1">
        <v>3.7499999999999999E-2</v>
      </c>
      <c r="R598" s="1">
        <v>0.1018</v>
      </c>
      <c r="S598" s="1">
        <v>0.14480000000000001</v>
      </c>
      <c r="T598" s="1">
        <v>0.17730000000000001</v>
      </c>
      <c r="U598" s="1">
        <v>0.75970000000000004</v>
      </c>
    </row>
    <row r="599" spans="1:21" x14ac:dyDescent="0.25">
      <c r="A599" t="s">
        <v>1344</v>
      </c>
      <c r="B599" t="s">
        <v>1345</v>
      </c>
      <c r="C599" t="s">
        <v>23</v>
      </c>
      <c r="D599" t="s">
        <v>411</v>
      </c>
      <c r="E599" t="s">
        <v>412</v>
      </c>
      <c r="F599" t="str">
        <f t="shared" si="12"/>
        <v>2018-05-20</v>
      </c>
      <c r="G599">
        <v>52.34</v>
      </c>
      <c r="H599" t="str">
        <f>"2018-05-01"</f>
        <v>2018-05-01</v>
      </c>
      <c r="I599" t="s">
        <v>26</v>
      </c>
      <c r="J599" t="str">
        <f>"2018-04-08"</f>
        <v>2018-04-08</v>
      </c>
      <c r="K599" t="s">
        <v>27</v>
      </c>
      <c r="L599">
        <v>2.2565686299999999</v>
      </c>
      <c r="M599">
        <v>598</v>
      </c>
      <c r="N599" s="1">
        <v>0.1406</v>
      </c>
      <c r="O599" s="1">
        <v>0.53939999999999999</v>
      </c>
      <c r="P599" s="1">
        <v>-2.7000000000000001E-3</v>
      </c>
      <c r="Q599" s="1">
        <v>5.5999999999999999E-3</v>
      </c>
      <c r="R599" s="1">
        <v>6.0199999999999997E-2</v>
      </c>
      <c r="S599" s="1">
        <v>0.16800000000000001</v>
      </c>
      <c r="T599" s="1">
        <v>0.34520000000000001</v>
      </c>
      <c r="U599" s="1">
        <v>-5.3499999999999999E-2</v>
      </c>
    </row>
    <row r="600" spans="1:21" x14ac:dyDescent="0.25">
      <c r="A600" t="s">
        <v>1346</v>
      </c>
      <c r="B600" t="s">
        <v>1347</v>
      </c>
      <c r="C600" t="s">
        <v>23</v>
      </c>
      <c r="D600" t="s">
        <v>24</v>
      </c>
      <c r="E600" t="s">
        <v>494</v>
      </c>
      <c r="F600" t="str">
        <f t="shared" si="12"/>
        <v>2018-05-20</v>
      </c>
      <c r="G600">
        <v>16.62</v>
      </c>
      <c r="H600" t="str">
        <f>"2017-12-21"</f>
        <v>2017-12-21</v>
      </c>
      <c r="I600" t="s">
        <v>26</v>
      </c>
      <c r="J600" t="str">
        <f>"2017-12-10"</f>
        <v>2017-12-10</v>
      </c>
      <c r="K600" t="s">
        <v>27</v>
      </c>
      <c r="L600">
        <v>2.2564814800000002</v>
      </c>
      <c r="M600">
        <v>599</v>
      </c>
      <c r="N600" s="1">
        <v>-3.4299999999999997E-2</v>
      </c>
      <c r="O600" s="1">
        <v>0.53890000000000005</v>
      </c>
      <c r="P600" s="1">
        <v>-5.4100000000000002E-2</v>
      </c>
      <c r="Q600" s="1">
        <v>1.2200000000000001E-2</v>
      </c>
      <c r="R600" s="1">
        <v>5.9299999999999999E-2</v>
      </c>
      <c r="S600" s="1">
        <v>0.1948</v>
      </c>
      <c r="T600" s="1">
        <v>8.2000000000000003E-2</v>
      </c>
      <c r="U600" s="1">
        <v>-1.8E-3</v>
      </c>
    </row>
    <row r="601" spans="1:21" x14ac:dyDescent="0.25">
      <c r="A601" t="s">
        <v>1348</v>
      </c>
      <c r="B601" t="s">
        <v>1349</v>
      </c>
      <c r="C601" t="s">
        <v>37</v>
      </c>
      <c r="D601" t="s">
        <v>66</v>
      </c>
      <c r="E601" t="s">
        <v>94</v>
      </c>
      <c r="F601" t="str">
        <f t="shared" si="12"/>
        <v>2018-05-20</v>
      </c>
      <c r="G601">
        <v>9</v>
      </c>
      <c r="H601" t="str">
        <f>"2018-01-09"</f>
        <v>2018-01-09</v>
      </c>
      <c r="I601" t="s">
        <v>26</v>
      </c>
      <c r="J601" t="str">
        <f>"2018-01-04"</f>
        <v>2018-01-04</v>
      </c>
      <c r="K601" t="s">
        <v>27</v>
      </c>
      <c r="L601">
        <v>2.25641026</v>
      </c>
      <c r="M601">
        <v>600</v>
      </c>
      <c r="N601" s="1">
        <v>-4.7600000000000003E-2</v>
      </c>
      <c r="O601" s="1">
        <v>0.53849999999999998</v>
      </c>
      <c r="P601" s="1">
        <v>-8.6300000000000002E-2</v>
      </c>
      <c r="Q601" s="1">
        <v>5.5999999999999999E-3</v>
      </c>
      <c r="R601" s="1">
        <v>5.5999999999999999E-3</v>
      </c>
      <c r="S601" s="1">
        <v>1.12E-2</v>
      </c>
      <c r="T601" s="1">
        <v>-2.7E-2</v>
      </c>
      <c r="U601" s="1">
        <v>-0.12620000000000001</v>
      </c>
    </row>
    <row r="602" spans="1:21" x14ac:dyDescent="0.25">
      <c r="A602" t="s">
        <v>1350</v>
      </c>
      <c r="B602" t="s">
        <v>1351</v>
      </c>
      <c r="C602" t="s">
        <v>109</v>
      </c>
      <c r="D602" t="s">
        <v>110</v>
      </c>
      <c r="E602" t="s">
        <v>251</v>
      </c>
      <c r="F602" t="str">
        <f t="shared" si="12"/>
        <v>2018-05-20</v>
      </c>
      <c r="G602">
        <v>25.14</v>
      </c>
      <c r="H602" t="str">
        <f>"2017-07-25"</f>
        <v>2017-07-25</v>
      </c>
      <c r="I602" t="s">
        <v>26</v>
      </c>
      <c r="J602" t="str">
        <f>"2017-01-04"</f>
        <v>2017-01-04</v>
      </c>
      <c r="K602" t="s">
        <v>57</v>
      </c>
      <c r="L602">
        <v>2.2559560200000002</v>
      </c>
      <c r="M602">
        <v>601</v>
      </c>
      <c r="N602" s="1">
        <v>0.34079999999999999</v>
      </c>
      <c r="O602" s="1">
        <v>0.53569999999999995</v>
      </c>
      <c r="P602" s="1">
        <v>0</v>
      </c>
      <c r="Q602" s="1">
        <v>1.4500000000000001E-2</v>
      </c>
      <c r="R602" s="1">
        <v>2.1100000000000001E-2</v>
      </c>
      <c r="S602" s="1">
        <v>4.53E-2</v>
      </c>
      <c r="T602" s="1">
        <v>0.27160000000000001</v>
      </c>
      <c r="U602" s="1">
        <v>0.51170000000000004</v>
      </c>
    </row>
    <row r="603" spans="1:21" x14ac:dyDescent="0.25">
      <c r="A603" t="s">
        <v>1352</v>
      </c>
      <c r="B603" t="s">
        <v>1353</v>
      </c>
      <c r="C603" t="s">
        <v>30</v>
      </c>
      <c r="D603" t="s">
        <v>31</v>
      </c>
      <c r="E603" t="s">
        <v>31</v>
      </c>
      <c r="F603" t="str">
        <f t="shared" si="12"/>
        <v>2018-05-20</v>
      </c>
      <c r="G603">
        <v>20.6</v>
      </c>
      <c r="H603" t="str">
        <f>"2016-06-30"</f>
        <v>2016-06-30</v>
      </c>
      <c r="I603" t="s">
        <v>26</v>
      </c>
      <c r="J603" t="str">
        <f>"2016-03-28"</f>
        <v>2016-03-28</v>
      </c>
      <c r="K603" t="s">
        <v>40</v>
      </c>
      <c r="L603">
        <v>2.2558370600000002</v>
      </c>
      <c r="M603">
        <v>602</v>
      </c>
      <c r="N603" s="1">
        <v>0.3957</v>
      </c>
      <c r="O603" s="1">
        <v>0.53500000000000003</v>
      </c>
      <c r="P603" s="1">
        <v>-6.3600000000000004E-2</v>
      </c>
      <c r="Q603" s="1">
        <v>1.23E-2</v>
      </c>
      <c r="R603" s="1">
        <v>1.9800000000000002E-2</v>
      </c>
      <c r="S603" s="1">
        <v>-4.7999999999999996E-3</v>
      </c>
      <c r="T603" s="1">
        <v>4.8999999999999998E-3</v>
      </c>
      <c r="U603" s="1">
        <v>0.13500000000000001</v>
      </c>
    </row>
    <row r="604" spans="1:21" x14ac:dyDescent="0.25">
      <c r="A604" t="s">
        <v>1354</v>
      </c>
      <c r="B604" t="s">
        <v>1355</v>
      </c>
      <c r="C604" t="s">
        <v>43</v>
      </c>
      <c r="D604" t="s">
        <v>169</v>
      </c>
      <c r="E604" t="s">
        <v>904</v>
      </c>
      <c r="F604" t="str">
        <f t="shared" si="12"/>
        <v>2018-05-20</v>
      </c>
      <c r="G604">
        <v>34.950000000000003</v>
      </c>
      <c r="H604" t="str">
        <f>"2018-01-22"</f>
        <v>2018-01-22</v>
      </c>
      <c r="I604" t="s">
        <v>26</v>
      </c>
      <c r="J604" t="str">
        <f>"2018-01-11"</f>
        <v>2018-01-11</v>
      </c>
      <c r="K604" t="s">
        <v>27</v>
      </c>
      <c r="L604">
        <v>2.25559456</v>
      </c>
      <c r="M604">
        <v>603</v>
      </c>
      <c r="N604" s="1">
        <v>0.12889999999999999</v>
      </c>
      <c r="O604" s="1">
        <v>0.53359999999999996</v>
      </c>
      <c r="P604" s="1">
        <v>-7.2499999999999995E-2</v>
      </c>
      <c r="Q604" s="1">
        <v>3.0099999999999998E-2</v>
      </c>
      <c r="R604" s="1">
        <v>3.9300000000000002E-2</v>
      </c>
      <c r="S604" s="1">
        <v>0.19769999999999999</v>
      </c>
      <c r="T604" s="1">
        <v>0.15690000000000001</v>
      </c>
      <c r="U604" s="1">
        <v>0.16619999999999999</v>
      </c>
    </row>
    <row r="605" spans="1:21" x14ac:dyDescent="0.25">
      <c r="A605" t="s">
        <v>1356</v>
      </c>
      <c r="B605" t="s">
        <v>1357</v>
      </c>
      <c r="C605" t="s">
        <v>87</v>
      </c>
      <c r="D605" t="s">
        <v>88</v>
      </c>
      <c r="E605" t="s">
        <v>89</v>
      </c>
      <c r="F605" t="str">
        <f t="shared" si="12"/>
        <v>2018-05-20</v>
      </c>
      <c r="G605">
        <v>13.55</v>
      </c>
      <c r="H605" t="str">
        <f>"2016-10-02"</f>
        <v>2016-10-02</v>
      </c>
      <c r="I605" t="s">
        <v>26</v>
      </c>
      <c r="J605" t="str">
        <f>"2015-12-20"</f>
        <v>2015-12-20</v>
      </c>
      <c r="K605" t="s">
        <v>57</v>
      </c>
      <c r="L605">
        <v>2.2551789100000001</v>
      </c>
      <c r="M605">
        <v>604</v>
      </c>
      <c r="N605" s="1">
        <v>0.1865</v>
      </c>
      <c r="O605" s="1">
        <v>0.53110000000000002</v>
      </c>
      <c r="P605" s="1">
        <v>-8.14E-2</v>
      </c>
      <c r="Q605" s="1">
        <v>3.7000000000000002E-3</v>
      </c>
      <c r="R605" s="1">
        <v>3.8300000000000001E-2</v>
      </c>
      <c r="S605" s="1">
        <v>-4.58E-2</v>
      </c>
      <c r="T605" s="1">
        <v>0.13869999999999999</v>
      </c>
      <c r="U605" s="1">
        <v>0.1991</v>
      </c>
    </row>
    <row r="606" spans="1:21" x14ac:dyDescent="0.25">
      <c r="A606" t="s">
        <v>1358</v>
      </c>
      <c r="B606" t="s">
        <v>1359</v>
      </c>
      <c r="C606" t="s">
        <v>23</v>
      </c>
      <c r="D606" t="s">
        <v>24</v>
      </c>
      <c r="E606" t="s">
        <v>307</v>
      </c>
      <c r="F606" t="str">
        <f t="shared" si="12"/>
        <v>2018-05-20</v>
      </c>
      <c r="G606">
        <v>17.489999999999998</v>
      </c>
      <c r="H606" t="str">
        <f>"2017-08-20"</f>
        <v>2017-08-20</v>
      </c>
      <c r="I606" t="s">
        <v>26</v>
      </c>
      <c r="J606" t="str">
        <f>"2017-05-09"</f>
        <v>2017-05-09</v>
      </c>
      <c r="K606" t="s">
        <v>27</v>
      </c>
      <c r="L606">
        <v>2.2548076899999998</v>
      </c>
      <c r="M606">
        <v>605</v>
      </c>
      <c r="N606" s="1">
        <v>0.2369</v>
      </c>
      <c r="O606" s="1">
        <v>0.52880000000000005</v>
      </c>
      <c r="P606" s="1">
        <v>-2.8999999999999998E-3</v>
      </c>
      <c r="Q606" s="1">
        <v>9.1999999999999998E-3</v>
      </c>
      <c r="R606" s="1">
        <v>1.9800000000000002E-2</v>
      </c>
      <c r="S606" s="1">
        <v>1.04E-2</v>
      </c>
      <c r="T606" s="1">
        <v>0.25650000000000001</v>
      </c>
      <c r="U606" s="1">
        <v>0.27760000000000001</v>
      </c>
    </row>
    <row r="607" spans="1:21" x14ac:dyDescent="0.25">
      <c r="A607" t="s">
        <v>1360</v>
      </c>
      <c r="B607" t="s">
        <v>1361</v>
      </c>
      <c r="C607" t="s">
        <v>43</v>
      </c>
      <c r="D607" t="s">
        <v>193</v>
      </c>
      <c r="E607" t="s">
        <v>239</v>
      </c>
      <c r="F607" t="str">
        <f t="shared" si="12"/>
        <v>2018-05-20</v>
      </c>
      <c r="G607">
        <v>24.43</v>
      </c>
      <c r="H607" t="str">
        <f>"2017-11-12"</f>
        <v>2017-11-12</v>
      </c>
      <c r="I607" t="s">
        <v>26</v>
      </c>
      <c r="J607" t="str">
        <f>"2017-10-04"</f>
        <v>2017-10-04</v>
      </c>
      <c r="K607" t="s">
        <v>27</v>
      </c>
      <c r="L607">
        <v>2.2546383200000002</v>
      </c>
      <c r="M607">
        <v>606</v>
      </c>
      <c r="N607" s="1">
        <v>0.17</v>
      </c>
      <c r="O607" s="1">
        <v>0.52780000000000005</v>
      </c>
      <c r="P607" s="1">
        <v>-9.7000000000000003E-3</v>
      </c>
      <c r="Q607" s="1">
        <v>1.2E-2</v>
      </c>
      <c r="R607" s="1">
        <v>3.6900000000000002E-2</v>
      </c>
      <c r="S607" s="1">
        <v>1.83E-2</v>
      </c>
      <c r="T607" s="1">
        <v>9.06E-2</v>
      </c>
      <c r="U607" s="1">
        <v>0.18310000000000001</v>
      </c>
    </row>
    <row r="608" spans="1:21" x14ac:dyDescent="0.25">
      <c r="A608" t="s">
        <v>1362</v>
      </c>
      <c r="B608" t="s">
        <v>1363</v>
      </c>
      <c r="C608" t="s">
        <v>109</v>
      </c>
      <c r="D608" t="s">
        <v>110</v>
      </c>
      <c r="E608" t="s">
        <v>111</v>
      </c>
      <c r="F608" t="str">
        <f t="shared" si="12"/>
        <v>2018-05-20</v>
      </c>
      <c r="G608">
        <v>13.23</v>
      </c>
      <c r="H608" t="str">
        <f>"2016-06-27"</f>
        <v>2016-06-27</v>
      </c>
      <c r="I608" t="s">
        <v>26</v>
      </c>
      <c r="J608" t="str">
        <f>"2016-05-23"</f>
        <v>2016-05-23</v>
      </c>
      <c r="K608" t="s">
        <v>27</v>
      </c>
      <c r="L608">
        <v>2.2543252599999999</v>
      </c>
      <c r="M608">
        <v>607</v>
      </c>
      <c r="N608" s="1">
        <v>0.29830000000000001</v>
      </c>
      <c r="O608" s="1">
        <v>0.52600000000000002</v>
      </c>
      <c r="P608" s="1">
        <v>-8.9999999999999993E-3</v>
      </c>
      <c r="Q608" s="1">
        <v>8.3999999999999995E-3</v>
      </c>
      <c r="R608" s="1">
        <v>8.3999999999999995E-3</v>
      </c>
      <c r="S608" s="1">
        <v>2.3199999999999998E-2</v>
      </c>
      <c r="T608" s="1">
        <v>-7.4999999999999997E-3</v>
      </c>
      <c r="U608" s="1">
        <v>0.25519999999999998</v>
      </c>
    </row>
    <row r="609" spans="1:21" x14ac:dyDescent="0.25">
      <c r="A609" t="s">
        <v>1364</v>
      </c>
      <c r="B609" t="s">
        <v>1365</v>
      </c>
      <c r="C609" t="s">
        <v>109</v>
      </c>
      <c r="D609" t="s">
        <v>156</v>
      </c>
      <c r="E609" t="s">
        <v>157</v>
      </c>
      <c r="F609" t="str">
        <f t="shared" si="12"/>
        <v>2018-05-20</v>
      </c>
      <c r="G609">
        <v>22.84</v>
      </c>
      <c r="H609" t="str">
        <f>"2018-04-24"</f>
        <v>2018-04-24</v>
      </c>
      <c r="I609" t="s">
        <v>26</v>
      </c>
      <c r="J609" t="str">
        <f>"2017-12-20"</f>
        <v>2017-12-20</v>
      </c>
      <c r="K609" t="s">
        <v>57</v>
      </c>
      <c r="L609">
        <v>2.2537777800000001</v>
      </c>
      <c r="M609">
        <v>608</v>
      </c>
      <c r="N609" s="1">
        <v>3.5000000000000001E-3</v>
      </c>
      <c r="O609" s="1">
        <v>0.52270000000000005</v>
      </c>
      <c r="P609" s="1">
        <v>-8.3000000000000001E-3</v>
      </c>
      <c r="Q609" s="1">
        <v>4.0000000000000002E-4</v>
      </c>
      <c r="R609" s="1">
        <v>-4.0000000000000002E-4</v>
      </c>
      <c r="S609" s="1">
        <v>8.9999999999999998E-4</v>
      </c>
      <c r="T609" s="1">
        <v>0.34670000000000001</v>
      </c>
      <c r="U609" s="1">
        <v>0.2868</v>
      </c>
    </row>
    <row r="610" spans="1:21" x14ac:dyDescent="0.25">
      <c r="A610" t="s">
        <v>1366</v>
      </c>
      <c r="B610" t="s">
        <v>1367</v>
      </c>
      <c r="C610" t="s">
        <v>43</v>
      </c>
      <c r="D610" t="s">
        <v>119</v>
      </c>
      <c r="E610" t="s">
        <v>205</v>
      </c>
      <c r="F610" t="str">
        <f t="shared" si="12"/>
        <v>2018-05-20</v>
      </c>
      <c r="G610">
        <v>32.5</v>
      </c>
      <c r="H610" t="str">
        <f>"2017-07-03"</f>
        <v>2017-07-03</v>
      </c>
      <c r="I610" t="s">
        <v>26</v>
      </c>
      <c r="J610" t="str">
        <f>"2017-06-26"</f>
        <v>2017-06-26</v>
      </c>
      <c r="K610" t="s">
        <v>40</v>
      </c>
      <c r="L610">
        <v>2.2537080399999998</v>
      </c>
      <c r="M610">
        <v>609</v>
      </c>
      <c r="N610" s="1">
        <v>0.48060000000000003</v>
      </c>
      <c r="O610" s="1">
        <v>0.5222</v>
      </c>
      <c r="P610" s="1">
        <v>0</v>
      </c>
      <c r="Q610" s="1">
        <v>4.5999999999999999E-3</v>
      </c>
      <c r="R610" s="1">
        <v>6.0400000000000002E-2</v>
      </c>
      <c r="S610" s="1">
        <v>0.1111</v>
      </c>
      <c r="T610" s="1">
        <v>0.2218</v>
      </c>
      <c r="U610" s="1">
        <v>0.5625</v>
      </c>
    </row>
    <row r="611" spans="1:21" x14ac:dyDescent="0.25">
      <c r="A611" t="s">
        <v>1368</v>
      </c>
      <c r="B611" t="s">
        <v>1369</v>
      </c>
      <c r="C611" t="s">
        <v>114</v>
      </c>
      <c r="D611" t="s">
        <v>225</v>
      </c>
      <c r="E611" t="s">
        <v>226</v>
      </c>
      <c r="F611" t="str">
        <f t="shared" si="12"/>
        <v>2018-05-20</v>
      </c>
      <c r="G611">
        <v>79.47</v>
      </c>
      <c r="H611" t="str">
        <f>"2017-07-18"</f>
        <v>2017-07-18</v>
      </c>
      <c r="I611" t="s">
        <v>26</v>
      </c>
      <c r="J611" t="str">
        <f>"2017-05-09"</f>
        <v>2017-05-09</v>
      </c>
      <c r="K611" t="s">
        <v>27</v>
      </c>
      <c r="L611">
        <v>2.2533958300000001</v>
      </c>
      <c r="M611">
        <v>610</v>
      </c>
      <c r="N611" s="1">
        <v>0.30580000000000002</v>
      </c>
      <c r="O611" s="1">
        <v>0.52039999999999997</v>
      </c>
      <c r="P611" s="1">
        <v>-5.62E-2</v>
      </c>
      <c r="Q611" s="1">
        <v>5.7999999999999996E-3</v>
      </c>
      <c r="R611" s="1">
        <v>1.2500000000000001E-2</v>
      </c>
      <c r="S611" s="1">
        <v>3.8600000000000002E-2</v>
      </c>
      <c r="T611" s="1">
        <v>-4.0899999999999999E-2</v>
      </c>
      <c r="U611" s="1">
        <v>0.45069999999999999</v>
      </c>
    </row>
    <row r="612" spans="1:21" x14ac:dyDescent="0.25">
      <c r="A612" t="s">
        <v>1370</v>
      </c>
      <c r="B612" t="s">
        <v>1371</v>
      </c>
      <c r="C612" t="s">
        <v>87</v>
      </c>
      <c r="D612" t="s">
        <v>88</v>
      </c>
      <c r="E612" t="s">
        <v>89</v>
      </c>
      <c r="F612" t="str">
        <f t="shared" si="12"/>
        <v>2018-05-20</v>
      </c>
      <c r="G612">
        <v>9.75</v>
      </c>
      <c r="H612" t="str">
        <f>"2018-03-04"</f>
        <v>2018-03-04</v>
      </c>
      <c r="I612" t="s">
        <v>26</v>
      </c>
      <c r="J612" t="str">
        <f>"2018-01-14"</f>
        <v>2018-01-14</v>
      </c>
      <c r="K612" t="s">
        <v>27</v>
      </c>
      <c r="L612">
        <v>2.2519379800000001</v>
      </c>
      <c r="M612">
        <v>611</v>
      </c>
      <c r="N612" s="1">
        <v>0.1963</v>
      </c>
      <c r="O612" s="1">
        <v>0.51160000000000005</v>
      </c>
      <c r="P612" s="1">
        <v>0</v>
      </c>
      <c r="Q612" s="1">
        <v>6.5600000000000006E-2</v>
      </c>
      <c r="R612" s="1">
        <v>6.5600000000000006E-2</v>
      </c>
      <c r="S612" s="1">
        <v>0.16070000000000001</v>
      </c>
      <c r="T612" s="1">
        <v>0.21879999999999999</v>
      </c>
      <c r="U612" s="1">
        <v>0.21879999999999999</v>
      </c>
    </row>
    <row r="613" spans="1:21" x14ac:dyDescent="0.25">
      <c r="A613" t="s">
        <v>1372</v>
      </c>
      <c r="B613" t="s">
        <v>1373</v>
      </c>
      <c r="C613" t="s">
        <v>30</v>
      </c>
      <c r="D613" t="s">
        <v>31</v>
      </c>
      <c r="E613" t="s">
        <v>31</v>
      </c>
      <c r="F613" t="str">
        <f t="shared" si="12"/>
        <v>2018-05-20</v>
      </c>
      <c r="G613">
        <v>17.52</v>
      </c>
      <c r="H613" t="str">
        <f>"2016-05-09"</f>
        <v>2016-05-09</v>
      </c>
      <c r="I613" t="s">
        <v>26</v>
      </c>
      <c r="J613" t="str">
        <f>"2016-03-06"</f>
        <v>2016-03-06</v>
      </c>
      <c r="K613" t="s">
        <v>57</v>
      </c>
      <c r="L613">
        <v>2.2517241399999999</v>
      </c>
      <c r="M613">
        <v>612</v>
      </c>
      <c r="N613" s="1">
        <v>0.3982</v>
      </c>
      <c r="O613" s="1">
        <v>0.51029999999999998</v>
      </c>
      <c r="P613" s="1">
        <v>-1.2999999999999999E-2</v>
      </c>
      <c r="Q613" s="1">
        <v>0</v>
      </c>
      <c r="R613" s="1">
        <v>4.0000000000000001E-3</v>
      </c>
      <c r="S613" s="1">
        <v>3.1199999999999999E-2</v>
      </c>
      <c r="T613" s="1">
        <v>7.4200000000000002E-2</v>
      </c>
      <c r="U613" s="1">
        <v>0.2</v>
      </c>
    </row>
    <row r="614" spans="1:21" x14ac:dyDescent="0.25">
      <c r="A614" t="s">
        <v>1374</v>
      </c>
      <c r="B614" t="s">
        <v>1375</v>
      </c>
      <c r="C614" t="s">
        <v>30</v>
      </c>
      <c r="D614" t="s">
        <v>31</v>
      </c>
      <c r="E614" t="s">
        <v>31</v>
      </c>
      <c r="F614" t="str">
        <f t="shared" si="12"/>
        <v>2018-05-20</v>
      </c>
      <c r="G614">
        <v>51.2</v>
      </c>
      <c r="H614" t="str">
        <f>"2016-08-22"</f>
        <v>2016-08-22</v>
      </c>
      <c r="I614" t="s">
        <v>26</v>
      </c>
      <c r="J614" t="str">
        <f>"2016-07-05"</f>
        <v>2016-07-05</v>
      </c>
      <c r="K614" t="s">
        <v>40</v>
      </c>
      <c r="L614">
        <v>2.25172075</v>
      </c>
      <c r="M614">
        <v>613</v>
      </c>
      <c r="N614" s="1">
        <v>0.40160000000000001</v>
      </c>
      <c r="O614" s="1">
        <v>0.51029999999999998</v>
      </c>
      <c r="P614" s="1">
        <v>-8.6999999999999994E-3</v>
      </c>
      <c r="Q614" s="1">
        <v>1.3899999999999999E-2</v>
      </c>
      <c r="R614" s="1">
        <v>4.07E-2</v>
      </c>
      <c r="S614" s="1">
        <v>4.5999999999999999E-2</v>
      </c>
      <c r="T614" s="1">
        <v>0.13650000000000001</v>
      </c>
      <c r="U614" s="1">
        <v>0.20469999999999999</v>
      </c>
    </row>
    <row r="615" spans="1:21" x14ac:dyDescent="0.25">
      <c r="A615" t="s">
        <v>1376</v>
      </c>
      <c r="B615" t="s">
        <v>1377</v>
      </c>
      <c r="C615" t="s">
        <v>100</v>
      </c>
      <c r="D615" t="s">
        <v>199</v>
      </c>
      <c r="E615" t="s">
        <v>1131</v>
      </c>
      <c r="F615" t="str">
        <f t="shared" si="12"/>
        <v>2018-05-20</v>
      </c>
      <c r="G615">
        <v>43.86</v>
      </c>
      <c r="H615" t="str">
        <f>"2017-01-29"</f>
        <v>2017-01-29</v>
      </c>
      <c r="I615" t="s">
        <v>26</v>
      </c>
      <c r="J615" t="str">
        <f>"2016-10-20"</f>
        <v>2016-10-20</v>
      </c>
      <c r="K615" t="s">
        <v>40</v>
      </c>
      <c r="L615">
        <v>2.2515485200000001</v>
      </c>
      <c r="M615">
        <v>614</v>
      </c>
      <c r="N615" s="1">
        <v>0.26840000000000003</v>
      </c>
      <c r="O615" s="1">
        <v>0.50929999999999997</v>
      </c>
      <c r="P615" s="1">
        <v>-5.6399999999999999E-2</v>
      </c>
      <c r="Q615" s="1">
        <v>9.9000000000000008E-3</v>
      </c>
      <c r="R615" s="1">
        <v>3.8800000000000001E-2</v>
      </c>
      <c r="S615" s="1">
        <v>-1.26E-2</v>
      </c>
      <c r="T615" s="1">
        <v>3.0499999999999999E-2</v>
      </c>
      <c r="U615" s="1">
        <v>0.16489999999999999</v>
      </c>
    </row>
    <row r="616" spans="1:21" x14ac:dyDescent="0.25">
      <c r="A616" t="s">
        <v>1378</v>
      </c>
      <c r="B616" t="s">
        <v>1379</v>
      </c>
      <c r="C616" t="s">
        <v>37</v>
      </c>
      <c r="D616" t="s">
        <v>66</v>
      </c>
      <c r="E616" t="s">
        <v>67</v>
      </c>
      <c r="F616" t="str">
        <f t="shared" si="12"/>
        <v>2018-05-20</v>
      </c>
      <c r="G616">
        <v>54.01</v>
      </c>
      <c r="H616" t="str">
        <f>"2017-06-28"</f>
        <v>2017-06-28</v>
      </c>
      <c r="I616" t="s">
        <v>26</v>
      </c>
      <c r="J616" t="str">
        <f>"2017-05-30"</f>
        <v>2017-05-30</v>
      </c>
      <c r="K616" t="s">
        <v>40</v>
      </c>
      <c r="L616">
        <v>2.2504637399999998</v>
      </c>
      <c r="M616">
        <v>615</v>
      </c>
      <c r="N616" s="1">
        <v>0.3306</v>
      </c>
      <c r="O616" s="1">
        <v>0.50280000000000002</v>
      </c>
      <c r="P616" s="1">
        <v>0</v>
      </c>
      <c r="Q616" s="1">
        <v>1.01E-2</v>
      </c>
      <c r="R616" s="1">
        <v>1.9800000000000002E-2</v>
      </c>
      <c r="S616" s="1">
        <v>0.1474</v>
      </c>
      <c r="T616" s="1">
        <v>0.1191</v>
      </c>
      <c r="U616" s="1">
        <v>0.4899</v>
      </c>
    </row>
    <row r="617" spans="1:21" x14ac:dyDescent="0.25">
      <c r="A617" t="s">
        <v>1380</v>
      </c>
      <c r="B617" t="s">
        <v>1381</v>
      </c>
      <c r="C617" t="s">
        <v>100</v>
      </c>
      <c r="D617" t="s">
        <v>1034</v>
      </c>
      <c r="E617" t="s">
        <v>1382</v>
      </c>
      <c r="F617" t="str">
        <f t="shared" si="12"/>
        <v>2018-05-20</v>
      </c>
      <c r="G617">
        <v>6.18</v>
      </c>
      <c r="H617" t="str">
        <f>"2018-05-09"</f>
        <v>2018-05-09</v>
      </c>
      <c r="I617" t="s">
        <v>26</v>
      </c>
      <c r="J617" t="str">
        <f>"2018-03-27"</f>
        <v>2018-03-27</v>
      </c>
      <c r="K617" t="s">
        <v>40</v>
      </c>
      <c r="L617">
        <v>2.25</v>
      </c>
      <c r="M617">
        <v>616</v>
      </c>
      <c r="N617" s="1">
        <v>-1.44E-2</v>
      </c>
      <c r="O617" s="1">
        <v>0.5</v>
      </c>
      <c r="P617" s="1">
        <v>-1.44E-2</v>
      </c>
      <c r="Q617" s="1">
        <v>0</v>
      </c>
      <c r="R617" s="1">
        <v>3.2000000000000002E-3</v>
      </c>
      <c r="S617" s="1">
        <v>0.18160000000000001</v>
      </c>
      <c r="T617" s="1">
        <v>0.27950000000000003</v>
      </c>
      <c r="U617" s="1">
        <v>9.7699999999999995E-2</v>
      </c>
    </row>
    <row r="618" spans="1:21" x14ac:dyDescent="0.25">
      <c r="A618" t="s">
        <v>1383</v>
      </c>
      <c r="B618" t="s">
        <v>1384</v>
      </c>
      <c r="C618" t="s">
        <v>518</v>
      </c>
      <c r="D618" t="s">
        <v>573</v>
      </c>
      <c r="E618" t="s">
        <v>1385</v>
      </c>
      <c r="F618" t="str">
        <f t="shared" si="12"/>
        <v>2018-05-20</v>
      </c>
      <c r="G618">
        <v>88</v>
      </c>
      <c r="H618" t="str">
        <f>"2016-12-08"</f>
        <v>2016-12-08</v>
      </c>
      <c r="I618" t="s">
        <v>26</v>
      </c>
      <c r="J618" t="str">
        <f>"2016-10-03"</f>
        <v>2016-10-03</v>
      </c>
      <c r="K618" t="s">
        <v>40</v>
      </c>
      <c r="L618">
        <v>2.2499006100000001</v>
      </c>
      <c r="M618">
        <v>617</v>
      </c>
      <c r="N618" s="1">
        <v>0.1389</v>
      </c>
      <c r="O618" s="1">
        <v>0.49940000000000001</v>
      </c>
      <c r="P618" s="1">
        <v>-1.1999999999999999E-3</v>
      </c>
      <c r="Q618" s="1">
        <v>1.2999999999999999E-3</v>
      </c>
      <c r="R618" s="1">
        <v>-1E-4</v>
      </c>
      <c r="S618" s="1">
        <v>3.04E-2</v>
      </c>
      <c r="T618" s="1">
        <v>5.0999999999999997E-2</v>
      </c>
      <c r="U618" s="1">
        <v>6.7799999999999999E-2</v>
      </c>
    </row>
    <row r="619" spans="1:21" x14ac:dyDescent="0.25">
      <c r="A619" t="s">
        <v>1386</v>
      </c>
      <c r="B619" t="s">
        <v>1387</v>
      </c>
      <c r="C619" t="s">
        <v>37</v>
      </c>
      <c r="D619" t="s">
        <v>38</v>
      </c>
      <c r="E619" t="s">
        <v>39</v>
      </c>
      <c r="F619" t="str">
        <f t="shared" si="12"/>
        <v>2018-05-20</v>
      </c>
      <c r="G619">
        <v>46.25</v>
      </c>
      <c r="H619" t="str">
        <f>"2018-03-21"</f>
        <v>2018-03-21</v>
      </c>
      <c r="I619" t="s">
        <v>26</v>
      </c>
      <c r="J619" t="str">
        <f>"2018-03-18"</f>
        <v>2018-03-18</v>
      </c>
      <c r="K619" t="s">
        <v>40</v>
      </c>
      <c r="L619">
        <v>2.2495413800000001</v>
      </c>
      <c r="M619">
        <v>618</v>
      </c>
      <c r="N619" s="1">
        <v>5.11E-2</v>
      </c>
      <c r="O619" s="1">
        <v>0.49719999999999998</v>
      </c>
      <c r="P619" s="1">
        <v>-2.1999999999999999E-2</v>
      </c>
      <c r="Q619" s="1">
        <v>1.5800000000000002E-2</v>
      </c>
      <c r="R619" s="1">
        <v>1.38E-2</v>
      </c>
      <c r="S619" s="1">
        <v>0.1817</v>
      </c>
      <c r="T619" s="1">
        <v>0.19020000000000001</v>
      </c>
      <c r="U619" s="1">
        <v>2.4514999999999998</v>
      </c>
    </row>
    <row r="620" spans="1:21" x14ac:dyDescent="0.25">
      <c r="A620" t="s">
        <v>1388</v>
      </c>
      <c r="B620" t="s">
        <v>1389</v>
      </c>
      <c r="C620" t="s">
        <v>30</v>
      </c>
      <c r="D620" t="s">
        <v>48</v>
      </c>
      <c r="E620" t="s">
        <v>177</v>
      </c>
      <c r="F620" t="str">
        <f t="shared" si="12"/>
        <v>2018-05-20</v>
      </c>
      <c r="G620">
        <v>190.71</v>
      </c>
      <c r="H620" t="str">
        <f>"2017-04-25"</f>
        <v>2017-04-25</v>
      </c>
      <c r="I620" t="s">
        <v>26</v>
      </c>
      <c r="J620" t="str">
        <f>"2017-03-13"</f>
        <v>2017-03-13</v>
      </c>
      <c r="K620" t="s">
        <v>40</v>
      </c>
      <c r="L620">
        <v>2.2494702100000001</v>
      </c>
      <c r="M620">
        <v>619</v>
      </c>
      <c r="N620" s="1">
        <v>0.10489999999999999</v>
      </c>
      <c r="O620" s="1">
        <v>0.49680000000000002</v>
      </c>
      <c r="P620" s="1">
        <v>-6.5100000000000005E-2</v>
      </c>
      <c r="Q620" s="1">
        <v>9.5999999999999992E-3</v>
      </c>
      <c r="R620" s="1">
        <v>3.2000000000000002E-3</v>
      </c>
      <c r="S620" s="1">
        <v>-1.24E-2</v>
      </c>
      <c r="T620" s="1">
        <v>-9.4000000000000004E-3</v>
      </c>
      <c r="U620" s="1">
        <v>4.4000000000000003E-3</v>
      </c>
    </row>
    <row r="621" spans="1:21" x14ac:dyDescent="0.25">
      <c r="A621" t="s">
        <v>1390</v>
      </c>
      <c r="B621" t="s">
        <v>1391</v>
      </c>
      <c r="C621" t="s">
        <v>43</v>
      </c>
      <c r="D621" t="s">
        <v>44</v>
      </c>
      <c r="E621" t="s">
        <v>599</v>
      </c>
      <c r="F621" t="str">
        <f t="shared" si="12"/>
        <v>2018-05-20</v>
      </c>
      <c r="G621">
        <v>11.49</v>
      </c>
      <c r="H621" t="str">
        <f>"2018-04-02"</f>
        <v>2018-04-02</v>
      </c>
      <c r="I621" t="s">
        <v>26</v>
      </c>
      <c r="J621" t="str">
        <f>"2018-03-04"</f>
        <v>2018-03-04</v>
      </c>
      <c r="K621" t="s">
        <v>27</v>
      </c>
      <c r="L621">
        <v>2.24902471</v>
      </c>
      <c r="M621">
        <v>620</v>
      </c>
      <c r="N621" s="1">
        <v>0</v>
      </c>
      <c r="O621" s="1">
        <v>0.49409999999999998</v>
      </c>
      <c r="P621" s="1">
        <v>-2.9600000000000001E-2</v>
      </c>
      <c r="Q621" s="1">
        <v>-1.46E-2</v>
      </c>
      <c r="R621" s="1">
        <v>-4.3E-3</v>
      </c>
      <c r="S621" s="1">
        <v>1.95E-2</v>
      </c>
      <c r="T621" s="1">
        <v>0.2276</v>
      </c>
      <c r="U621" s="1">
        <v>0.21199999999999999</v>
      </c>
    </row>
    <row r="622" spans="1:21" x14ac:dyDescent="0.25">
      <c r="A622" t="s">
        <v>1392</v>
      </c>
      <c r="B622" t="s">
        <v>1393</v>
      </c>
      <c r="C622" t="s">
        <v>43</v>
      </c>
      <c r="D622" t="s">
        <v>150</v>
      </c>
      <c r="E622" t="s">
        <v>151</v>
      </c>
      <c r="F622" t="str">
        <f t="shared" si="12"/>
        <v>2018-05-20</v>
      </c>
      <c r="G622">
        <v>29.18</v>
      </c>
      <c r="H622" t="str">
        <f>"2017-01-04"</f>
        <v>2017-01-04</v>
      </c>
      <c r="I622" t="s">
        <v>26</v>
      </c>
      <c r="J622" t="str">
        <f>"2016-12-22"</f>
        <v>2016-12-22</v>
      </c>
      <c r="K622" t="s">
        <v>40</v>
      </c>
      <c r="L622">
        <v>2.2490185999999999</v>
      </c>
      <c r="M622">
        <v>621</v>
      </c>
      <c r="N622" s="1">
        <v>0.40629999999999999</v>
      </c>
      <c r="O622" s="1">
        <v>0.49409999999999998</v>
      </c>
      <c r="P622" s="1">
        <v>-4.8899999999999999E-2</v>
      </c>
      <c r="Q622" s="1">
        <v>-2.9999999999999997E-4</v>
      </c>
      <c r="R622" s="1">
        <v>4.4999999999999997E-3</v>
      </c>
      <c r="S622" s="1">
        <v>-3.1899999999999998E-2</v>
      </c>
      <c r="T622" s="1">
        <v>-1.3899999999999999E-2</v>
      </c>
      <c r="U622" s="1">
        <v>0.25559999999999999</v>
      </c>
    </row>
    <row r="623" spans="1:21" x14ac:dyDescent="0.25">
      <c r="A623" t="s">
        <v>1394</v>
      </c>
      <c r="B623" t="s">
        <v>1395</v>
      </c>
      <c r="C623" t="s">
        <v>30</v>
      </c>
      <c r="D623" t="s">
        <v>31</v>
      </c>
      <c r="E623" t="s">
        <v>31</v>
      </c>
      <c r="F623" t="str">
        <f t="shared" si="12"/>
        <v>2018-05-20</v>
      </c>
      <c r="G623">
        <v>31.06</v>
      </c>
      <c r="H623" t="str">
        <f>"2017-10-22"</f>
        <v>2017-10-22</v>
      </c>
      <c r="I623" t="s">
        <v>26</v>
      </c>
      <c r="J623" t="str">
        <f>"2017-08-22"</f>
        <v>2017-08-22</v>
      </c>
      <c r="K623" t="s">
        <v>40</v>
      </c>
      <c r="L623">
        <v>2.2489979199999999</v>
      </c>
      <c r="M623">
        <v>622</v>
      </c>
      <c r="N623" s="1">
        <v>0.24640000000000001</v>
      </c>
      <c r="O623" s="1">
        <v>0.49399999999999999</v>
      </c>
      <c r="P623" s="1">
        <v>0</v>
      </c>
      <c r="Q623" s="1">
        <v>1.4E-2</v>
      </c>
      <c r="R623" s="1">
        <v>6.59E-2</v>
      </c>
      <c r="S623" s="1">
        <v>0.1201</v>
      </c>
      <c r="T623" s="1">
        <v>0.14230000000000001</v>
      </c>
      <c r="U623" s="1">
        <v>0.33939999999999998</v>
      </c>
    </row>
    <row r="624" spans="1:21" x14ac:dyDescent="0.25">
      <c r="A624" t="s">
        <v>1396</v>
      </c>
      <c r="B624" t="s">
        <v>1397</v>
      </c>
      <c r="C624" t="s">
        <v>30</v>
      </c>
      <c r="D624" t="s">
        <v>48</v>
      </c>
      <c r="E624" t="s">
        <v>177</v>
      </c>
      <c r="F624" t="str">
        <f t="shared" si="12"/>
        <v>2018-05-20</v>
      </c>
      <c r="G624">
        <v>29.52</v>
      </c>
      <c r="H624" t="str">
        <f>"2017-11-27"</f>
        <v>2017-11-27</v>
      </c>
      <c r="I624" t="s">
        <v>26</v>
      </c>
      <c r="J624" t="str">
        <f>"2017-09-19"</f>
        <v>2017-09-19</v>
      </c>
      <c r="K624" t="s">
        <v>27</v>
      </c>
      <c r="L624">
        <v>2.2486104099999999</v>
      </c>
      <c r="M624">
        <v>623</v>
      </c>
      <c r="N624" s="1">
        <v>9.01E-2</v>
      </c>
      <c r="O624" s="1">
        <v>0.49170000000000003</v>
      </c>
      <c r="P624" s="1">
        <v>-4.0599999999999997E-2</v>
      </c>
      <c r="Q624" s="1">
        <v>7.9000000000000008E-3</v>
      </c>
      <c r="R624" s="1">
        <v>4.0500000000000001E-2</v>
      </c>
      <c r="S624" s="1">
        <v>0.13539999999999999</v>
      </c>
      <c r="T624" s="1">
        <v>0.11559999999999999</v>
      </c>
      <c r="U624" s="1">
        <v>0.45129999999999998</v>
      </c>
    </row>
    <row r="625" spans="1:21" x14ac:dyDescent="0.25">
      <c r="A625" t="s">
        <v>1398</v>
      </c>
      <c r="B625" t="s">
        <v>1399</v>
      </c>
      <c r="C625" t="s">
        <v>43</v>
      </c>
      <c r="D625" t="s">
        <v>44</v>
      </c>
      <c r="E625" t="s">
        <v>246</v>
      </c>
      <c r="F625" t="str">
        <f t="shared" si="12"/>
        <v>2018-05-20</v>
      </c>
      <c r="G625">
        <v>60.6</v>
      </c>
      <c r="H625" t="str">
        <f>"2018-03-12"</f>
        <v>2018-03-12</v>
      </c>
      <c r="I625" t="s">
        <v>26</v>
      </c>
      <c r="J625" t="str">
        <f>"2018-02-08"</f>
        <v>2018-02-08</v>
      </c>
      <c r="K625" t="s">
        <v>40</v>
      </c>
      <c r="L625">
        <v>2.2484624800000002</v>
      </c>
      <c r="M625">
        <v>624</v>
      </c>
      <c r="N625" s="1">
        <v>0.1212</v>
      </c>
      <c r="O625" s="1">
        <v>0.49080000000000001</v>
      </c>
      <c r="P625" s="1">
        <v>-7.3400000000000007E-2</v>
      </c>
      <c r="Q625" s="1">
        <v>1.17E-2</v>
      </c>
      <c r="R625" s="1">
        <v>5.21E-2</v>
      </c>
      <c r="S625" s="1">
        <v>-2.4199999999999999E-2</v>
      </c>
      <c r="T625" s="1">
        <v>0.37569999999999998</v>
      </c>
      <c r="U625" s="1">
        <v>0.64900000000000002</v>
      </c>
    </row>
    <row r="626" spans="1:21" x14ac:dyDescent="0.25">
      <c r="A626" t="s">
        <v>1400</v>
      </c>
      <c r="B626" t="s">
        <v>1401</v>
      </c>
      <c r="C626" t="s">
        <v>23</v>
      </c>
      <c r="D626" t="s">
        <v>52</v>
      </c>
      <c r="E626" t="s">
        <v>53</v>
      </c>
      <c r="F626" t="str">
        <f t="shared" si="12"/>
        <v>2018-05-20</v>
      </c>
      <c r="G626">
        <v>14.6</v>
      </c>
      <c r="H626" t="str">
        <f>"2018-02-13"</f>
        <v>2018-02-13</v>
      </c>
      <c r="I626" t="s">
        <v>26</v>
      </c>
      <c r="J626" t="str">
        <f>"2018-01-21"</f>
        <v>2018-01-21</v>
      </c>
      <c r="K626" t="s">
        <v>27</v>
      </c>
      <c r="L626">
        <v>2.2482993200000001</v>
      </c>
      <c r="M626">
        <v>625</v>
      </c>
      <c r="N626" s="1">
        <v>-4.58E-2</v>
      </c>
      <c r="O626" s="1">
        <v>0.48980000000000001</v>
      </c>
      <c r="P626" s="1">
        <v>-8.7499999999999994E-2</v>
      </c>
      <c r="Q626" s="1">
        <v>3.3999999999999998E-3</v>
      </c>
      <c r="R626" s="1">
        <v>-6.4100000000000004E-2</v>
      </c>
      <c r="S626" s="1">
        <v>-8.7499999999999994E-2</v>
      </c>
      <c r="T626" s="1">
        <v>-4.8899999999999999E-2</v>
      </c>
      <c r="U626" s="1">
        <v>-7.5899999999999995E-2</v>
      </c>
    </row>
    <row r="627" spans="1:21" x14ac:dyDescent="0.25">
      <c r="A627" t="s">
        <v>1402</v>
      </c>
      <c r="B627" t="s">
        <v>1403</v>
      </c>
      <c r="C627" t="s">
        <v>43</v>
      </c>
      <c r="D627" t="s">
        <v>1342</v>
      </c>
      <c r="E627" t="s">
        <v>1343</v>
      </c>
      <c r="F627" t="str">
        <f t="shared" si="12"/>
        <v>2018-05-20</v>
      </c>
      <c r="G627">
        <v>39.75</v>
      </c>
      <c r="H627" t="str">
        <f>"2017-11-21"</f>
        <v>2017-11-21</v>
      </c>
      <c r="I627" t="s">
        <v>26</v>
      </c>
      <c r="J627" t="str">
        <f>"2017-08-28"</f>
        <v>2017-08-28</v>
      </c>
      <c r="K627" t="s">
        <v>40</v>
      </c>
      <c r="L627">
        <v>2.24766355</v>
      </c>
      <c r="M627">
        <v>626</v>
      </c>
      <c r="N627" s="1">
        <v>8.1600000000000006E-2</v>
      </c>
      <c r="O627" s="1">
        <v>0.48599999999999999</v>
      </c>
      <c r="P627" s="1">
        <v>-5.6899999999999999E-2</v>
      </c>
      <c r="Q627" s="1">
        <v>4.19E-2</v>
      </c>
      <c r="R627" s="1">
        <v>-1.49E-2</v>
      </c>
      <c r="S627" s="1">
        <v>4.7399999999999998E-2</v>
      </c>
      <c r="T627" s="1">
        <v>0.1026</v>
      </c>
      <c r="U627" s="1">
        <v>0.2137</v>
      </c>
    </row>
    <row r="628" spans="1:21" x14ac:dyDescent="0.25">
      <c r="A628" t="s">
        <v>1404</v>
      </c>
      <c r="B628" t="s">
        <v>1149</v>
      </c>
      <c r="C628" t="s">
        <v>30</v>
      </c>
      <c r="D628" t="s">
        <v>31</v>
      </c>
      <c r="E628" t="s">
        <v>31</v>
      </c>
      <c r="F628" t="str">
        <f t="shared" si="12"/>
        <v>2018-05-20</v>
      </c>
      <c r="G628">
        <v>78.599999999999994</v>
      </c>
      <c r="H628" t="str">
        <f>"2017-09-27"</f>
        <v>2017-09-27</v>
      </c>
      <c r="I628" t="s">
        <v>26</v>
      </c>
      <c r="J628" t="str">
        <f>"2017-06-14"</f>
        <v>2017-06-14</v>
      </c>
      <c r="K628" t="s">
        <v>40</v>
      </c>
      <c r="L628">
        <v>2.2474032099999999</v>
      </c>
      <c r="M628">
        <v>627</v>
      </c>
      <c r="N628" s="1">
        <v>0.29060000000000002</v>
      </c>
      <c r="O628" s="1">
        <v>0.4844</v>
      </c>
      <c r="P628" s="1">
        <v>0</v>
      </c>
      <c r="Q628" s="1">
        <v>1.35E-2</v>
      </c>
      <c r="R628" s="1">
        <v>2.75E-2</v>
      </c>
      <c r="S628" s="1">
        <v>9.0899999999999995E-2</v>
      </c>
      <c r="T628" s="1">
        <v>7.0800000000000002E-2</v>
      </c>
      <c r="U628" s="1">
        <v>0.35630000000000001</v>
      </c>
    </row>
    <row r="629" spans="1:21" x14ac:dyDescent="0.25">
      <c r="A629" t="s">
        <v>1405</v>
      </c>
      <c r="B629" t="s">
        <v>1406</v>
      </c>
      <c r="C629" t="s">
        <v>30</v>
      </c>
      <c r="D629" t="s">
        <v>48</v>
      </c>
      <c r="E629" t="s">
        <v>49</v>
      </c>
      <c r="F629" t="str">
        <f t="shared" si="12"/>
        <v>2018-05-20</v>
      </c>
      <c r="G629">
        <v>40.15</v>
      </c>
      <c r="H629" t="str">
        <f>"2018-02-20"</f>
        <v>2018-02-20</v>
      </c>
      <c r="I629" t="s">
        <v>26</v>
      </c>
      <c r="J629" t="str">
        <f>"2017-10-18"</f>
        <v>2017-10-18</v>
      </c>
      <c r="K629" t="s">
        <v>57</v>
      </c>
      <c r="L629">
        <v>2.2469249699999998</v>
      </c>
      <c r="M629">
        <v>628</v>
      </c>
      <c r="N629" s="1">
        <v>0.12620000000000001</v>
      </c>
      <c r="O629" s="1">
        <v>0.48149999999999998</v>
      </c>
      <c r="P629" s="1">
        <v>-5.0000000000000001E-3</v>
      </c>
      <c r="Q629" s="1">
        <v>6.3E-3</v>
      </c>
      <c r="R629" s="1">
        <v>4.8300000000000003E-2</v>
      </c>
      <c r="S629" s="1">
        <v>9.4E-2</v>
      </c>
      <c r="T629" s="1">
        <v>0.13900000000000001</v>
      </c>
      <c r="U629" s="1">
        <v>0.17230000000000001</v>
      </c>
    </row>
    <row r="630" spans="1:21" x14ac:dyDescent="0.25">
      <c r="A630" t="s">
        <v>1407</v>
      </c>
      <c r="B630" t="s">
        <v>1408</v>
      </c>
      <c r="C630" t="s">
        <v>30</v>
      </c>
      <c r="D630" t="s">
        <v>31</v>
      </c>
      <c r="E630" t="s">
        <v>31</v>
      </c>
      <c r="F630" t="str">
        <f t="shared" si="12"/>
        <v>2018-05-20</v>
      </c>
      <c r="G630">
        <v>39.1</v>
      </c>
      <c r="H630" t="str">
        <f>"2017-09-19"</f>
        <v>2017-09-19</v>
      </c>
      <c r="I630" t="s">
        <v>26</v>
      </c>
      <c r="J630" t="str">
        <f>"2017-08-06"</f>
        <v>2017-08-06</v>
      </c>
      <c r="K630" t="s">
        <v>40</v>
      </c>
      <c r="L630">
        <v>2.2463768100000001</v>
      </c>
      <c r="M630">
        <v>629</v>
      </c>
      <c r="N630" s="1">
        <v>0.2049</v>
      </c>
      <c r="O630" s="1">
        <v>0.4783</v>
      </c>
      <c r="P630" s="1">
        <v>0</v>
      </c>
      <c r="Q630" s="1">
        <v>6.4000000000000003E-3</v>
      </c>
      <c r="R630" s="1">
        <v>6.1100000000000002E-2</v>
      </c>
      <c r="S630" s="1">
        <v>9.5200000000000007E-2</v>
      </c>
      <c r="T630" s="1">
        <v>0.1366</v>
      </c>
      <c r="U630" s="1">
        <v>0.32769999999999999</v>
      </c>
    </row>
    <row r="631" spans="1:21" x14ac:dyDescent="0.25">
      <c r="A631" t="s">
        <v>1409</v>
      </c>
      <c r="B631" t="s">
        <v>1410</v>
      </c>
      <c r="C631" t="s">
        <v>43</v>
      </c>
      <c r="D631" t="s">
        <v>150</v>
      </c>
      <c r="E631" t="s">
        <v>151</v>
      </c>
      <c r="F631" t="str">
        <f t="shared" si="12"/>
        <v>2018-05-20</v>
      </c>
      <c r="G631">
        <v>25.41</v>
      </c>
      <c r="H631" t="str">
        <f>"2016-11-13"</f>
        <v>2016-11-13</v>
      </c>
      <c r="I631" t="s">
        <v>26</v>
      </c>
      <c r="J631" t="str">
        <f>"2016-11-03"</f>
        <v>2016-11-03</v>
      </c>
      <c r="K631" t="s">
        <v>40</v>
      </c>
      <c r="L631">
        <v>2.2460778600000002</v>
      </c>
      <c r="M631">
        <v>630</v>
      </c>
      <c r="N631" s="1">
        <v>0.32479999999999998</v>
      </c>
      <c r="O631" s="1">
        <v>0.47649999999999998</v>
      </c>
      <c r="P631" s="1">
        <v>0</v>
      </c>
      <c r="Q631" s="1">
        <v>2.01E-2</v>
      </c>
      <c r="R631" s="1">
        <v>6.3600000000000004E-2</v>
      </c>
      <c r="S631" s="1">
        <v>0.18740000000000001</v>
      </c>
      <c r="T631" s="1">
        <v>0.22689999999999999</v>
      </c>
      <c r="U631" s="1">
        <v>0.15290000000000001</v>
      </c>
    </row>
    <row r="632" spans="1:21" x14ac:dyDescent="0.25">
      <c r="A632" t="s">
        <v>1411</v>
      </c>
      <c r="B632" t="s">
        <v>1412</v>
      </c>
      <c r="C632" t="s">
        <v>23</v>
      </c>
      <c r="D632" t="s">
        <v>173</v>
      </c>
      <c r="E632" t="s">
        <v>174</v>
      </c>
      <c r="F632" t="str">
        <f t="shared" si="12"/>
        <v>2018-05-20</v>
      </c>
      <c r="G632">
        <v>10.1</v>
      </c>
      <c r="H632" t="str">
        <f>"2018-05-09"</f>
        <v>2018-05-09</v>
      </c>
      <c r="I632" t="s">
        <v>26</v>
      </c>
      <c r="J632" t="str">
        <f>"2018-04-02"</f>
        <v>2018-04-02</v>
      </c>
      <c r="K632" t="s">
        <v>40</v>
      </c>
      <c r="L632">
        <v>2.2457420899999998</v>
      </c>
      <c r="M632">
        <v>631</v>
      </c>
      <c r="N632" s="1">
        <v>6.3200000000000006E-2</v>
      </c>
      <c r="O632" s="1">
        <v>0.47449999999999998</v>
      </c>
      <c r="P632" s="1">
        <v>0</v>
      </c>
      <c r="Q632" s="1">
        <v>1.5100000000000001E-2</v>
      </c>
      <c r="R632" s="1">
        <v>4.1200000000000001E-2</v>
      </c>
      <c r="S632" s="1">
        <v>0.40279999999999999</v>
      </c>
      <c r="T632" s="1">
        <v>0.27039999999999997</v>
      </c>
      <c r="U632" s="1">
        <v>0.22420000000000001</v>
      </c>
    </row>
    <row r="633" spans="1:21" x14ac:dyDescent="0.25">
      <c r="A633" t="s">
        <v>1413</v>
      </c>
      <c r="B633" t="s">
        <v>1414</v>
      </c>
      <c r="C633" t="s">
        <v>23</v>
      </c>
      <c r="D633" t="s">
        <v>24</v>
      </c>
      <c r="E633" t="s">
        <v>494</v>
      </c>
      <c r="F633" t="str">
        <f t="shared" si="12"/>
        <v>2018-05-20</v>
      </c>
      <c r="G633">
        <v>44.03</v>
      </c>
      <c r="H633" t="str">
        <f>"2018-01-17"</f>
        <v>2018-01-17</v>
      </c>
      <c r="I633" t="s">
        <v>26</v>
      </c>
      <c r="J633" t="str">
        <f>"2017-11-29"</f>
        <v>2017-11-29</v>
      </c>
      <c r="K633" t="s">
        <v>27</v>
      </c>
      <c r="L633">
        <v>2.2455113199999999</v>
      </c>
      <c r="M633">
        <v>632</v>
      </c>
      <c r="N633" s="1">
        <v>0.18940000000000001</v>
      </c>
      <c r="O633" s="1">
        <v>0.47310000000000002</v>
      </c>
      <c r="P633" s="1">
        <v>-5.33E-2</v>
      </c>
      <c r="Q633" s="1">
        <v>1.3599999999999999E-2</v>
      </c>
      <c r="R633" s="1">
        <v>1.15E-2</v>
      </c>
      <c r="S633" s="1">
        <v>8.8999999999999996E-2</v>
      </c>
      <c r="T633" s="1">
        <v>0.2306</v>
      </c>
      <c r="U633" s="1">
        <v>7.8899999999999998E-2</v>
      </c>
    </row>
    <row r="634" spans="1:21" x14ac:dyDescent="0.25">
      <c r="A634" t="s">
        <v>1415</v>
      </c>
      <c r="B634" t="s">
        <v>1416</v>
      </c>
      <c r="C634" t="s">
        <v>30</v>
      </c>
      <c r="D634" t="s">
        <v>347</v>
      </c>
      <c r="E634" t="s">
        <v>523</v>
      </c>
      <c r="F634" t="str">
        <f t="shared" si="12"/>
        <v>2018-05-20</v>
      </c>
      <c r="G634">
        <v>42.6</v>
      </c>
      <c r="H634" t="str">
        <f>"2018-04-03"</f>
        <v>2018-04-03</v>
      </c>
      <c r="I634" t="s">
        <v>26</v>
      </c>
      <c r="J634" t="str">
        <f>"2017-11-16"</f>
        <v>2017-11-16</v>
      </c>
      <c r="K634" t="s">
        <v>57</v>
      </c>
      <c r="L634">
        <v>2.2455048400000002</v>
      </c>
      <c r="M634">
        <v>633</v>
      </c>
      <c r="N634" s="1">
        <v>0.1231</v>
      </c>
      <c r="O634" s="1">
        <v>0.47299999999999998</v>
      </c>
      <c r="P634" s="1">
        <v>-5.5999999999999999E-3</v>
      </c>
      <c r="Q634" s="1">
        <v>6.8999999999999999E-3</v>
      </c>
      <c r="R634" s="1">
        <v>1.89E-2</v>
      </c>
      <c r="S634" s="1">
        <v>3.4000000000000002E-2</v>
      </c>
      <c r="T634" s="1">
        <v>0.18099999999999999</v>
      </c>
      <c r="U634" s="1">
        <v>-4.48E-2</v>
      </c>
    </row>
    <row r="635" spans="1:21" x14ac:dyDescent="0.25">
      <c r="A635" t="s">
        <v>1417</v>
      </c>
      <c r="B635" t="s">
        <v>1418</v>
      </c>
      <c r="C635" t="s">
        <v>30</v>
      </c>
      <c r="D635" t="s">
        <v>31</v>
      </c>
      <c r="E635" t="s">
        <v>31</v>
      </c>
      <c r="F635" t="str">
        <f t="shared" si="12"/>
        <v>2018-05-20</v>
      </c>
      <c r="G635">
        <v>25.65</v>
      </c>
      <c r="H635" t="str">
        <f>"2016-07-26"</f>
        <v>2016-07-26</v>
      </c>
      <c r="I635" t="s">
        <v>26</v>
      </c>
      <c r="J635" t="str">
        <f>"2016-04-26"</f>
        <v>2016-04-26</v>
      </c>
      <c r="K635" t="s">
        <v>27</v>
      </c>
      <c r="L635">
        <v>2.2454075800000002</v>
      </c>
      <c r="M635">
        <v>634</v>
      </c>
      <c r="N635" s="1">
        <v>0.35</v>
      </c>
      <c r="O635" s="1">
        <v>0.47239999999999999</v>
      </c>
      <c r="P635" s="1">
        <v>-7.9000000000000001E-2</v>
      </c>
      <c r="Q635" s="1">
        <v>1.38E-2</v>
      </c>
      <c r="R635" s="1">
        <v>4.9099999999999998E-2</v>
      </c>
      <c r="S635" s="1">
        <v>-3.2099999999999997E-2</v>
      </c>
      <c r="T635" s="1">
        <v>1.5800000000000002E-2</v>
      </c>
      <c r="U635" s="1">
        <v>0.1686</v>
      </c>
    </row>
    <row r="636" spans="1:21" x14ac:dyDescent="0.25">
      <c r="A636" t="s">
        <v>1419</v>
      </c>
      <c r="B636" t="s">
        <v>1420</v>
      </c>
      <c r="C636" t="s">
        <v>30</v>
      </c>
      <c r="D636" t="s">
        <v>299</v>
      </c>
      <c r="E636" t="s">
        <v>1250</v>
      </c>
      <c r="F636" t="str">
        <f t="shared" si="12"/>
        <v>2018-05-20</v>
      </c>
      <c r="G636">
        <v>39.729999999999997</v>
      </c>
      <c r="H636" t="str">
        <f>"2016-12-07"</f>
        <v>2016-12-07</v>
      </c>
      <c r="I636" t="s">
        <v>26</v>
      </c>
      <c r="J636" t="str">
        <f>"2016-11-22"</f>
        <v>2016-11-22</v>
      </c>
      <c r="K636" t="s">
        <v>27</v>
      </c>
      <c r="L636">
        <v>2.2453377799999998</v>
      </c>
      <c r="M636">
        <v>635</v>
      </c>
      <c r="N636" s="1">
        <v>0.28739999999999999</v>
      </c>
      <c r="O636" s="1">
        <v>0.47199999999999998</v>
      </c>
      <c r="P636" s="1">
        <v>0</v>
      </c>
      <c r="Q636" s="1">
        <v>1.8499999999999999E-2</v>
      </c>
      <c r="R636" s="1">
        <v>4.4200000000000003E-2</v>
      </c>
      <c r="S636" s="1">
        <v>0.1192</v>
      </c>
      <c r="T636" s="1">
        <v>0.13639999999999999</v>
      </c>
      <c r="U636" s="1">
        <v>0.22509999999999999</v>
      </c>
    </row>
    <row r="637" spans="1:21" x14ac:dyDescent="0.25">
      <c r="A637" t="s">
        <v>1421</v>
      </c>
      <c r="B637" t="s">
        <v>1422</v>
      </c>
      <c r="C637" t="s">
        <v>30</v>
      </c>
      <c r="D637" t="s">
        <v>48</v>
      </c>
      <c r="E637" t="s">
        <v>387</v>
      </c>
      <c r="F637" t="str">
        <f t="shared" si="12"/>
        <v>2018-05-20</v>
      </c>
      <c r="G637">
        <v>15.65</v>
      </c>
      <c r="H637" t="str">
        <f>"2016-04-03"</f>
        <v>2016-04-03</v>
      </c>
      <c r="I637" t="s">
        <v>26</v>
      </c>
      <c r="J637" t="str">
        <f>"2016-03-20"</f>
        <v>2016-03-20</v>
      </c>
      <c r="K637" t="s">
        <v>27</v>
      </c>
      <c r="L637">
        <v>2.24514411</v>
      </c>
      <c r="M637">
        <v>636</v>
      </c>
      <c r="N637" s="1">
        <v>0.191</v>
      </c>
      <c r="O637" s="1">
        <v>0.47089999999999999</v>
      </c>
      <c r="P637" s="1">
        <v>-6.8500000000000005E-2</v>
      </c>
      <c r="Q637" s="1">
        <v>3.2000000000000002E-3</v>
      </c>
      <c r="R637" s="1">
        <v>3.3000000000000002E-2</v>
      </c>
      <c r="S637" s="1">
        <v>2.6200000000000001E-2</v>
      </c>
      <c r="T637" s="1">
        <v>-2.1899999999999999E-2</v>
      </c>
      <c r="U637" s="1">
        <v>0.27239999999999998</v>
      </c>
    </row>
    <row r="638" spans="1:21" x14ac:dyDescent="0.25">
      <c r="A638" t="s">
        <v>1423</v>
      </c>
      <c r="B638" t="s">
        <v>1424</v>
      </c>
      <c r="C638" t="s">
        <v>30</v>
      </c>
      <c r="D638" t="s">
        <v>31</v>
      </c>
      <c r="E638" t="s">
        <v>31</v>
      </c>
      <c r="F638" t="str">
        <f t="shared" si="12"/>
        <v>2018-05-20</v>
      </c>
      <c r="G638">
        <v>53.5</v>
      </c>
      <c r="H638" t="str">
        <f>"2018-04-23"</f>
        <v>2018-04-23</v>
      </c>
      <c r="I638" t="s">
        <v>26</v>
      </c>
      <c r="J638" t="str">
        <f>"2018-01-08"</f>
        <v>2018-01-08</v>
      </c>
      <c r="K638" t="s">
        <v>40</v>
      </c>
      <c r="L638">
        <v>2.2449633699999998</v>
      </c>
      <c r="M638">
        <v>637</v>
      </c>
      <c r="N638" s="1">
        <v>8.0799999999999997E-2</v>
      </c>
      <c r="O638" s="1">
        <v>0.4698</v>
      </c>
      <c r="P638" s="1">
        <v>0</v>
      </c>
      <c r="Q638" s="1">
        <v>6.6E-3</v>
      </c>
      <c r="R638" s="1">
        <v>3.5799999999999998E-2</v>
      </c>
      <c r="S638" s="1">
        <v>8.0799999999999997E-2</v>
      </c>
      <c r="T638" s="1">
        <v>0.42670000000000002</v>
      </c>
      <c r="U638" s="1">
        <v>0.37180000000000002</v>
      </c>
    </row>
    <row r="639" spans="1:21" x14ac:dyDescent="0.25">
      <c r="A639" t="s">
        <v>1425</v>
      </c>
      <c r="B639" t="s">
        <v>1426</v>
      </c>
      <c r="C639" t="s">
        <v>37</v>
      </c>
      <c r="D639" t="s">
        <v>66</v>
      </c>
      <c r="E639" t="s">
        <v>67</v>
      </c>
      <c r="F639" t="str">
        <f t="shared" si="12"/>
        <v>2018-05-20</v>
      </c>
      <c r="G639">
        <v>54.05</v>
      </c>
      <c r="H639" t="str">
        <f>"2017-11-16"</f>
        <v>2017-11-16</v>
      </c>
      <c r="I639" t="s">
        <v>26</v>
      </c>
      <c r="J639" t="str">
        <f>"2017-10-29"</f>
        <v>2017-10-29</v>
      </c>
      <c r="K639" t="s">
        <v>40</v>
      </c>
      <c r="L639">
        <v>2.2447916700000001</v>
      </c>
      <c r="M639">
        <v>638</v>
      </c>
      <c r="N639" s="1">
        <v>0.3231</v>
      </c>
      <c r="O639" s="1">
        <v>0.46879999999999999</v>
      </c>
      <c r="P639" s="1">
        <v>0</v>
      </c>
      <c r="Q639" s="1">
        <v>6.4999999999999997E-3</v>
      </c>
      <c r="R639" s="1">
        <v>4.9500000000000002E-2</v>
      </c>
      <c r="S639" s="1">
        <v>0.18010000000000001</v>
      </c>
      <c r="T639" s="1">
        <v>0.1308</v>
      </c>
      <c r="U639" s="1">
        <v>0.5897</v>
      </c>
    </row>
    <row r="640" spans="1:21" x14ac:dyDescent="0.25">
      <c r="A640" t="s">
        <v>1427</v>
      </c>
      <c r="B640" t="s">
        <v>1428</v>
      </c>
      <c r="C640" t="s">
        <v>23</v>
      </c>
      <c r="D640" t="s">
        <v>173</v>
      </c>
      <c r="E640" t="s">
        <v>1429</v>
      </c>
      <c r="F640" t="str">
        <f t="shared" si="12"/>
        <v>2018-05-20</v>
      </c>
      <c r="G640">
        <v>13.5</v>
      </c>
      <c r="H640" t="str">
        <f>"2018-02-27"</f>
        <v>2018-02-27</v>
      </c>
      <c r="I640" t="s">
        <v>26</v>
      </c>
      <c r="J640" t="str">
        <f>"2017-12-18"</f>
        <v>2017-12-18</v>
      </c>
      <c r="K640" t="s">
        <v>40</v>
      </c>
      <c r="L640">
        <v>2.2445652200000001</v>
      </c>
      <c r="M640">
        <v>639</v>
      </c>
      <c r="N640" s="1">
        <v>3.7000000000000002E-3</v>
      </c>
      <c r="O640" s="1">
        <v>0.46739999999999998</v>
      </c>
      <c r="P640" s="1">
        <v>0</v>
      </c>
      <c r="Q640" s="1">
        <v>1.12E-2</v>
      </c>
      <c r="R640" s="1">
        <v>0.125</v>
      </c>
      <c r="S640" s="1">
        <v>0.1588</v>
      </c>
      <c r="T640" s="1">
        <v>1.89E-2</v>
      </c>
      <c r="U640" s="1">
        <v>0.13919999999999999</v>
      </c>
    </row>
    <row r="641" spans="1:21" x14ac:dyDescent="0.25">
      <c r="A641" t="s">
        <v>1430</v>
      </c>
      <c r="B641" t="s">
        <v>1431</v>
      </c>
      <c r="C641" t="s">
        <v>37</v>
      </c>
      <c r="D641" t="s">
        <v>38</v>
      </c>
      <c r="E641" t="s">
        <v>39</v>
      </c>
      <c r="F641" t="str">
        <f t="shared" si="12"/>
        <v>2018-05-20</v>
      </c>
      <c r="G641">
        <v>27.65</v>
      </c>
      <c r="H641" t="str">
        <f>"2017-10-31"</f>
        <v>2017-10-31</v>
      </c>
      <c r="I641" t="s">
        <v>26</v>
      </c>
      <c r="J641" t="str">
        <f>"2017-08-10"</f>
        <v>2017-08-10</v>
      </c>
      <c r="K641" t="s">
        <v>40</v>
      </c>
      <c r="L641">
        <v>2.2442148</v>
      </c>
      <c r="M641">
        <v>640</v>
      </c>
      <c r="N641" s="1">
        <v>0.29509999999999997</v>
      </c>
      <c r="O641" s="1">
        <v>0.46529999999999999</v>
      </c>
      <c r="P641" s="1">
        <v>0</v>
      </c>
      <c r="Q641" s="1">
        <v>1.6500000000000001E-2</v>
      </c>
      <c r="R641" s="1">
        <v>7.4999999999999997E-2</v>
      </c>
      <c r="S641" s="1">
        <v>0.2472</v>
      </c>
      <c r="T641" s="1">
        <v>0.36270000000000002</v>
      </c>
      <c r="U641" s="1">
        <v>0.36409999999999998</v>
      </c>
    </row>
    <row r="642" spans="1:21" x14ac:dyDescent="0.25">
      <c r="A642" t="s">
        <v>1432</v>
      </c>
      <c r="B642" t="s">
        <v>1433</v>
      </c>
      <c r="C642" t="s">
        <v>518</v>
      </c>
      <c r="D642" t="s">
        <v>573</v>
      </c>
      <c r="E642" t="s">
        <v>574</v>
      </c>
      <c r="F642" t="str">
        <f t="shared" si="12"/>
        <v>2018-05-20</v>
      </c>
      <c r="G642">
        <v>55.05</v>
      </c>
      <c r="H642" t="str">
        <f>"2016-11-29"</f>
        <v>2016-11-29</v>
      </c>
      <c r="I642" t="s">
        <v>26</v>
      </c>
      <c r="J642" t="str">
        <f>"2016-11-14"</f>
        <v>2016-11-14</v>
      </c>
      <c r="K642" t="s">
        <v>27</v>
      </c>
      <c r="L642">
        <v>2.2438862300000002</v>
      </c>
      <c r="M642">
        <v>641</v>
      </c>
      <c r="N642" s="1">
        <v>0.24490000000000001</v>
      </c>
      <c r="O642" s="1">
        <v>0.46329999999999999</v>
      </c>
      <c r="P642" s="1">
        <v>-7.3999999999999996E-2</v>
      </c>
      <c r="Q642" s="1">
        <v>7.1000000000000004E-3</v>
      </c>
      <c r="R642" s="1">
        <v>4.0000000000000001E-3</v>
      </c>
      <c r="S642" s="1">
        <v>-1.9099999999999999E-2</v>
      </c>
      <c r="T642" s="1">
        <v>4.0000000000000001E-3</v>
      </c>
      <c r="U642" s="1">
        <v>0.22359999999999999</v>
      </c>
    </row>
    <row r="643" spans="1:21" x14ac:dyDescent="0.25">
      <c r="A643" t="s">
        <v>1434</v>
      </c>
      <c r="B643" t="s">
        <v>1435</v>
      </c>
      <c r="C643" t="s">
        <v>109</v>
      </c>
      <c r="D643" t="s">
        <v>156</v>
      </c>
      <c r="E643" t="s">
        <v>277</v>
      </c>
      <c r="F643" t="str">
        <f t="shared" si="12"/>
        <v>2018-05-20</v>
      </c>
      <c r="G643">
        <v>12.75</v>
      </c>
      <c r="H643" t="str">
        <f>"2016-06-15"</f>
        <v>2016-06-15</v>
      </c>
      <c r="I643" t="s">
        <v>26</v>
      </c>
      <c r="J643" t="str">
        <f>"2016-05-10"</f>
        <v>2016-05-10</v>
      </c>
      <c r="K643" t="s">
        <v>27</v>
      </c>
      <c r="L643">
        <v>2.2434135199999998</v>
      </c>
      <c r="M643">
        <v>642</v>
      </c>
      <c r="N643" s="1">
        <v>0.2283</v>
      </c>
      <c r="O643" s="1">
        <v>0.46050000000000002</v>
      </c>
      <c r="P643" s="1">
        <v>-8.4400000000000003E-2</v>
      </c>
      <c r="Q643" s="1">
        <v>7.9000000000000008E-3</v>
      </c>
      <c r="R643" s="1">
        <v>0.02</v>
      </c>
      <c r="S643" s="1">
        <v>5.8099999999999999E-2</v>
      </c>
      <c r="T643" s="1">
        <v>4.0800000000000003E-2</v>
      </c>
      <c r="U643" s="1">
        <v>3.6600000000000001E-2</v>
      </c>
    </row>
    <row r="644" spans="1:21" x14ac:dyDescent="0.25">
      <c r="A644" t="s">
        <v>1436</v>
      </c>
      <c r="B644" t="s">
        <v>1437</v>
      </c>
      <c r="C644" t="s">
        <v>100</v>
      </c>
      <c r="D644" t="s">
        <v>217</v>
      </c>
      <c r="E644" t="s">
        <v>839</v>
      </c>
      <c r="F644" t="str">
        <f t="shared" si="12"/>
        <v>2018-05-20</v>
      </c>
      <c r="G644">
        <v>109.24</v>
      </c>
      <c r="H644" t="str">
        <f>"2017-05-02"</f>
        <v>2017-05-02</v>
      </c>
      <c r="I644" t="s">
        <v>26</v>
      </c>
      <c r="J644" t="str">
        <f>"2017-02-23"</f>
        <v>2017-02-23</v>
      </c>
      <c r="K644" t="s">
        <v>57</v>
      </c>
      <c r="L644">
        <v>2.2433395699999998</v>
      </c>
      <c r="M644">
        <v>643</v>
      </c>
      <c r="N644" s="1">
        <v>0.31090000000000001</v>
      </c>
      <c r="O644" s="1">
        <v>0.46</v>
      </c>
      <c r="P644" s="1">
        <v>-5.91E-2</v>
      </c>
      <c r="Q644" s="1">
        <v>2.3900000000000001E-2</v>
      </c>
      <c r="R644" s="1">
        <v>4.2999999999999997E-2</v>
      </c>
      <c r="S644" s="1">
        <v>6.9900000000000004E-2</v>
      </c>
      <c r="T644" s="1">
        <v>3.8399999999999997E-2</v>
      </c>
      <c r="U644" s="1">
        <v>0.35210000000000002</v>
      </c>
    </row>
    <row r="645" spans="1:21" x14ac:dyDescent="0.25">
      <c r="A645" t="s">
        <v>1438</v>
      </c>
      <c r="B645" t="s">
        <v>1439</v>
      </c>
      <c r="C645" t="s">
        <v>43</v>
      </c>
      <c r="D645" t="s">
        <v>193</v>
      </c>
      <c r="E645" t="s">
        <v>239</v>
      </c>
      <c r="F645" t="str">
        <f t="shared" si="12"/>
        <v>2018-05-20</v>
      </c>
      <c r="G645">
        <v>50.4</v>
      </c>
      <c r="H645" t="str">
        <f>"2017-08-27"</f>
        <v>2017-08-27</v>
      </c>
      <c r="I645" t="s">
        <v>26</v>
      </c>
      <c r="J645" t="str">
        <f>"2017-08-02"</f>
        <v>2017-08-02</v>
      </c>
      <c r="K645" t="s">
        <v>27</v>
      </c>
      <c r="L645">
        <v>2.2433372</v>
      </c>
      <c r="M645">
        <v>644</v>
      </c>
      <c r="N645" s="1">
        <v>0.30599999999999999</v>
      </c>
      <c r="O645" s="1">
        <v>0.46</v>
      </c>
      <c r="P645" s="1">
        <v>-3.2399999999999998E-2</v>
      </c>
      <c r="Q645" s="1">
        <v>1.3899999999999999E-2</v>
      </c>
      <c r="R645" s="1">
        <v>3.6200000000000003E-2</v>
      </c>
      <c r="S645" s="1">
        <v>8.1799999999999998E-2</v>
      </c>
      <c r="T645" s="1">
        <v>9.0899999999999995E-2</v>
      </c>
      <c r="U645" s="1">
        <v>0.43630000000000002</v>
      </c>
    </row>
    <row r="646" spans="1:21" x14ac:dyDescent="0.25">
      <c r="A646" t="s">
        <v>1440</v>
      </c>
      <c r="B646" t="s">
        <v>1441</v>
      </c>
      <c r="C646" t="s">
        <v>23</v>
      </c>
      <c r="D646" t="s">
        <v>24</v>
      </c>
      <c r="E646" t="s">
        <v>164</v>
      </c>
      <c r="F646" t="str">
        <f t="shared" si="12"/>
        <v>2018-05-20</v>
      </c>
      <c r="G646">
        <v>16.05</v>
      </c>
      <c r="H646" t="str">
        <f>"2018-04-05"</f>
        <v>2018-04-05</v>
      </c>
      <c r="I646" t="s">
        <v>26</v>
      </c>
      <c r="J646" t="str">
        <f>"2017-06-08"</f>
        <v>2017-06-08</v>
      </c>
      <c r="K646" t="s">
        <v>57</v>
      </c>
      <c r="L646">
        <v>2.2431818200000002</v>
      </c>
      <c r="M646">
        <v>645</v>
      </c>
      <c r="N646" s="1">
        <v>-1.83E-2</v>
      </c>
      <c r="O646" s="1">
        <v>0.45910000000000001</v>
      </c>
      <c r="P646" s="1">
        <v>-8.5500000000000007E-2</v>
      </c>
      <c r="Q646" s="1">
        <v>-3.0999999999999999E-3</v>
      </c>
      <c r="R646" s="1">
        <v>-2.1299999999999999E-2</v>
      </c>
      <c r="S646" s="1">
        <v>-6.4100000000000004E-2</v>
      </c>
      <c r="T646" s="1">
        <v>3.8800000000000001E-2</v>
      </c>
      <c r="U646" s="1">
        <v>-0.35799999999999998</v>
      </c>
    </row>
    <row r="647" spans="1:21" x14ac:dyDescent="0.25">
      <c r="A647" t="s">
        <v>1442</v>
      </c>
      <c r="B647" t="s">
        <v>1443</v>
      </c>
      <c r="C647" t="s">
        <v>109</v>
      </c>
      <c r="D647" t="s">
        <v>110</v>
      </c>
      <c r="E647" t="s">
        <v>111</v>
      </c>
      <c r="F647" t="str">
        <f t="shared" si="12"/>
        <v>2018-05-20</v>
      </c>
      <c r="G647">
        <v>9.4499999999999993</v>
      </c>
      <c r="H647" t="str">
        <f>"2018-02-25"</f>
        <v>2018-02-25</v>
      </c>
      <c r="I647" t="s">
        <v>26</v>
      </c>
      <c r="J647" t="str">
        <f>"2017-11-19"</f>
        <v>2017-11-19</v>
      </c>
      <c r="K647" t="s">
        <v>57</v>
      </c>
      <c r="L647">
        <v>2.2430555600000002</v>
      </c>
      <c r="M647">
        <v>646</v>
      </c>
      <c r="N647" s="1">
        <v>-4.0599999999999997E-2</v>
      </c>
      <c r="O647" s="1">
        <v>0.45829999999999999</v>
      </c>
      <c r="P647" s="1">
        <v>-5.0299999999999997E-2</v>
      </c>
      <c r="Q647" s="1">
        <v>8.5000000000000006E-3</v>
      </c>
      <c r="R647" s="1">
        <v>7.4999999999999997E-3</v>
      </c>
      <c r="S647" s="1">
        <v>0.1079</v>
      </c>
      <c r="T647" s="1">
        <v>-2.58E-2</v>
      </c>
      <c r="U647" s="1">
        <v>0.31069999999999998</v>
      </c>
    </row>
    <row r="648" spans="1:21" x14ac:dyDescent="0.25">
      <c r="A648" t="s">
        <v>1444</v>
      </c>
      <c r="B648" t="s">
        <v>1445</v>
      </c>
      <c r="C648" t="s">
        <v>30</v>
      </c>
      <c r="D648" t="s">
        <v>48</v>
      </c>
      <c r="E648" t="s">
        <v>49</v>
      </c>
      <c r="F648" t="str">
        <f t="shared" si="12"/>
        <v>2018-05-20</v>
      </c>
      <c r="G648">
        <v>5.97</v>
      </c>
      <c r="H648" t="str">
        <f>"2017-10-12"</f>
        <v>2017-10-12</v>
      </c>
      <c r="I648" t="s">
        <v>26</v>
      </c>
      <c r="J648" t="str">
        <f>"2017-07-24"</f>
        <v>2017-07-24</v>
      </c>
      <c r="K648" t="s">
        <v>57</v>
      </c>
      <c r="L648">
        <v>2.24268293</v>
      </c>
      <c r="M648">
        <v>647</v>
      </c>
      <c r="N648" s="1">
        <v>0.24379999999999999</v>
      </c>
      <c r="O648" s="1">
        <v>0.45610000000000001</v>
      </c>
      <c r="P648" s="1">
        <v>-4.3299999999999998E-2</v>
      </c>
      <c r="Q648" s="1">
        <v>1.5299999999999999E-2</v>
      </c>
      <c r="R648" s="1">
        <v>-3.3E-3</v>
      </c>
      <c r="S648" s="1">
        <v>0.12429999999999999</v>
      </c>
      <c r="T648" s="1">
        <v>0.1328</v>
      </c>
      <c r="U648" s="1">
        <v>0.64459999999999995</v>
      </c>
    </row>
    <row r="649" spans="1:21" x14ac:dyDescent="0.25">
      <c r="A649" t="s">
        <v>1446</v>
      </c>
      <c r="B649" t="s">
        <v>1447</v>
      </c>
      <c r="C649" t="s">
        <v>43</v>
      </c>
      <c r="D649" t="s">
        <v>44</v>
      </c>
      <c r="E649" t="s">
        <v>45</v>
      </c>
      <c r="F649" t="str">
        <f t="shared" si="12"/>
        <v>2018-05-20</v>
      </c>
      <c r="G649">
        <v>20.28</v>
      </c>
      <c r="H649" t="str">
        <f>"2017-05-02"</f>
        <v>2017-05-02</v>
      </c>
      <c r="I649" t="s">
        <v>26</v>
      </c>
      <c r="J649" t="str">
        <f>"2017-04-24"</f>
        <v>2017-04-24</v>
      </c>
      <c r="K649" t="s">
        <v>27</v>
      </c>
      <c r="L649">
        <v>2.2422939099999999</v>
      </c>
      <c r="M649">
        <v>648</v>
      </c>
      <c r="N649" s="1">
        <v>0.21360000000000001</v>
      </c>
      <c r="O649" s="1">
        <v>0.45379999999999998</v>
      </c>
      <c r="P649" s="1">
        <v>-8.4000000000000005E-2</v>
      </c>
      <c r="Q649" s="1">
        <v>-2.9700000000000001E-2</v>
      </c>
      <c r="R649" s="1">
        <v>-2.12E-2</v>
      </c>
      <c r="S649" s="1">
        <v>4.5900000000000003E-2</v>
      </c>
      <c r="T649" s="1">
        <v>0.18459999999999999</v>
      </c>
      <c r="U649" s="1">
        <v>0.26750000000000002</v>
      </c>
    </row>
    <row r="650" spans="1:21" x14ac:dyDescent="0.25">
      <c r="A650" t="s">
        <v>1448</v>
      </c>
      <c r="B650" t="s">
        <v>1449</v>
      </c>
      <c r="C650" t="s">
        <v>43</v>
      </c>
      <c r="D650" t="s">
        <v>193</v>
      </c>
      <c r="E650" t="s">
        <v>239</v>
      </c>
      <c r="F650" t="str">
        <f t="shared" si="12"/>
        <v>2018-05-20</v>
      </c>
      <c r="G650">
        <v>26.4</v>
      </c>
      <c r="H650" t="str">
        <f>"2017-12-07"</f>
        <v>2017-12-07</v>
      </c>
      <c r="I650" t="s">
        <v>26</v>
      </c>
      <c r="J650" t="str">
        <f>"2017-11-22"</f>
        <v>2017-11-22</v>
      </c>
      <c r="K650" t="s">
        <v>27</v>
      </c>
      <c r="L650">
        <v>2.2417582399999998</v>
      </c>
      <c r="M650">
        <v>649</v>
      </c>
      <c r="N650" s="1">
        <v>0.13550000000000001</v>
      </c>
      <c r="O650" s="1">
        <v>0.45050000000000001</v>
      </c>
      <c r="P650" s="1">
        <v>-3.1199999999999999E-2</v>
      </c>
      <c r="Q650" s="1">
        <v>1.54E-2</v>
      </c>
      <c r="R650" s="1">
        <v>2.7199999999999998E-2</v>
      </c>
      <c r="S650" s="1">
        <v>2.52E-2</v>
      </c>
      <c r="T650" s="1">
        <v>-1.8599999999999998E-2</v>
      </c>
      <c r="U650" s="1">
        <v>0.20549999999999999</v>
      </c>
    </row>
    <row r="651" spans="1:21" x14ac:dyDescent="0.25">
      <c r="A651" t="s">
        <v>1450</v>
      </c>
      <c r="B651" t="s">
        <v>1451</v>
      </c>
      <c r="C651" t="s">
        <v>43</v>
      </c>
      <c r="D651" t="s">
        <v>169</v>
      </c>
      <c r="E651" t="s">
        <v>641</v>
      </c>
      <c r="F651" t="str">
        <f t="shared" si="12"/>
        <v>2018-05-20</v>
      </c>
      <c r="G651">
        <v>48.65</v>
      </c>
      <c r="H651" t="str">
        <f>"2017-11-05"</f>
        <v>2017-11-05</v>
      </c>
      <c r="I651" t="s">
        <v>26</v>
      </c>
      <c r="J651" t="str">
        <f>"2017-08-30"</f>
        <v>2017-08-30</v>
      </c>
      <c r="K651" t="s">
        <v>27</v>
      </c>
      <c r="L651">
        <v>2.2416790899999999</v>
      </c>
      <c r="M651">
        <v>650</v>
      </c>
      <c r="N651" s="1">
        <v>9.8199999999999996E-2</v>
      </c>
      <c r="O651" s="1">
        <v>0.4501</v>
      </c>
      <c r="P651" s="1">
        <v>-6.1699999999999998E-2</v>
      </c>
      <c r="Q651" s="1">
        <v>1.9900000000000001E-2</v>
      </c>
      <c r="R651" s="1">
        <v>3.0700000000000002E-2</v>
      </c>
      <c r="S651" s="1">
        <v>0.1133</v>
      </c>
      <c r="T651" s="1">
        <v>6.5699999999999995E-2</v>
      </c>
      <c r="U651" s="1">
        <v>0.41220000000000001</v>
      </c>
    </row>
    <row r="652" spans="1:21" x14ac:dyDescent="0.25">
      <c r="A652" t="s">
        <v>1452</v>
      </c>
      <c r="B652" t="s">
        <v>1453</v>
      </c>
      <c r="C652" t="s">
        <v>23</v>
      </c>
      <c r="D652" t="s">
        <v>52</v>
      </c>
      <c r="E652" t="s">
        <v>53</v>
      </c>
      <c r="F652" t="str">
        <f t="shared" si="12"/>
        <v>2018-05-20</v>
      </c>
      <c r="G652">
        <v>70.8</v>
      </c>
      <c r="H652" t="str">
        <f>"2016-12-11"</f>
        <v>2016-12-11</v>
      </c>
      <c r="I652" t="s">
        <v>26</v>
      </c>
      <c r="J652" t="str">
        <f>"2016-12-07"</f>
        <v>2016-12-07</v>
      </c>
      <c r="K652" t="s">
        <v>27</v>
      </c>
      <c r="L652">
        <v>2.2415557800000001</v>
      </c>
      <c r="M652">
        <v>651</v>
      </c>
      <c r="N652" s="1">
        <v>0.1158</v>
      </c>
      <c r="O652" s="1">
        <v>0.44929999999999998</v>
      </c>
      <c r="P652" s="1">
        <v>-6.6600000000000006E-2</v>
      </c>
      <c r="Q652" s="1">
        <v>1.5800000000000002E-2</v>
      </c>
      <c r="R652" s="1">
        <v>5.7000000000000002E-3</v>
      </c>
      <c r="S652" s="1">
        <v>4.6600000000000003E-2</v>
      </c>
      <c r="T652" s="1">
        <v>2.1600000000000001E-2</v>
      </c>
      <c r="U652" s="1">
        <v>0.22489999999999999</v>
      </c>
    </row>
    <row r="653" spans="1:21" x14ac:dyDescent="0.25">
      <c r="A653" t="s">
        <v>1454</v>
      </c>
      <c r="B653" t="s">
        <v>1455</v>
      </c>
      <c r="C653" t="s">
        <v>109</v>
      </c>
      <c r="D653" t="s">
        <v>110</v>
      </c>
      <c r="E653" t="s">
        <v>732</v>
      </c>
      <c r="F653" t="str">
        <f t="shared" ref="F653:F716" si="13">"2018-05-20"</f>
        <v>2018-05-20</v>
      </c>
      <c r="G653">
        <v>10</v>
      </c>
      <c r="H653" t="str">
        <f>"2018-04-17"</f>
        <v>2018-04-17</v>
      </c>
      <c r="I653" t="s">
        <v>26</v>
      </c>
      <c r="J653" t="str">
        <f>"2018-04-05"</f>
        <v>2018-04-05</v>
      </c>
      <c r="K653" t="s">
        <v>27</v>
      </c>
      <c r="L653">
        <v>2.2415458899999998</v>
      </c>
      <c r="M653">
        <v>652</v>
      </c>
      <c r="N653" s="1">
        <v>0.39860000000000001</v>
      </c>
      <c r="O653" s="1">
        <v>0.44929999999999998</v>
      </c>
      <c r="P653" s="1">
        <v>-4.3099999999999999E-2</v>
      </c>
      <c r="Q653" s="1">
        <v>-1.4800000000000001E-2</v>
      </c>
      <c r="R653" s="1">
        <v>5.0000000000000001E-3</v>
      </c>
      <c r="S653" s="1">
        <v>0.31580000000000003</v>
      </c>
      <c r="T653" s="1">
        <v>0.38890000000000002</v>
      </c>
      <c r="U653" s="1">
        <v>0.6</v>
      </c>
    </row>
    <row r="654" spans="1:21" x14ac:dyDescent="0.25">
      <c r="A654" t="s">
        <v>1456</v>
      </c>
      <c r="B654" t="s">
        <v>1457</v>
      </c>
      <c r="C654" t="s">
        <v>23</v>
      </c>
      <c r="D654" t="s">
        <v>173</v>
      </c>
      <c r="E654" t="s">
        <v>212</v>
      </c>
      <c r="F654" t="str">
        <f t="shared" si="13"/>
        <v>2018-05-20</v>
      </c>
      <c r="G654">
        <v>17.190000000000001</v>
      </c>
      <c r="H654" t="str">
        <f>"2017-10-12"</f>
        <v>2017-10-12</v>
      </c>
      <c r="I654" t="s">
        <v>26</v>
      </c>
      <c r="J654" t="str">
        <f>"2017-09-13"</f>
        <v>2017-09-13</v>
      </c>
      <c r="K654" t="s">
        <v>27</v>
      </c>
      <c r="L654">
        <v>2.24136479</v>
      </c>
      <c r="M654">
        <v>653</v>
      </c>
      <c r="N654" s="1">
        <v>0.109</v>
      </c>
      <c r="O654" s="1">
        <v>0.44819999999999999</v>
      </c>
      <c r="P654" s="1">
        <v>-2.3300000000000001E-2</v>
      </c>
      <c r="Q654" s="1">
        <v>-2.3E-3</v>
      </c>
      <c r="R654" s="1">
        <v>4.4999999999999998E-2</v>
      </c>
      <c r="S654" s="1">
        <v>1.18E-2</v>
      </c>
      <c r="T654" s="1">
        <v>5.1999999999999998E-2</v>
      </c>
      <c r="U654" s="1">
        <v>0.3589</v>
      </c>
    </row>
    <row r="655" spans="1:21" x14ac:dyDescent="0.25">
      <c r="A655" t="s">
        <v>1458</v>
      </c>
      <c r="B655" t="s">
        <v>1459</v>
      </c>
      <c r="C655" t="s">
        <v>30</v>
      </c>
      <c r="D655" t="s">
        <v>31</v>
      </c>
      <c r="E655" t="s">
        <v>31</v>
      </c>
      <c r="F655" t="str">
        <f t="shared" si="13"/>
        <v>2018-05-20</v>
      </c>
      <c r="G655">
        <v>53.5</v>
      </c>
      <c r="H655" t="str">
        <f>"2017-07-02"</f>
        <v>2017-07-02</v>
      </c>
      <c r="I655" t="s">
        <v>26</v>
      </c>
      <c r="J655" t="str">
        <f>"2017-03-27"</f>
        <v>2017-03-27</v>
      </c>
      <c r="K655" t="s">
        <v>40</v>
      </c>
      <c r="L655">
        <v>2.2413170999999998</v>
      </c>
      <c r="M655">
        <v>654</v>
      </c>
      <c r="N655" s="1">
        <v>0.2104</v>
      </c>
      <c r="O655" s="1">
        <v>0.44790000000000002</v>
      </c>
      <c r="P655" s="1">
        <v>0</v>
      </c>
      <c r="Q655" s="1">
        <v>1.7100000000000001E-2</v>
      </c>
      <c r="R655" s="1">
        <v>3.3799999999999997E-2</v>
      </c>
      <c r="S655" s="1">
        <v>7.5399999999999995E-2</v>
      </c>
      <c r="T655" s="1">
        <v>0.1169</v>
      </c>
      <c r="U655" s="1">
        <v>0.38240000000000002</v>
      </c>
    </row>
    <row r="656" spans="1:21" x14ac:dyDescent="0.25">
      <c r="A656" t="s">
        <v>1460</v>
      </c>
      <c r="B656" t="s">
        <v>1461</v>
      </c>
      <c r="C656" t="s">
        <v>109</v>
      </c>
      <c r="D656" t="s">
        <v>156</v>
      </c>
      <c r="E656" t="s">
        <v>157</v>
      </c>
      <c r="F656" t="str">
        <f t="shared" si="13"/>
        <v>2018-05-20</v>
      </c>
      <c r="G656">
        <v>12.71</v>
      </c>
      <c r="H656" t="str">
        <f>"2017-08-01"</f>
        <v>2017-08-01</v>
      </c>
      <c r="I656" t="s">
        <v>26</v>
      </c>
      <c r="J656" t="str">
        <f>"2017-07-16"</f>
        <v>2017-07-16</v>
      </c>
      <c r="K656" t="s">
        <v>27</v>
      </c>
      <c r="L656">
        <v>2.2412680300000001</v>
      </c>
      <c r="M656">
        <v>655</v>
      </c>
      <c r="N656" s="1">
        <v>0.23760000000000001</v>
      </c>
      <c r="O656" s="1">
        <v>0.4476</v>
      </c>
      <c r="P656" s="1">
        <v>-1.09E-2</v>
      </c>
      <c r="Q656" s="1">
        <v>-3.8999999999999998E-3</v>
      </c>
      <c r="R656" s="1">
        <v>7.0800000000000002E-2</v>
      </c>
      <c r="S656" s="1">
        <v>3.5000000000000003E-2</v>
      </c>
      <c r="T656" s="1">
        <v>9.4700000000000006E-2</v>
      </c>
      <c r="U656" s="1">
        <v>0.309</v>
      </c>
    </row>
    <row r="657" spans="1:21" x14ac:dyDescent="0.25">
      <c r="A657" t="s">
        <v>1462</v>
      </c>
      <c r="B657" t="s">
        <v>1463</v>
      </c>
      <c r="C657" t="s">
        <v>87</v>
      </c>
      <c r="D657" t="s">
        <v>144</v>
      </c>
      <c r="E657" t="s">
        <v>145</v>
      </c>
      <c r="F657" t="str">
        <f t="shared" si="13"/>
        <v>2018-05-20</v>
      </c>
      <c r="G657">
        <v>7.7</v>
      </c>
      <c r="H657" t="str">
        <f>"2018-05-21"</f>
        <v>2018-05-21</v>
      </c>
      <c r="I657" t="s">
        <v>26</v>
      </c>
      <c r="J657" t="str">
        <f>"2018-04-26"</f>
        <v>2018-04-26</v>
      </c>
      <c r="K657" t="s">
        <v>27</v>
      </c>
      <c r="L657">
        <v>2.24122807</v>
      </c>
      <c r="M657">
        <v>656</v>
      </c>
      <c r="N657" s="1">
        <v>0</v>
      </c>
      <c r="O657" s="1">
        <v>0.44740000000000002</v>
      </c>
      <c r="P657" s="1">
        <v>-3.27E-2</v>
      </c>
      <c r="Q657" s="1">
        <v>3.8999999999999998E-3</v>
      </c>
      <c r="R657" s="1">
        <v>5.91E-2</v>
      </c>
      <c r="S657" s="1">
        <v>0.13400000000000001</v>
      </c>
      <c r="T657" s="1">
        <v>0.2203</v>
      </c>
      <c r="U657" s="1">
        <v>-8.3299999999999999E-2</v>
      </c>
    </row>
    <row r="658" spans="1:21" x14ac:dyDescent="0.25">
      <c r="A658" t="s">
        <v>1464</v>
      </c>
      <c r="B658" t="s">
        <v>1465</v>
      </c>
      <c r="C658" t="s">
        <v>30</v>
      </c>
      <c r="D658" t="s">
        <v>31</v>
      </c>
      <c r="E658" t="s">
        <v>31</v>
      </c>
      <c r="F658" t="str">
        <f t="shared" si="13"/>
        <v>2018-05-20</v>
      </c>
      <c r="G658">
        <v>10.95</v>
      </c>
      <c r="H658" t="str">
        <f>"2016-11-08"</f>
        <v>2016-11-08</v>
      </c>
      <c r="I658" t="s">
        <v>26</v>
      </c>
      <c r="J658" t="str">
        <f>"2016-10-23"</f>
        <v>2016-10-23</v>
      </c>
      <c r="K658" t="s">
        <v>27</v>
      </c>
      <c r="L658">
        <v>2.24044796</v>
      </c>
      <c r="M658">
        <v>657</v>
      </c>
      <c r="N658" s="1">
        <v>0.37740000000000001</v>
      </c>
      <c r="O658" s="1">
        <v>0.44269999999999998</v>
      </c>
      <c r="P658" s="1">
        <v>-1.35E-2</v>
      </c>
      <c r="Q658" s="1">
        <v>4.5999999999999999E-3</v>
      </c>
      <c r="R658" s="1">
        <v>4.5999999999999999E-3</v>
      </c>
      <c r="S658" s="1">
        <v>9.1999999999999998E-3</v>
      </c>
      <c r="T658" s="1">
        <v>7.3499999999999996E-2</v>
      </c>
      <c r="U658" s="1">
        <v>9.5000000000000001E-2</v>
      </c>
    </row>
    <row r="659" spans="1:21" x14ac:dyDescent="0.25">
      <c r="A659" t="s">
        <v>1466</v>
      </c>
      <c r="B659" t="s">
        <v>1467</v>
      </c>
      <c r="C659" t="s">
        <v>43</v>
      </c>
      <c r="D659" t="s">
        <v>150</v>
      </c>
      <c r="E659" t="s">
        <v>151</v>
      </c>
      <c r="F659" t="str">
        <f t="shared" si="13"/>
        <v>2018-05-20</v>
      </c>
      <c r="G659">
        <v>100.95</v>
      </c>
      <c r="H659" t="str">
        <f>"2016-06-02"</f>
        <v>2016-06-02</v>
      </c>
      <c r="I659" t="s">
        <v>26</v>
      </c>
      <c r="J659" t="str">
        <f>"2016-05-29"</f>
        <v>2016-05-29</v>
      </c>
      <c r="K659" t="s">
        <v>27</v>
      </c>
      <c r="L659">
        <v>2.2404258399999999</v>
      </c>
      <c r="M659">
        <v>658</v>
      </c>
      <c r="N659" s="1">
        <v>0.16300000000000001</v>
      </c>
      <c r="O659" s="1">
        <v>0.44259999999999999</v>
      </c>
      <c r="P659" s="1">
        <v>-7.22E-2</v>
      </c>
      <c r="Q659" s="1">
        <v>1.41E-2</v>
      </c>
      <c r="R659" s="1">
        <v>5.7099999999999998E-2</v>
      </c>
      <c r="S659" s="1">
        <v>1.0500000000000001E-2</v>
      </c>
      <c r="T659" s="1">
        <v>5.0000000000000001E-3</v>
      </c>
      <c r="U659" s="1">
        <v>0.13619999999999999</v>
      </c>
    </row>
    <row r="660" spans="1:21" x14ac:dyDescent="0.25">
      <c r="A660" t="s">
        <v>1468</v>
      </c>
      <c r="B660" t="s">
        <v>1469</v>
      </c>
      <c r="C660" t="s">
        <v>23</v>
      </c>
      <c r="D660" t="s">
        <v>52</v>
      </c>
      <c r="E660" t="s">
        <v>53</v>
      </c>
      <c r="F660" t="str">
        <f t="shared" si="13"/>
        <v>2018-05-20</v>
      </c>
      <c r="G660">
        <v>136.80000000000001</v>
      </c>
      <c r="H660" t="str">
        <f>"2016-08-11"</f>
        <v>2016-08-11</v>
      </c>
      <c r="I660" t="s">
        <v>26</v>
      </c>
      <c r="J660" t="str">
        <f>"2016-06-27"</f>
        <v>2016-06-27</v>
      </c>
      <c r="K660" t="s">
        <v>40</v>
      </c>
      <c r="L660">
        <v>2.2400252699999998</v>
      </c>
      <c r="M660">
        <v>659</v>
      </c>
      <c r="N660" s="1">
        <v>0.37069999999999997</v>
      </c>
      <c r="O660" s="1">
        <v>0.44019999999999998</v>
      </c>
      <c r="P660" s="1">
        <v>-3.1199999999999999E-2</v>
      </c>
      <c r="Q660" s="1">
        <v>2.2000000000000001E-3</v>
      </c>
      <c r="R660" s="1">
        <v>1.3299999999999999E-2</v>
      </c>
      <c r="S660" s="1">
        <v>3.9899999999999998E-2</v>
      </c>
      <c r="T660" s="1">
        <v>3.32E-2</v>
      </c>
      <c r="U660" s="1">
        <v>7.0000000000000007E-2</v>
      </c>
    </row>
    <row r="661" spans="1:21" x14ac:dyDescent="0.25">
      <c r="A661" t="s">
        <v>1470</v>
      </c>
      <c r="B661" t="s">
        <v>1471</v>
      </c>
      <c r="C661" t="s">
        <v>30</v>
      </c>
      <c r="D661" t="s">
        <v>31</v>
      </c>
      <c r="E661" t="s">
        <v>31</v>
      </c>
      <c r="F661" t="str">
        <f t="shared" si="13"/>
        <v>2018-05-20</v>
      </c>
      <c r="G661">
        <v>33.78</v>
      </c>
      <c r="H661" t="str">
        <f>"2017-06-11"</f>
        <v>2017-06-11</v>
      </c>
      <c r="I661" t="s">
        <v>26</v>
      </c>
      <c r="J661" t="str">
        <f>"2017-03-14"</f>
        <v>2017-03-14</v>
      </c>
      <c r="K661" t="s">
        <v>40</v>
      </c>
      <c r="L661">
        <v>2.2396764600000001</v>
      </c>
      <c r="M661">
        <v>660</v>
      </c>
      <c r="N661" s="1">
        <v>0.20430000000000001</v>
      </c>
      <c r="O661" s="1">
        <v>0.43809999999999999</v>
      </c>
      <c r="P661" s="1">
        <v>-3.0000000000000001E-3</v>
      </c>
      <c r="Q661" s="1">
        <v>2.0199999999999999E-2</v>
      </c>
      <c r="R661" s="1">
        <v>4.2599999999999999E-2</v>
      </c>
      <c r="S661" s="1">
        <v>8.6900000000000005E-2</v>
      </c>
      <c r="T661" s="1">
        <v>0.21640000000000001</v>
      </c>
      <c r="U661" s="1">
        <v>0.34420000000000001</v>
      </c>
    </row>
    <row r="662" spans="1:21" x14ac:dyDescent="0.25">
      <c r="A662" t="s">
        <v>1472</v>
      </c>
      <c r="B662" t="s">
        <v>1473</v>
      </c>
      <c r="C662" t="s">
        <v>100</v>
      </c>
      <c r="D662" t="s">
        <v>1034</v>
      </c>
      <c r="E662" t="s">
        <v>1035</v>
      </c>
      <c r="F662" t="str">
        <f t="shared" si="13"/>
        <v>2018-05-20</v>
      </c>
      <c r="G662">
        <v>7</v>
      </c>
      <c r="H662" t="str">
        <f>"2018-02-27"</f>
        <v>2018-02-27</v>
      </c>
      <c r="I662" t="s">
        <v>26</v>
      </c>
      <c r="J662" t="str">
        <f>"2017-12-19"</f>
        <v>2017-12-19</v>
      </c>
      <c r="K662" t="s">
        <v>27</v>
      </c>
      <c r="L662">
        <v>2.2395619400000002</v>
      </c>
      <c r="M662">
        <v>661</v>
      </c>
      <c r="N662" s="1">
        <v>8.3599999999999994E-2</v>
      </c>
      <c r="O662" s="1">
        <v>0.43740000000000001</v>
      </c>
      <c r="P662" s="1">
        <v>-5.1499999999999997E-2</v>
      </c>
      <c r="Q662" s="1">
        <v>1.6E-2</v>
      </c>
      <c r="R662" s="1">
        <v>-4.1099999999999998E-2</v>
      </c>
      <c r="S662" s="1">
        <v>2.8999999999999998E-3</v>
      </c>
      <c r="T662" s="1">
        <v>9.0300000000000005E-2</v>
      </c>
      <c r="U662" s="1">
        <v>-8.6199999999999999E-2</v>
      </c>
    </row>
    <row r="663" spans="1:21" x14ac:dyDescent="0.25">
      <c r="A663" t="s">
        <v>1474</v>
      </c>
      <c r="B663" t="s">
        <v>1475</v>
      </c>
      <c r="C663" t="s">
        <v>43</v>
      </c>
      <c r="D663" t="s">
        <v>193</v>
      </c>
      <c r="E663" t="s">
        <v>239</v>
      </c>
      <c r="F663" t="str">
        <f t="shared" si="13"/>
        <v>2018-05-20</v>
      </c>
      <c r="G663">
        <v>38.549999999999997</v>
      </c>
      <c r="H663" t="str">
        <f>"2018-01-24"</f>
        <v>2018-01-24</v>
      </c>
      <c r="I663" t="s">
        <v>26</v>
      </c>
      <c r="J663" t="str">
        <f>"2017-06-26"</f>
        <v>2017-06-26</v>
      </c>
      <c r="K663" t="s">
        <v>57</v>
      </c>
      <c r="L663">
        <v>2.2392923599999999</v>
      </c>
      <c r="M663">
        <v>662</v>
      </c>
      <c r="N663" s="1">
        <v>1.3100000000000001E-2</v>
      </c>
      <c r="O663" s="1">
        <v>0.43580000000000002</v>
      </c>
      <c r="P663" s="1">
        <v>0</v>
      </c>
      <c r="Q663" s="1">
        <v>2.5999999999999999E-3</v>
      </c>
      <c r="R663" s="1">
        <v>6.6400000000000001E-2</v>
      </c>
      <c r="S663" s="1">
        <v>8.2900000000000001E-2</v>
      </c>
      <c r="T663" s="1">
        <v>5.7599999999999998E-2</v>
      </c>
      <c r="U663" s="1">
        <v>0.2104</v>
      </c>
    </row>
    <row r="664" spans="1:21" x14ac:dyDescent="0.25">
      <c r="A664" t="s">
        <v>1476</v>
      </c>
      <c r="B664" t="s">
        <v>1477</v>
      </c>
      <c r="C664" t="s">
        <v>23</v>
      </c>
      <c r="D664" t="s">
        <v>52</v>
      </c>
      <c r="E664" t="s">
        <v>190</v>
      </c>
      <c r="F664" t="str">
        <f t="shared" si="13"/>
        <v>2018-05-20</v>
      </c>
      <c r="G664">
        <v>10.19</v>
      </c>
      <c r="H664" t="str">
        <f>"2018-01-22"</f>
        <v>2018-01-22</v>
      </c>
      <c r="I664" t="s">
        <v>26</v>
      </c>
      <c r="J664" t="str">
        <f>"2017-12-04"</f>
        <v>2017-12-04</v>
      </c>
      <c r="K664" t="s">
        <v>27</v>
      </c>
      <c r="L664">
        <v>2.2375291399999999</v>
      </c>
      <c r="M664">
        <v>663</v>
      </c>
      <c r="N664" s="1">
        <v>-2E-3</v>
      </c>
      <c r="O664" s="1">
        <v>0.42520000000000002</v>
      </c>
      <c r="P664" s="1">
        <v>-5.8200000000000002E-2</v>
      </c>
      <c r="Q664" s="1">
        <v>-3.32E-2</v>
      </c>
      <c r="R664" s="1">
        <v>-1.55E-2</v>
      </c>
      <c r="S664" s="1">
        <v>5.2699999999999997E-2</v>
      </c>
      <c r="T664" s="1">
        <v>0.121</v>
      </c>
      <c r="U664" s="1">
        <v>-0.10929999999999999</v>
      </c>
    </row>
    <row r="665" spans="1:21" x14ac:dyDescent="0.25">
      <c r="A665" t="s">
        <v>1478</v>
      </c>
      <c r="B665" t="s">
        <v>1479</v>
      </c>
      <c r="C665" t="s">
        <v>23</v>
      </c>
      <c r="D665" t="s">
        <v>24</v>
      </c>
      <c r="E665" t="s">
        <v>164</v>
      </c>
      <c r="F665" t="str">
        <f t="shared" si="13"/>
        <v>2018-05-20</v>
      </c>
      <c r="G665">
        <v>12.75</v>
      </c>
      <c r="H665" t="str">
        <f>"2018-04-04"</f>
        <v>2018-04-04</v>
      </c>
      <c r="I665" t="s">
        <v>26</v>
      </c>
      <c r="J665" t="str">
        <f>"2017-12-17"</f>
        <v>2017-12-17</v>
      </c>
      <c r="K665" t="s">
        <v>40</v>
      </c>
      <c r="L665">
        <v>2.2374301700000001</v>
      </c>
      <c r="M665">
        <v>664</v>
      </c>
      <c r="N665" s="1">
        <v>0.21199999999999999</v>
      </c>
      <c r="O665" s="1">
        <v>0.42459999999999998</v>
      </c>
      <c r="P665" s="1">
        <v>0</v>
      </c>
      <c r="Q665" s="1">
        <v>1.9199999999999998E-2</v>
      </c>
      <c r="R665" s="1">
        <v>5.6300000000000003E-2</v>
      </c>
      <c r="S665" s="1">
        <v>0.1273</v>
      </c>
      <c r="T665" s="1">
        <v>0.371</v>
      </c>
      <c r="U665" s="1">
        <v>0.3695</v>
      </c>
    </row>
    <row r="666" spans="1:21" x14ac:dyDescent="0.25">
      <c r="A666" t="s">
        <v>1480</v>
      </c>
      <c r="B666" t="s">
        <v>1481</v>
      </c>
      <c r="C666" t="s">
        <v>30</v>
      </c>
      <c r="D666" t="s">
        <v>31</v>
      </c>
      <c r="E666" t="s">
        <v>31</v>
      </c>
      <c r="F666" t="str">
        <f t="shared" si="13"/>
        <v>2018-05-20</v>
      </c>
      <c r="G666">
        <v>110.6</v>
      </c>
      <c r="H666" t="str">
        <f>"2017-12-06"</f>
        <v>2017-12-06</v>
      </c>
      <c r="I666" t="s">
        <v>26</v>
      </c>
      <c r="J666" t="str">
        <f>"2017-10-05"</f>
        <v>2017-10-05</v>
      </c>
      <c r="K666" t="s">
        <v>57</v>
      </c>
      <c r="L666">
        <v>2.2372372399999998</v>
      </c>
      <c r="M666">
        <v>665</v>
      </c>
      <c r="N666" s="1">
        <v>0.18160000000000001</v>
      </c>
      <c r="O666" s="1">
        <v>0.4234</v>
      </c>
      <c r="P666" s="1">
        <v>-5.4699999999999999E-2</v>
      </c>
      <c r="Q666" s="1">
        <v>0.01</v>
      </c>
      <c r="R666" s="1">
        <v>5.3800000000000001E-2</v>
      </c>
      <c r="S666" s="1">
        <v>-1.43E-2</v>
      </c>
      <c r="T666" s="1">
        <v>6.4000000000000003E-3</v>
      </c>
      <c r="U666" s="1">
        <v>0.3004</v>
      </c>
    </row>
    <row r="667" spans="1:21" x14ac:dyDescent="0.25">
      <c r="A667" t="s">
        <v>1482</v>
      </c>
      <c r="B667" t="s">
        <v>1483</v>
      </c>
      <c r="C667" t="s">
        <v>30</v>
      </c>
      <c r="D667" t="s">
        <v>347</v>
      </c>
      <c r="E667" t="s">
        <v>523</v>
      </c>
      <c r="F667" t="str">
        <f t="shared" si="13"/>
        <v>2018-05-20</v>
      </c>
      <c r="G667">
        <v>18.989999999999998</v>
      </c>
      <c r="H667" t="str">
        <f>"2018-05-07"</f>
        <v>2018-05-07</v>
      </c>
      <c r="I667" t="s">
        <v>26</v>
      </c>
      <c r="J667" t="str">
        <f>"2018-04-08"</f>
        <v>2018-04-08</v>
      </c>
      <c r="K667" t="s">
        <v>27</v>
      </c>
      <c r="L667">
        <v>2.2370786499999999</v>
      </c>
      <c r="M667">
        <v>666</v>
      </c>
      <c r="N667" s="1">
        <v>0.12429999999999999</v>
      </c>
      <c r="O667" s="1">
        <v>0.42249999999999999</v>
      </c>
      <c r="P667" s="1">
        <v>-7.7999999999999996E-3</v>
      </c>
      <c r="Q667" s="1">
        <v>8.0000000000000002E-3</v>
      </c>
      <c r="R667" s="1">
        <v>1.8200000000000001E-2</v>
      </c>
      <c r="S667" s="1">
        <v>8.2100000000000006E-2</v>
      </c>
      <c r="T667" s="1">
        <v>0.20799999999999999</v>
      </c>
      <c r="U667" s="1">
        <v>0.14119999999999999</v>
      </c>
    </row>
    <row r="668" spans="1:21" x14ac:dyDescent="0.25">
      <c r="A668" t="s">
        <v>1484</v>
      </c>
      <c r="B668" t="s">
        <v>1485</v>
      </c>
      <c r="C668" t="s">
        <v>100</v>
      </c>
      <c r="D668" t="s">
        <v>199</v>
      </c>
      <c r="E668" t="s">
        <v>200</v>
      </c>
      <c r="F668" t="str">
        <f t="shared" si="13"/>
        <v>2018-05-20</v>
      </c>
      <c r="G668">
        <v>9.9700000000000006</v>
      </c>
      <c r="H668" t="str">
        <f>"2018-01-08"</f>
        <v>2018-01-08</v>
      </c>
      <c r="I668" t="s">
        <v>26</v>
      </c>
      <c r="J668" t="str">
        <f>"2017-12-13"</f>
        <v>2017-12-13</v>
      </c>
      <c r="K668" t="s">
        <v>27</v>
      </c>
      <c r="L668">
        <v>2.2367046500000001</v>
      </c>
      <c r="M668">
        <v>667</v>
      </c>
      <c r="N668" s="1">
        <v>7.1000000000000004E-3</v>
      </c>
      <c r="O668" s="1">
        <v>0.42020000000000002</v>
      </c>
      <c r="P668" s="1">
        <v>-9.3600000000000003E-2</v>
      </c>
      <c r="Q668" s="1">
        <v>1.84E-2</v>
      </c>
      <c r="R668" s="1">
        <v>5.3900000000000003E-2</v>
      </c>
      <c r="S668" s="1">
        <v>-6.9099999999999995E-2</v>
      </c>
      <c r="T668" s="1">
        <v>5.0599999999999999E-2</v>
      </c>
      <c r="U668" s="1">
        <v>0.10780000000000001</v>
      </c>
    </row>
    <row r="669" spans="1:21" x14ac:dyDescent="0.25">
      <c r="A669" t="s">
        <v>1486</v>
      </c>
      <c r="B669" t="s">
        <v>1487</v>
      </c>
      <c r="C669" t="s">
        <v>109</v>
      </c>
      <c r="D669" t="s">
        <v>110</v>
      </c>
      <c r="E669" t="s">
        <v>251</v>
      </c>
      <c r="F669" t="str">
        <f t="shared" si="13"/>
        <v>2018-05-20</v>
      </c>
      <c r="G669">
        <v>6.6</v>
      </c>
      <c r="H669" t="str">
        <f>"2018-02-25"</f>
        <v>2018-02-25</v>
      </c>
      <c r="I669" t="s">
        <v>26</v>
      </c>
      <c r="J669" t="str">
        <f>"2017-11-26"</f>
        <v>2017-11-26</v>
      </c>
      <c r="K669" t="s">
        <v>27</v>
      </c>
      <c r="L669">
        <v>2.2365591399999998</v>
      </c>
      <c r="M669">
        <v>668</v>
      </c>
      <c r="N669" s="1">
        <v>-5.04E-2</v>
      </c>
      <c r="O669" s="1">
        <v>0.4194</v>
      </c>
      <c r="P669" s="1">
        <v>-8.9700000000000002E-2</v>
      </c>
      <c r="Q669" s="1">
        <v>0</v>
      </c>
      <c r="R669" s="1">
        <v>5.6000000000000001E-2</v>
      </c>
      <c r="S669" s="1">
        <v>-2.9399999999999999E-2</v>
      </c>
      <c r="T669" s="1">
        <v>-5.04E-2</v>
      </c>
      <c r="U669" s="1">
        <v>-2.2200000000000001E-2</v>
      </c>
    </row>
    <row r="670" spans="1:21" x14ac:dyDescent="0.25">
      <c r="A670" t="s">
        <v>1488</v>
      </c>
      <c r="B670" t="s">
        <v>1489</v>
      </c>
      <c r="C670" t="s">
        <v>30</v>
      </c>
      <c r="D670" t="s">
        <v>299</v>
      </c>
      <c r="E670" t="s">
        <v>1087</v>
      </c>
      <c r="F670" t="str">
        <f t="shared" si="13"/>
        <v>2018-05-20</v>
      </c>
      <c r="G670">
        <v>31.05</v>
      </c>
      <c r="H670" t="str">
        <f>"2017-04-11"</f>
        <v>2017-04-11</v>
      </c>
      <c r="I670" t="s">
        <v>26</v>
      </c>
      <c r="J670" t="str">
        <f>"2017-03-21"</f>
        <v>2017-03-21</v>
      </c>
      <c r="K670" t="s">
        <v>40</v>
      </c>
      <c r="L670">
        <v>2.2365173700000001</v>
      </c>
      <c r="M670">
        <v>669</v>
      </c>
      <c r="N670" s="1">
        <v>0.28089999999999998</v>
      </c>
      <c r="O670" s="1">
        <v>0.41909999999999997</v>
      </c>
      <c r="P670" s="1">
        <v>-4.9299999999999997E-2</v>
      </c>
      <c r="Q670" s="1">
        <v>1.6000000000000001E-3</v>
      </c>
      <c r="R670" s="1">
        <v>-2.3300000000000001E-2</v>
      </c>
      <c r="S670" s="1">
        <v>7.6999999999999999E-2</v>
      </c>
      <c r="T670" s="1">
        <v>0.1217</v>
      </c>
      <c r="U670" s="1">
        <v>0.17929999999999999</v>
      </c>
    </row>
    <row r="671" spans="1:21" x14ac:dyDescent="0.25">
      <c r="A671" t="s">
        <v>1490</v>
      </c>
      <c r="B671" t="s">
        <v>1491</v>
      </c>
      <c r="C671" t="s">
        <v>30</v>
      </c>
      <c r="D671" t="s">
        <v>31</v>
      </c>
      <c r="E671" t="s">
        <v>31</v>
      </c>
      <c r="F671" t="str">
        <f t="shared" si="13"/>
        <v>2018-05-20</v>
      </c>
      <c r="G671">
        <v>29.05</v>
      </c>
      <c r="H671" t="str">
        <f>"2018-04-26"</f>
        <v>2018-04-26</v>
      </c>
      <c r="I671" t="s">
        <v>26</v>
      </c>
      <c r="J671" t="str">
        <f>"2017-04-13"</f>
        <v>2017-04-13</v>
      </c>
      <c r="K671" t="s">
        <v>34</v>
      </c>
      <c r="L671">
        <v>2.2358337399999999</v>
      </c>
      <c r="M671">
        <v>670</v>
      </c>
      <c r="N671" s="1">
        <v>-1.0200000000000001E-2</v>
      </c>
      <c r="O671" s="1">
        <v>0.41499999999999998</v>
      </c>
      <c r="P671" s="1">
        <v>-3.9E-2</v>
      </c>
      <c r="Q671" s="1">
        <v>-2.9999999999999997E-4</v>
      </c>
      <c r="R671" s="1">
        <v>-8.5000000000000006E-3</v>
      </c>
      <c r="S671" s="1">
        <v>1.54E-2</v>
      </c>
      <c r="T671" s="1">
        <v>2.9399999999999999E-2</v>
      </c>
      <c r="U671" s="1">
        <v>0.32469999999999999</v>
      </c>
    </row>
    <row r="672" spans="1:21" x14ac:dyDescent="0.25">
      <c r="A672" t="s">
        <v>1492</v>
      </c>
      <c r="B672" t="s">
        <v>1493</v>
      </c>
      <c r="C672" t="s">
        <v>30</v>
      </c>
      <c r="D672" t="s">
        <v>299</v>
      </c>
      <c r="E672" t="s">
        <v>1250</v>
      </c>
      <c r="F672" t="str">
        <f t="shared" si="13"/>
        <v>2018-05-20</v>
      </c>
      <c r="G672">
        <v>82.15</v>
      </c>
      <c r="H672" t="str">
        <f>"2017-10-26"</f>
        <v>2017-10-26</v>
      </c>
      <c r="I672" t="s">
        <v>26</v>
      </c>
      <c r="J672" t="str">
        <f>"2017-08-29"</f>
        <v>2017-08-29</v>
      </c>
      <c r="K672" t="s">
        <v>40</v>
      </c>
      <c r="L672">
        <v>2.2358192699999999</v>
      </c>
      <c r="M672">
        <v>671</v>
      </c>
      <c r="N672" s="1">
        <v>0.25309999999999999</v>
      </c>
      <c r="O672" s="1">
        <v>0.41489999999999999</v>
      </c>
      <c r="P672" s="1">
        <v>-6.1999999999999998E-3</v>
      </c>
      <c r="Q672" s="1">
        <v>1.0500000000000001E-2</v>
      </c>
      <c r="R672" s="1">
        <v>1.15E-2</v>
      </c>
      <c r="S672" s="1">
        <v>3.61E-2</v>
      </c>
      <c r="T672" s="1">
        <v>0.15229999999999999</v>
      </c>
      <c r="U672" s="1">
        <v>0.27760000000000001</v>
      </c>
    </row>
    <row r="673" spans="1:21" x14ac:dyDescent="0.25">
      <c r="A673" t="s">
        <v>1494</v>
      </c>
      <c r="B673" t="s">
        <v>1495</v>
      </c>
      <c r="C673" t="s">
        <v>43</v>
      </c>
      <c r="D673" t="s">
        <v>150</v>
      </c>
      <c r="E673" t="s">
        <v>151</v>
      </c>
      <c r="F673" t="str">
        <f t="shared" si="13"/>
        <v>2018-05-20</v>
      </c>
      <c r="G673">
        <v>18.21</v>
      </c>
      <c r="H673" t="str">
        <f>"2017-09-20"</f>
        <v>2017-09-20</v>
      </c>
      <c r="I673" t="s">
        <v>26</v>
      </c>
      <c r="J673" t="str">
        <f>"2017-05-24"</f>
        <v>2017-05-24</v>
      </c>
      <c r="K673" t="s">
        <v>40</v>
      </c>
      <c r="L673">
        <v>2.23563665</v>
      </c>
      <c r="M673">
        <v>672</v>
      </c>
      <c r="N673" s="1">
        <v>0.13320000000000001</v>
      </c>
      <c r="O673" s="1">
        <v>0.4138</v>
      </c>
      <c r="P673" s="1">
        <v>-7.6999999999999999E-2</v>
      </c>
      <c r="Q673" s="1">
        <v>-1.9400000000000001E-2</v>
      </c>
      <c r="R673" s="1">
        <v>3.9399999999999998E-2</v>
      </c>
      <c r="S673" s="1">
        <v>0.10299999999999999</v>
      </c>
      <c r="T673" s="1">
        <v>6.93E-2</v>
      </c>
      <c r="U673" s="1">
        <v>0.32919999999999999</v>
      </c>
    </row>
    <row r="674" spans="1:21" x14ac:dyDescent="0.25">
      <c r="A674" t="s">
        <v>1496</v>
      </c>
      <c r="B674" t="s">
        <v>1497</v>
      </c>
      <c r="C674" t="s">
        <v>43</v>
      </c>
      <c r="D674" t="s">
        <v>44</v>
      </c>
      <c r="E674" t="s">
        <v>246</v>
      </c>
      <c r="F674" t="str">
        <f t="shared" si="13"/>
        <v>2018-05-20</v>
      </c>
      <c r="G674">
        <v>4.17</v>
      </c>
      <c r="H674" t="str">
        <f>"2017-06-25"</f>
        <v>2017-06-25</v>
      </c>
      <c r="I674" t="s">
        <v>26</v>
      </c>
      <c r="J674" t="str">
        <f>"2017-05-11"</f>
        <v>2017-05-11</v>
      </c>
      <c r="K674" t="s">
        <v>27</v>
      </c>
      <c r="L674">
        <v>2.2355932200000002</v>
      </c>
      <c r="M674">
        <v>673</v>
      </c>
      <c r="N674" s="1">
        <v>9.7000000000000003E-3</v>
      </c>
      <c r="O674" s="1">
        <v>0.41360000000000002</v>
      </c>
      <c r="P674" s="1">
        <v>-8.1500000000000003E-2</v>
      </c>
      <c r="Q674" s="1">
        <v>7.1999999999999998E-3</v>
      </c>
      <c r="R674" s="1">
        <v>1.9599999999999999E-2</v>
      </c>
      <c r="S674" s="1">
        <v>-3.6999999999999998E-2</v>
      </c>
      <c r="T674" s="1">
        <v>-3.4700000000000002E-2</v>
      </c>
      <c r="U674" s="1">
        <v>0.15509999999999999</v>
      </c>
    </row>
    <row r="675" spans="1:21" x14ac:dyDescent="0.25">
      <c r="A675" t="s">
        <v>1498</v>
      </c>
      <c r="B675" t="s">
        <v>1499</v>
      </c>
      <c r="C675" t="s">
        <v>23</v>
      </c>
      <c r="D675" t="s">
        <v>24</v>
      </c>
      <c r="E675" t="s">
        <v>164</v>
      </c>
      <c r="F675" t="str">
        <f t="shared" si="13"/>
        <v>2018-05-20</v>
      </c>
      <c r="G675">
        <v>42.9</v>
      </c>
      <c r="H675" t="str">
        <f>"2016-11-23"</f>
        <v>2016-11-23</v>
      </c>
      <c r="I675" t="s">
        <v>26</v>
      </c>
      <c r="J675" t="str">
        <f>"2016-11-09"</f>
        <v>2016-11-09</v>
      </c>
      <c r="K675" t="s">
        <v>27</v>
      </c>
      <c r="L675">
        <v>2.23558484</v>
      </c>
      <c r="M675">
        <v>674</v>
      </c>
      <c r="N675" s="1">
        <v>0.13489999999999999</v>
      </c>
      <c r="O675" s="1">
        <v>0.41349999999999998</v>
      </c>
      <c r="P675" s="1">
        <v>-9.01E-2</v>
      </c>
      <c r="Q675" s="1">
        <v>3.5000000000000001E-3</v>
      </c>
      <c r="R675" s="1">
        <v>0.04</v>
      </c>
      <c r="S675" s="1">
        <v>3.5000000000000003E-2</v>
      </c>
      <c r="T675" s="1">
        <v>-6.6400000000000001E-2</v>
      </c>
      <c r="U675" s="1">
        <v>0.21879999999999999</v>
      </c>
    </row>
    <row r="676" spans="1:21" x14ac:dyDescent="0.25">
      <c r="A676" t="s">
        <v>1500</v>
      </c>
      <c r="B676" t="s">
        <v>1501</v>
      </c>
      <c r="C676" t="s">
        <v>30</v>
      </c>
      <c r="D676" t="s">
        <v>31</v>
      </c>
      <c r="E676" t="s">
        <v>31</v>
      </c>
      <c r="F676" t="str">
        <f t="shared" si="13"/>
        <v>2018-05-20</v>
      </c>
      <c r="G676">
        <v>23.95</v>
      </c>
      <c r="H676" t="str">
        <f>"2017-07-02"</f>
        <v>2017-07-02</v>
      </c>
      <c r="I676" t="s">
        <v>26</v>
      </c>
      <c r="J676" t="str">
        <f>"2017-05-31"</f>
        <v>2017-05-31</v>
      </c>
      <c r="K676" t="s">
        <v>40</v>
      </c>
      <c r="L676">
        <v>2.2355660500000001</v>
      </c>
      <c r="M676">
        <v>675</v>
      </c>
      <c r="N676" s="1">
        <v>0.30449999999999999</v>
      </c>
      <c r="O676" s="1">
        <v>0.41339999999999999</v>
      </c>
      <c r="P676" s="1">
        <v>-1.52E-2</v>
      </c>
      <c r="Q676" s="1">
        <v>1.2699999999999999E-2</v>
      </c>
      <c r="R676" s="1">
        <v>1.0500000000000001E-2</v>
      </c>
      <c r="S676" s="1">
        <v>-1.6999999999999999E-3</v>
      </c>
      <c r="T676" s="1">
        <v>9.01E-2</v>
      </c>
      <c r="U676" s="1">
        <v>0.37640000000000001</v>
      </c>
    </row>
    <row r="677" spans="1:21" x14ac:dyDescent="0.25">
      <c r="A677" t="s">
        <v>1502</v>
      </c>
      <c r="B677" t="s">
        <v>1503</v>
      </c>
      <c r="C677" t="s">
        <v>114</v>
      </c>
      <c r="D677" t="s">
        <v>115</v>
      </c>
      <c r="E677" t="s">
        <v>116</v>
      </c>
      <c r="F677" t="str">
        <f t="shared" si="13"/>
        <v>2018-05-20</v>
      </c>
      <c r="G677">
        <v>45.5</v>
      </c>
      <c r="H677" t="str">
        <f>"2018-02-25"</f>
        <v>2018-02-25</v>
      </c>
      <c r="I677" t="s">
        <v>26</v>
      </c>
      <c r="J677" t="str">
        <f>"2017-12-03"</f>
        <v>2017-12-03</v>
      </c>
      <c r="K677" t="s">
        <v>40</v>
      </c>
      <c r="L677">
        <v>2.2355072499999999</v>
      </c>
      <c r="M677">
        <v>676</v>
      </c>
      <c r="N677" s="1">
        <v>0.18640000000000001</v>
      </c>
      <c r="O677" s="1">
        <v>0.41299999999999998</v>
      </c>
      <c r="P677" s="1">
        <v>0</v>
      </c>
      <c r="Q677" s="1">
        <v>4.4000000000000003E-3</v>
      </c>
      <c r="R677" s="1">
        <v>4.1200000000000001E-2</v>
      </c>
      <c r="S677" s="1">
        <v>5.3199999999999997E-2</v>
      </c>
      <c r="T677" s="1">
        <v>0.17419999999999999</v>
      </c>
      <c r="U677" s="1">
        <v>0.32079999999999997</v>
      </c>
    </row>
    <row r="678" spans="1:21" x14ac:dyDescent="0.25">
      <c r="A678" t="s">
        <v>1504</v>
      </c>
      <c r="B678" t="s">
        <v>1505</v>
      </c>
      <c r="C678" t="s">
        <v>30</v>
      </c>
      <c r="D678" t="s">
        <v>48</v>
      </c>
      <c r="E678" t="s">
        <v>49</v>
      </c>
      <c r="F678" t="str">
        <f t="shared" si="13"/>
        <v>2018-05-20</v>
      </c>
      <c r="G678">
        <v>8.4700000000000006</v>
      </c>
      <c r="H678" t="str">
        <f>"2018-05-02"</f>
        <v>2018-05-02</v>
      </c>
      <c r="I678" t="s">
        <v>26</v>
      </c>
      <c r="J678" t="str">
        <f>"2017-04-06"</f>
        <v>2017-04-06</v>
      </c>
      <c r="K678" t="s">
        <v>34</v>
      </c>
      <c r="L678">
        <v>2.2352777800000001</v>
      </c>
      <c r="M678">
        <v>677</v>
      </c>
      <c r="N678" s="1">
        <v>-1.1999999999999999E-3</v>
      </c>
      <c r="O678" s="1">
        <v>0.41170000000000001</v>
      </c>
      <c r="P678" s="1">
        <v>-3.2000000000000001E-2</v>
      </c>
      <c r="Q678" s="1">
        <v>5.8999999999999999E-3</v>
      </c>
      <c r="R678" s="1">
        <v>1.7999999999999999E-2</v>
      </c>
      <c r="S678" s="1">
        <v>0.13539999999999999</v>
      </c>
      <c r="T678" s="1">
        <v>0.14610000000000001</v>
      </c>
      <c r="U678" s="1">
        <v>0.1086</v>
      </c>
    </row>
    <row r="679" spans="1:21" x14ac:dyDescent="0.25">
      <c r="A679" t="s">
        <v>1506</v>
      </c>
      <c r="B679" t="s">
        <v>1507</v>
      </c>
      <c r="C679" t="s">
        <v>43</v>
      </c>
      <c r="D679" t="s">
        <v>193</v>
      </c>
      <c r="E679" t="s">
        <v>239</v>
      </c>
      <c r="F679" t="str">
        <f t="shared" si="13"/>
        <v>2018-05-20</v>
      </c>
      <c r="G679">
        <v>29.7</v>
      </c>
      <c r="H679" t="str">
        <f>"2017-09-10"</f>
        <v>2017-09-10</v>
      </c>
      <c r="I679" t="s">
        <v>26</v>
      </c>
      <c r="J679" t="str">
        <f>"2017-07-12"</f>
        <v>2017-07-12</v>
      </c>
      <c r="K679" t="s">
        <v>40</v>
      </c>
      <c r="L679">
        <v>2.2351543899999999</v>
      </c>
      <c r="M679">
        <v>678</v>
      </c>
      <c r="N679" s="1">
        <v>0.1762</v>
      </c>
      <c r="O679" s="1">
        <v>0.41089999999999999</v>
      </c>
      <c r="P679" s="1">
        <v>-3.73E-2</v>
      </c>
      <c r="Q679" s="1">
        <v>1.6999999999999999E-3</v>
      </c>
      <c r="R679" s="1">
        <v>2.41E-2</v>
      </c>
      <c r="S679" s="1">
        <v>4.3900000000000002E-2</v>
      </c>
      <c r="T679" s="1">
        <v>6.83E-2</v>
      </c>
      <c r="U679" s="1">
        <v>0.2324</v>
      </c>
    </row>
    <row r="680" spans="1:21" x14ac:dyDescent="0.25">
      <c r="A680" t="s">
        <v>1508</v>
      </c>
      <c r="B680" t="s">
        <v>1509</v>
      </c>
      <c r="C680" t="s">
        <v>23</v>
      </c>
      <c r="D680" t="s">
        <v>52</v>
      </c>
      <c r="E680" t="s">
        <v>53</v>
      </c>
      <c r="F680" t="str">
        <f t="shared" si="13"/>
        <v>2018-05-20</v>
      </c>
      <c r="G680">
        <v>12.55</v>
      </c>
      <c r="H680" t="str">
        <f>"2017-12-21"</f>
        <v>2017-12-21</v>
      </c>
      <c r="I680" t="s">
        <v>26</v>
      </c>
      <c r="J680" t="str">
        <f>"2017-11-20"</f>
        <v>2017-11-20</v>
      </c>
      <c r="K680" t="s">
        <v>27</v>
      </c>
      <c r="L680">
        <v>2.2350187300000002</v>
      </c>
      <c r="M680">
        <v>679</v>
      </c>
      <c r="N680" s="1">
        <v>0.1009</v>
      </c>
      <c r="O680" s="1">
        <v>0.41010000000000002</v>
      </c>
      <c r="P680" s="1">
        <v>-4.9200000000000001E-2</v>
      </c>
      <c r="Q680" s="1">
        <v>1.21E-2</v>
      </c>
      <c r="R680" s="1">
        <v>3.2899999999999999E-2</v>
      </c>
      <c r="S680" s="1">
        <v>-1.5699999999999999E-2</v>
      </c>
      <c r="T680" s="1">
        <v>-2.7099999999999999E-2</v>
      </c>
      <c r="U680" s="1">
        <v>0.23649999999999999</v>
      </c>
    </row>
    <row r="681" spans="1:21" x14ac:dyDescent="0.25">
      <c r="A681" t="s">
        <v>1510</v>
      </c>
      <c r="B681" t="s">
        <v>1511</v>
      </c>
      <c r="C681" t="s">
        <v>37</v>
      </c>
      <c r="D681" t="s">
        <v>66</v>
      </c>
      <c r="E681" t="s">
        <v>72</v>
      </c>
      <c r="F681" t="str">
        <f t="shared" si="13"/>
        <v>2018-05-20</v>
      </c>
      <c r="G681">
        <v>34.5</v>
      </c>
      <c r="H681" t="str">
        <f>"2018-05-17"</f>
        <v>2018-05-17</v>
      </c>
      <c r="I681" t="s">
        <v>26</v>
      </c>
      <c r="J681" t="str">
        <f>"2018-04-04"</f>
        <v>2018-04-04</v>
      </c>
      <c r="K681" t="s">
        <v>27</v>
      </c>
      <c r="L681">
        <v>2.23469388</v>
      </c>
      <c r="M681">
        <v>680</v>
      </c>
      <c r="N681" s="1">
        <v>0</v>
      </c>
      <c r="O681" s="1">
        <v>0.40820000000000001</v>
      </c>
      <c r="P681" s="1">
        <v>-3.6299999999999999E-2</v>
      </c>
      <c r="Q681" s="1">
        <v>-3.5000000000000001E-3</v>
      </c>
      <c r="R681" s="1">
        <v>5.4100000000000002E-2</v>
      </c>
      <c r="S681" s="1">
        <v>0.13819999999999999</v>
      </c>
      <c r="T681" s="1">
        <v>0.13</v>
      </c>
      <c r="U681" s="1">
        <v>-7.0599999999999996E-2</v>
      </c>
    </row>
    <row r="682" spans="1:21" x14ac:dyDescent="0.25">
      <c r="A682" t="s">
        <v>1512</v>
      </c>
      <c r="B682" t="s">
        <v>1513</v>
      </c>
      <c r="C682" t="s">
        <v>30</v>
      </c>
      <c r="D682" t="s">
        <v>31</v>
      </c>
      <c r="E682" t="s">
        <v>31</v>
      </c>
      <c r="F682" t="str">
        <f t="shared" si="13"/>
        <v>2018-05-20</v>
      </c>
      <c r="G682">
        <v>16.61</v>
      </c>
      <c r="H682" t="str">
        <f>"2016-05-15"</f>
        <v>2016-05-15</v>
      </c>
      <c r="I682" t="s">
        <v>26</v>
      </c>
      <c r="J682" t="str">
        <f>"2015-02-01"</f>
        <v>2015-02-01</v>
      </c>
      <c r="K682" t="s">
        <v>34</v>
      </c>
      <c r="L682">
        <v>2.23460452</v>
      </c>
      <c r="M682">
        <v>681</v>
      </c>
      <c r="N682" s="1">
        <v>0.26119999999999999</v>
      </c>
      <c r="O682" s="1">
        <v>0.40760000000000002</v>
      </c>
      <c r="P682" s="1">
        <v>-9.0899999999999995E-2</v>
      </c>
      <c r="Q682" s="1">
        <v>1.47E-2</v>
      </c>
      <c r="R682" s="1">
        <v>1.78E-2</v>
      </c>
      <c r="S682" s="1">
        <v>-7.7999999999999996E-3</v>
      </c>
      <c r="T682" s="1">
        <v>3.49E-2</v>
      </c>
      <c r="U682" s="1">
        <v>9.7000000000000003E-3</v>
      </c>
    </row>
    <row r="683" spans="1:21" x14ac:dyDescent="0.25">
      <c r="A683" t="s">
        <v>1514</v>
      </c>
      <c r="B683" t="s">
        <v>1515</v>
      </c>
      <c r="C683" t="s">
        <v>114</v>
      </c>
      <c r="D683" t="s">
        <v>803</v>
      </c>
      <c r="E683" t="s">
        <v>1516</v>
      </c>
      <c r="F683" t="str">
        <f t="shared" si="13"/>
        <v>2018-05-20</v>
      </c>
      <c r="G683">
        <v>14.83</v>
      </c>
      <c r="H683" t="str">
        <f>"2017-12-24"</f>
        <v>2017-12-24</v>
      </c>
      <c r="I683" t="s">
        <v>26</v>
      </c>
      <c r="J683" t="str">
        <f>"2017-11-09"</f>
        <v>2017-11-09</v>
      </c>
      <c r="K683" t="s">
        <v>27</v>
      </c>
      <c r="L683">
        <v>2.2338379100000001</v>
      </c>
      <c r="M683">
        <v>682</v>
      </c>
      <c r="N683" s="1">
        <v>0.19500000000000001</v>
      </c>
      <c r="O683" s="1">
        <v>0.40300000000000002</v>
      </c>
      <c r="P683" s="1">
        <v>0</v>
      </c>
      <c r="Q683" s="1">
        <v>2E-3</v>
      </c>
      <c r="R683" s="1">
        <v>0.06</v>
      </c>
      <c r="S683" s="1">
        <v>0.1845</v>
      </c>
      <c r="T683" s="1">
        <v>0.18360000000000001</v>
      </c>
      <c r="U683" s="1">
        <v>0.32169999999999999</v>
      </c>
    </row>
    <row r="684" spans="1:21" x14ac:dyDescent="0.25">
      <c r="A684" t="s">
        <v>1517</v>
      </c>
      <c r="B684" t="s">
        <v>1518</v>
      </c>
      <c r="C684" t="s">
        <v>100</v>
      </c>
      <c r="D684" t="s">
        <v>217</v>
      </c>
      <c r="E684" t="s">
        <v>762</v>
      </c>
      <c r="F684" t="str">
        <f t="shared" si="13"/>
        <v>2018-05-20</v>
      </c>
      <c r="G684">
        <v>23.08</v>
      </c>
      <c r="H684" t="str">
        <f>"2017-10-12"</f>
        <v>2017-10-12</v>
      </c>
      <c r="I684" t="s">
        <v>26</v>
      </c>
      <c r="J684" t="str">
        <f>"2017-09-18"</f>
        <v>2017-09-18</v>
      </c>
      <c r="K684" t="s">
        <v>27</v>
      </c>
      <c r="L684">
        <v>2.2335559599999999</v>
      </c>
      <c r="M684">
        <v>683</v>
      </c>
      <c r="N684" s="1">
        <v>0.1226</v>
      </c>
      <c r="O684" s="1">
        <v>0.40129999999999999</v>
      </c>
      <c r="P684" s="1">
        <v>-8.1199999999999994E-2</v>
      </c>
      <c r="Q684" s="1">
        <v>-9.4000000000000004E-3</v>
      </c>
      <c r="R684" s="1">
        <v>4.0099999999999997E-2</v>
      </c>
      <c r="S684" s="1">
        <v>-3.0000000000000001E-3</v>
      </c>
      <c r="T684" s="1">
        <v>-2.98E-2</v>
      </c>
      <c r="U684" s="1">
        <v>0.32950000000000002</v>
      </c>
    </row>
    <row r="685" spans="1:21" x14ac:dyDescent="0.25">
      <c r="A685" t="s">
        <v>1519</v>
      </c>
      <c r="B685" t="s">
        <v>1520</v>
      </c>
      <c r="C685" t="s">
        <v>114</v>
      </c>
      <c r="D685" t="s">
        <v>115</v>
      </c>
      <c r="E685" t="s">
        <v>116</v>
      </c>
      <c r="F685" t="str">
        <f t="shared" si="13"/>
        <v>2018-05-20</v>
      </c>
      <c r="G685">
        <v>140.85</v>
      </c>
      <c r="H685" t="str">
        <f>"2016-07-19"</f>
        <v>2016-07-19</v>
      </c>
      <c r="I685" t="s">
        <v>26</v>
      </c>
      <c r="J685" t="str">
        <f>"2016-06-21"</f>
        <v>2016-06-21</v>
      </c>
      <c r="K685" t="s">
        <v>27</v>
      </c>
      <c r="L685">
        <v>2.23348916</v>
      </c>
      <c r="M685">
        <v>684</v>
      </c>
      <c r="N685" s="1">
        <v>0.16639999999999999</v>
      </c>
      <c r="O685" s="1">
        <v>0.40089999999999998</v>
      </c>
      <c r="P685" s="1">
        <v>-8.4199999999999997E-2</v>
      </c>
      <c r="Q685" s="1">
        <v>1.1000000000000001E-3</v>
      </c>
      <c r="R685" s="1">
        <v>3.5900000000000001E-2</v>
      </c>
      <c r="S685" s="1">
        <v>1.4E-3</v>
      </c>
      <c r="T685" s="1">
        <v>2.7199999999999998E-2</v>
      </c>
      <c r="U685" s="1">
        <v>5.5100000000000003E-2</v>
      </c>
    </row>
    <row r="686" spans="1:21" x14ac:dyDescent="0.25">
      <c r="A686" t="s">
        <v>1521</v>
      </c>
      <c r="B686" t="s">
        <v>1522</v>
      </c>
      <c r="C686" t="s">
        <v>37</v>
      </c>
      <c r="D686" t="s">
        <v>66</v>
      </c>
      <c r="E686" t="s">
        <v>67</v>
      </c>
      <c r="F686" t="str">
        <f t="shared" si="13"/>
        <v>2018-05-20</v>
      </c>
      <c r="G686">
        <v>68.989999999999995</v>
      </c>
      <c r="H686" t="str">
        <f>"2018-01-11"</f>
        <v>2018-01-11</v>
      </c>
      <c r="I686" t="s">
        <v>26</v>
      </c>
      <c r="J686" t="str">
        <f>"2017-12-19"</f>
        <v>2017-12-19</v>
      </c>
      <c r="K686" t="s">
        <v>40</v>
      </c>
      <c r="L686">
        <v>2.2332319100000002</v>
      </c>
      <c r="M686">
        <v>685</v>
      </c>
      <c r="N686" s="1">
        <v>0.22850000000000001</v>
      </c>
      <c r="O686" s="1">
        <v>0.39939999999999998</v>
      </c>
      <c r="P686" s="1">
        <v>0</v>
      </c>
      <c r="Q686" s="1">
        <v>2E-3</v>
      </c>
      <c r="R686" s="1">
        <v>1.8499999999999999E-2</v>
      </c>
      <c r="S686" s="1">
        <v>0.1023</v>
      </c>
      <c r="T686" s="1">
        <v>0.12859999999999999</v>
      </c>
      <c r="U686" s="1">
        <v>0.38150000000000001</v>
      </c>
    </row>
    <row r="687" spans="1:21" x14ac:dyDescent="0.25">
      <c r="A687" t="s">
        <v>1523</v>
      </c>
      <c r="B687" t="s">
        <v>1524</v>
      </c>
      <c r="C687" t="s">
        <v>109</v>
      </c>
      <c r="D687" t="s">
        <v>110</v>
      </c>
      <c r="E687" t="s">
        <v>111</v>
      </c>
      <c r="F687" t="str">
        <f t="shared" si="13"/>
        <v>2018-05-20</v>
      </c>
      <c r="G687">
        <v>68.45</v>
      </c>
      <c r="H687" t="str">
        <f>"2017-05-08"</f>
        <v>2017-05-08</v>
      </c>
      <c r="I687" t="s">
        <v>26</v>
      </c>
      <c r="J687" t="str">
        <f>"2017-03-21"</f>
        <v>2017-03-21</v>
      </c>
      <c r="K687" t="s">
        <v>40</v>
      </c>
      <c r="L687">
        <v>2.23234895</v>
      </c>
      <c r="M687">
        <v>686</v>
      </c>
      <c r="N687" s="1">
        <v>0.1802</v>
      </c>
      <c r="O687" s="1">
        <v>0.39410000000000001</v>
      </c>
      <c r="P687" s="1">
        <v>-3.8600000000000002E-2</v>
      </c>
      <c r="Q687" s="1">
        <v>5.1000000000000004E-3</v>
      </c>
      <c r="R687" s="1">
        <v>6.9999999999999999E-4</v>
      </c>
      <c r="S687" s="1">
        <v>-2.4899999999999999E-2</v>
      </c>
      <c r="T687" s="1">
        <v>0.27410000000000001</v>
      </c>
      <c r="U687" s="1">
        <v>0.2389</v>
      </c>
    </row>
    <row r="688" spans="1:21" x14ac:dyDescent="0.25">
      <c r="A688" t="s">
        <v>1525</v>
      </c>
      <c r="B688" t="s">
        <v>1526</v>
      </c>
      <c r="C688" t="s">
        <v>109</v>
      </c>
      <c r="D688" t="s">
        <v>110</v>
      </c>
      <c r="E688" t="s">
        <v>111</v>
      </c>
      <c r="F688" t="str">
        <f t="shared" si="13"/>
        <v>2018-05-20</v>
      </c>
      <c r="G688">
        <v>48.32</v>
      </c>
      <c r="H688" t="str">
        <f>"2018-01-30"</f>
        <v>2018-01-30</v>
      </c>
      <c r="I688" t="s">
        <v>26</v>
      </c>
      <c r="J688" t="str">
        <f>"2018-01-09"</f>
        <v>2018-01-09</v>
      </c>
      <c r="K688" t="s">
        <v>27</v>
      </c>
      <c r="L688">
        <v>2.2322183799999999</v>
      </c>
      <c r="M688">
        <v>687</v>
      </c>
      <c r="N688" s="1">
        <v>0.1782</v>
      </c>
      <c r="O688" s="1">
        <v>0.39329999999999998</v>
      </c>
      <c r="P688" s="1">
        <v>-1.5699999999999999E-2</v>
      </c>
      <c r="Q688" s="1">
        <v>2.5000000000000001E-3</v>
      </c>
      <c r="R688" s="1">
        <v>2.3699999999999999E-2</v>
      </c>
      <c r="S688" s="1">
        <v>9.3200000000000005E-2</v>
      </c>
      <c r="T688" s="1">
        <v>0.16350000000000001</v>
      </c>
      <c r="U688" s="1">
        <v>0.29580000000000001</v>
      </c>
    </row>
    <row r="689" spans="1:21" x14ac:dyDescent="0.25">
      <c r="A689" t="s">
        <v>1527</v>
      </c>
      <c r="B689" t="s">
        <v>1528</v>
      </c>
      <c r="C689" t="s">
        <v>114</v>
      </c>
      <c r="D689" t="s">
        <v>809</v>
      </c>
      <c r="E689" t="s">
        <v>1529</v>
      </c>
      <c r="F689" t="str">
        <f t="shared" si="13"/>
        <v>2018-05-20</v>
      </c>
      <c r="G689">
        <v>41.01</v>
      </c>
      <c r="H689" t="str">
        <f>"2017-09-05"</f>
        <v>2017-09-05</v>
      </c>
      <c r="I689" t="s">
        <v>26</v>
      </c>
      <c r="J689" t="str">
        <f>"2017-05-16"</f>
        <v>2017-05-16</v>
      </c>
      <c r="K689" t="s">
        <v>40</v>
      </c>
      <c r="L689">
        <v>2.2316949199999998</v>
      </c>
      <c r="M689">
        <v>688</v>
      </c>
      <c r="N689" s="1">
        <v>0.1459</v>
      </c>
      <c r="O689" s="1">
        <v>0.39019999999999999</v>
      </c>
      <c r="P689" s="1">
        <v>-4.6300000000000001E-2</v>
      </c>
      <c r="Q689" s="1">
        <v>-2.2000000000000001E-3</v>
      </c>
      <c r="R689" s="1">
        <v>3.27E-2</v>
      </c>
      <c r="S689" s="1">
        <v>4.7199999999999999E-2</v>
      </c>
      <c r="T689" s="1">
        <v>2.7300000000000001E-2</v>
      </c>
      <c r="U689" s="1">
        <v>0.32419999999999999</v>
      </c>
    </row>
    <row r="690" spans="1:21" x14ac:dyDescent="0.25">
      <c r="A690" t="s">
        <v>1530</v>
      </c>
      <c r="B690" t="s">
        <v>1531</v>
      </c>
      <c r="C690" t="s">
        <v>109</v>
      </c>
      <c r="D690" t="s">
        <v>110</v>
      </c>
      <c r="E690" t="s">
        <v>111</v>
      </c>
      <c r="F690" t="str">
        <f t="shared" si="13"/>
        <v>2018-05-20</v>
      </c>
      <c r="G690">
        <v>5.42</v>
      </c>
      <c r="H690" t="str">
        <f>"2018-05-17"</f>
        <v>2018-05-17</v>
      </c>
      <c r="I690" t="s">
        <v>26</v>
      </c>
      <c r="J690" t="str">
        <f>"2018-04-16"</f>
        <v>2018-04-16</v>
      </c>
      <c r="K690" t="s">
        <v>27</v>
      </c>
      <c r="L690">
        <v>2.23162393</v>
      </c>
      <c r="M690">
        <v>689</v>
      </c>
      <c r="N690" s="1">
        <v>-9.1000000000000004E-3</v>
      </c>
      <c r="O690" s="1">
        <v>0.38969999999999999</v>
      </c>
      <c r="P690" s="1">
        <v>-9.1000000000000004E-3</v>
      </c>
      <c r="Q690" s="1">
        <v>1.3100000000000001E-2</v>
      </c>
      <c r="R690" s="1">
        <v>2.8500000000000001E-2</v>
      </c>
      <c r="S690" s="1">
        <v>7.3300000000000004E-2</v>
      </c>
      <c r="T690" s="1">
        <v>0.34160000000000001</v>
      </c>
      <c r="U690" s="1">
        <v>-8.9099999999999999E-2</v>
      </c>
    </row>
    <row r="691" spans="1:21" x14ac:dyDescent="0.25">
      <c r="A691" t="s">
        <v>1532</v>
      </c>
      <c r="B691" t="s">
        <v>1533</v>
      </c>
      <c r="C691" t="s">
        <v>43</v>
      </c>
      <c r="D691" t="s">
        <v>169</v>
      </c>
      <c r="E691" t="s">
        <v>641</v>
      </c>
      <c r="F691" t="str">
        <f t="shared" si="13"/>
        <v>2018-05-20</v>
      </c>
      <c r="G691">
        <v>12.83</v>
      </c>
      <c r="H691" t="str">
        <f>"2018-05-07"</f>
        <v>2018-05-07</v>
      </c>
      <c r="I691" t="s">
        <v>26</v>
      </c>
      <c r="J691" t="str">
        <f>"2018-04-25"</f>
        <v>2018-04-25</v>
      </c>
      <c r="K691" t="s">
        <v>27</v>
      </c>
      <c r="L691">
        <v>2.2311711700000001</v>
      </c>
      <c r="M691">
        <v>690</v>
      </c>
      <c r="N691" s="1">
        <v>8.5400000000000004E-2</v>
      </c>
      <c r="O691" s="1">
        <v>0.38700000000000001</v>
      </c>
      <c r="P691" s="1">
        <v>0</v>
      </c>
      <c r="Q691" s="1">
        <v>2.8000000000000001E-2</v>
      </c>
      <c r="R691" s="1">
        <v>8.3599999999999994E-2</v>
      </c>
      <c r="S691" s="1">
        <v>0.30780000000000002</v>
      </c>
      <c r="T691" s="1">
        <v>0.31190000000000001</v>
      </c>
      <c r="U691" s="1">
        <v>0.30780000000000002</v>
      </c>
    </row>
    <row r="692" spans="1:21" x14ac:dyDescent="0.25">
      <c r="A692" t="s">
        <v>1534</v>
      </c>
      <c r="B692" t="s">
        <v>1535</v>
      </c>
      <c r="C692" t="s">
        <v>30</v>
      </c>
      <c r="D692" t="s">
        <v>347</v>
      </c>
      <c r="E692" t="s">
        <v>523</v>
      </c>
      <c r="F692" t="str">
        <f t="shared" si="13"/>
        <v>2018-05-20</v>
      </c>
      <c r="G692">
        <v>21.1</v>
      </c>
      <c r="H692" t="str">
        <f>"2017-07-03"</f>
        <v>2017-07-03</v>
      </c>
      <c r="I692" t="s">
        <v>26</v>
      </c>
      <c r="J692" t="str">
        <f>"2017-05-24"</f>
        <v>2017-05-24</v>
      </c>
      <c r="K692" t="s">
        <v>40</v>
      </c>
      <c r="L692">
        <v>2.2310556300000002</v>
      </c>
      <c r="M692">
        <v>691</v>
      </c>
      <c r="N692" s="1">
        <v>0.29849999999999999</v>
      </c>
      <c r="O692" s="1">
        <v>0.38629999999999998</v>
      </c>
      <c r="P692" s="1">
        <v>-4.1999999999999997E-3</v>
      </c>
      <c r="Q692" s="1">
        <v>-4.1999999999999997E-3</v>
      </c>
      <c r="R692" s="1">
        <v>3.1800000000000002E-2</v>
      </c>
      <c r="S692" s="1">
        <v>8.09E-2</v>
      </c>
      <c r="T692" s="1">
        <v>8.0399999999999999E-2</v>
      </c>
      <c r="U692" s="1">
        <v>0.31790000000000002</v>
      </c>
    </row>
    <row r="693" spans="1:21" x14ac:dyDescent="0.25">
      <c r="A693" t="s">
        <v>1536</v>
      </c>
      <c r="B693" t="s">
        <v>1537</v>
      </c>
      <c r="C693" t="s">
        <v>43</v>
      </c>
      <c r="D693" t="s">
        <v>169</v>
      </c>
      <c r="E693" t="s">
        <v>641</v>
      </c>
      <c r="F693" t="str">
        <f t="shared" si="13"/>
        <v>2018-05-20</v>
      </c>
      <c r="G693">
        <v>32.700000000000003</v>
      </c>
      <c r="H693" t="str">
        <f>"2017-11-26"</f>
        <v>2017-11-26</v>
      </c>
      <c r="I693" t="s">
        <v>26</v>
      </c>
      <c r="J693" t="str">
        <f>"2017-10-03"</f>
        <v>2017-10-03</v>
      </c>
      <c r="K693" t="s">
        <v>27</v>
      </c>
      <c r="L693">
        <v>2.2309321999999998</v>
      </c>
      <c r="M693">
        <v>692</v>
      </c>
      <c r="N693" s="1">
        <v>0.30070000000000002</v>
      </c>
      <c r="O693" s="1">
        <v>0.3856</v>
      </c>
      <c r="P693" s="1">
        <v>-7.8600000000000003E-2</v>
      </c>
      <c r="Q693" s="1">
        <v>-2.7400000000000001E-2</v>
      </c>
      <c r="R693" s="1">
        <v>4.5999999999999999E-3</v>
      </c>
      <c r="S693" s="1">
        <v>-4.9099999999999998E-2</v>
      </c>
      <c r="T693" s="1">
        <v>0.20930000000000001</v>
      </c>
      <c r="U693" s="1">
        <v>0.26740000000000003</v>
      </c>
    </row>
    <row r="694" spans="1:21" x14ac:dyDescent="0.25">
      <c r="A694" t="s">
        <v>1538</v>
      </c>
      <c r="B694" t="s">
        <v>1539</v>
      </c>
      <c r="C694" t="s">
        <v>87</v>
      </c>
      <c r="D694" t="s">
        <v>88</v>
      </c>
      <c r="E694" t="s">
        <v>89</v>
      </c>
      <c r="F694" t="str">
        <f t="shared" si="13"/>
        <v>2018-05-20</v>
      </c>
      <c r="G694">
        <v>49.48</v>
      </c>
      <c r="H694" t="str">
        <f>"2017-10-10"</f>
        <v>2017-10-10</v>
      </c>
      <c r="I694" t="s">
        <v>26</v>
      </c>
      <c r="J694" t="str">
        <f>"2017-09-27"</f>
        <v>2017-09-27</v>
      </c>
      <c r="K694" t="s">
        <v>27</v>
      </c>
      <c r="L694">
        <v>2.2308051099999999</v>
      </c>
      <c r="M694">
        <v>693</v>
      </c>
      <c r="N694" s="1">
        <v>9.7799999999999998E-2</v>
      </c>
      <c r="O694" s="1">
        <v>0.38479999999999998</v>
      </c>
      <c r="P694" s="1">
        <v>-1.24E-2</v>
      </c>
      <c r="Q694" s="1">
        <v>3.1E-2</v>
      </c>
      <c r="R694" s="1">
        <v>9.4700000000000006E-2</v>
      </c>
      <c r="S694" s="1">
        <v>3.2099999999999997E-2</v>
      </c>
      <c r="T694" s="1">
        <v>0.20710000000000001</v>
      </c>
      <c r="U694" s="1">
        <v>0.2223</v>
      </c>
    </row>
    <row r="695" spans="1:21" x14ac:dyDescent="0.25">
      <c r="A695" t="s">
        <v>1540</v>
      </c>
      <c r="B695" t="s">
        <v>1541</v>
      </c>
      <c r="C695" t="s">
        <v>114</v>
      </c>
      <c r="D695" t="s">
        <v>809</v>
      </c>
      <c r="E695" t="s">
        <v>1542</v>
      </c>
      <c r="F695" t="str">
        <f t="shared" si="13"/>
        <v>2018-05-20</v>
      </c>
      <c r="G695">
        <v>140.05000000000001</v>
      </c>
      <c r="H695" t="str">
        <f>"2017-10-04"</f>
        <v>2017-10-04</v>
      </c>
      <c r="I695" t="s">
        <v>26</v>
      </c>
      <c r="J695" t="str">
        <f>"2017-06-04"</f>
        <v>2017-06-04</v>
      </c>
      <c r="K695" t="s">
        <v>27</v>
      </c>
      <c r="L695">
        <v>2.2306488799999999</v>
      </c>
      <c r="M695">
        <v>694</v>
      </c>
      <c r="N695" s="1">
        <v>0.2399</v>
      </c>
      <c r="O695" s="1">
        <v>0.38390000000000002</v>
      </c>
      <c r="P695" s="1">
        <v>0</v>
      </c>
      <c r="Q695" s="1">
        <v>2.0799999999999999E-2</v>
      </c>
      <c r="R695" s="1">
        <v>6.0999999999999999E-2</v>
      </c>
      <c r="S695" s="1">
        <v>5.4199999999999998E-2</v>
      </c>
      <c r="T695" s="1">
        <v>8.2699999999999996E-2</v>
      </c>
      <c r="U695" s="1">
        <v>0.35310000000000002</v>
      </c>
    </row>
    <row r="696" spans="1:21" x14ac:dyDescent="0.25">
      <c r="A696" t="s">
        <v>1543</v>
      </c>
      <c r="B696" t="s">
        <v>1544</v>
      </c>
      <c r="C696" t="s">
        <v>109</v>
      </c>
      <c r="D696" t="s">
        <v>110</v>
      </c>
      <c r="E696" t="s">
        <v>251</v>
      </c>
      <c r="F696" t="str">
        <f t="shared" si="13"/>
        <v>2018-05-20</v>
      </c>
      <c r="G696">
        <v>15</v>
      </c>
      <c r="H696" t="str">
        <f>"2018-04-26"</f>
        <v>2018-04-26</v>
      </c>
      <c r="I696" t="s">
        <v>26</v>
      </c>
      <c r="J696" t="str">
        <f>"2017-04-13"</f>
        <v>2017-04-13</v>
      </c>
      <c r="K696" t="s">
        <v>34</v>
      </c>
      <c r="L696">
        <v>2.23062731</v>
      </c>
      <c r="M696">
        <v>695</v>
      </c>
      <c r="N696" s="1">
        <v>0.12870000000000001</v>
      </c>
      <c r="O696" s="1">
        <v>0.38379999999999997</v>
      </c>
      <c r="P696" s="1">
        <v>-2.2800000000000001E-2</v>
      </c>
      <c r="Q696" s="1">
        <v>-2.2800000000000001E-2</v>
      </c>
      <c r="R696" s="1">
        <v>1.49E-2</v>
      </c>
      <c r="S696" s="1">
        <v>0.1103</v>
      </c>
      <c r="T696" s="1">
        <v>0.17829999999999999</v>
      </c>
      <c r="U696" s="1">
        <v>0.12870000000000001</v>
      </c>
    </row>
    <row r="697" spans="1:21" x14ac:dyDescent="0.25">
      <c r="A697" t="s">
        <v>1545</v>
      </c>
      <c r="B697" t="s">
        <v>1546</v>
      </c>
      <c r="C697" t="s">
        <v>37</v>
      </c>
      <c r="D697" t="s">
        <v>38</v>
      </c>
      <c r="E697" t="s">
        <v>39</v>
      </c>
      <c r="F697" t="str">
        <f t="shared" si="13"/>
        <v>2018-05-20</v>
      </c>
      <c r="G697">
        <v>52.29</v>
      </c>
      <c r="H697" t="str">
        <f>"2018-05-15"</f>
        <v>2018-05-15</v>
      </c>
      <c r="I697" t="s">
        <v>26</v>
      </c>
      <c r="J697" t="str">
        <f>"2018-02-25"</f>
        <v>2018-02-25</v>
      </c>
      <c r="K697" t="s">
        <v>40</v>
      </c>
      <c r="L697">
        <v>2.2303118400000002</v>
      </c>
      <c r="M697">
        <v>696</v>
      </c>
      <c r="N697" s="1">
        <v>2.9899999999999999E-2</v>
      </c>
      <c r="O697" s="1">
        <v>0.38190000000000002</v>
      </c>
      <c r="P697" s="1">
        <v>-1.9E-3</v>
      </c>
      <c r="Q697" s="1">
        <v>-1.2999999999999999E-3</v>
      </c>
      <c r="R697" s="1">
        <v>5.0000000000000001E-3</v>
      </c>
      <c r="S697" s="1">
        <v>7.3700000000000002E-2</v>
      </c>
      <c r="T697" s="1">
        <v>0.2286</v>
      </c>
      <c r="U697" s="1">
        <v>0.64429999999999998</v>
      </c>
    </row>
    <row r="698" spans="1:21" x14ac:dyDescent="0.25">
      <c r="A698" t="s">
        <v>1547</v>
      </c>
      <c r="B698" t="s">
        <v>1548</v>
      </c>
      <c r="C698" t="s">
        <v>23</v>
      </c>
      <c r="D698" t="s">
        <v>52</v>
      </c>
      <c r="E698" t="s">
        <v>56</v>
      </c>
      <c r="F698" t="str">
        <f t="shared" si="13"/>
        <v>2018-05-20</v>
      </c>
      <c r="G698">
        <v>90.25</v>
      </c>
      <c r="H698" t="str">
        <f>"2018-03-07"</f>
        <v>2018-03-07</v>
      </c>
      <c r="I698" t="s">
        <v>26</v>
      </c>
      <c r="J698" t="str">
        <f>"2018-01-30"</f>
        <v>2018-01-30</v>
      </c>
      <c r="K698" t="s">
        <v>27</v>
      </c>
      <c r="L698">
        <v>2.22964377</v>
      </c>
      <c r="M698">
        <v>697</v>
      </c>
      <c r="N698" s="1">
        <v>3.1399999999999997E-2</v>
      </c>
      <c r="O698" s="1">
        <v>0.37790000000000001</v>
      </c>
      <c r="P698" s="1">
        <v>-6.2799999999999995E-2</v>
      </c>
      <c r="Q698" s="1">
        <v>6.7000000000000002E-3</v>
      </c>
      <c r="R698" s="1">
        <v>5.9999999999999995E-4</v>
      </c>
      <c r="S698" s="1">
        <v>-3.78E-2</v>
      </c>
      <c r="T698" s="1">
        <v>0.13450000000000001</v>
      </c>
      <c r="U698" s="1">
        <v>3.9699999999999999E-2</v>
      </c>
    </row>
    <row r="699" spans="1:21" x14ac:dyDescent="0.25">
      <c r="A699" t="s">
        <v>1549</v>
      </c>
      <c r="B699" t="s">
        <v>1550</v>
      </c>
      <c r="C699" t="s">
        <v>109</v>
      </c>
      <c r="D699" t="s">
        <v>156</v>
      </c>
      <c r="E699" t="s">
        <v>157</v>
      </c>
      <c r="F699" t="str">
        <f t="shared" si="13"/>
        <v>2018-05-20</v>
      </c>
      <c r="G699">
        <v>11.5</v>
      </c>
      <c r="H699" t="str">
        <f>"2018-05-02"</f>
        <v>2018-05-02</v>
      </c>
      <c r="I699" t="s">
        <v>26</v>
      </c>
      <c r="J699" t="str">
        <f>"2018-04-24"</f>
        <v>2018-04-24</v>
      </c>
      <c r="K699" t="s">
        <v>40</v>
      </c>
      <c r="L699">
        <v>2.2295409199999998</v>
      </c>
      <c r="M699">
        <v>698</v>
      </c>
      <c r="N699" s="1">
        <v>0.26369999999999999</v>
      </c>
      <c r="O699" s="1">
        <v>0.37719999999999998</v>
      </c>
      <c r="P699" s="1">
        <v>-5.74E-2</v>
      </c>
      <c r="Q699" s="1">
        <v>-1.7100000000000001E-2</v>
      </c>
      <c r="R699" s="1">
        <v>-1.7100000000000001E-2</v>
      </c>
      <c r="S699" s="1">
        <v>0.31430000000000002</v>
      </c>
      <c r="T699" s="1">
        <v>0.36899999999999999</v>
      </c>
      <c r="U699" s="1">
        <v>1.3711</v>
      </c>
    </row>
    <row r="700" spans="1:21" x14ac:dyDescent="0.25">
      <c r="A700" t="s">
        <v>1551</v>
      </c>
      <c r="B700" t="s">
        <v>1552</v>
      </c>
      <c r="C700" t="s">
        <v>114</v>
      </c>
      <c r="D700" t="s">
        <v>115</v>
      </c>
      <c r="E700" t="s">
        <v>116</v>
      </c>
      <c r="F700" t="str">
        <f t="shared" si="13"/>
        <v>2018-05-20</v>
      </c>
      <c r="G700">
        <v>47.35</v>
      </c>
      <c r="H700" t="str">
        <f>"2017-10-03"</f>
        <v>2017-10-03</v>
      </c>
      <c r="I700" t="s">
        <v>26</v>
      </c>
      <c r="J700" t="str">
        <f>"2017-09-17"</f>
        <v>2017-09-17</v>
      </c>
      <c r="K700" t="s">
        <v>27</v>
      </c>
      <c r="L700">
        <v>2.2294089100000001</v>
      </c>
      <c r="M700">
        <v>699</v>
      </c>
      <c r="N700" s="1">
        <v>8.8499999999999995E-2</v>
      </c>
      <c r="O700" s="1">
        <v>0.3765</v>
      </c>
      <c r="P700" s="1">
        <v>-5.21E-2</v>
      </c>
      <c r="Q700" s="1">
        <v>-4.1999999999999997E-3</v>
      </c>
      <c r="R700" s="1">
        <v>8.5000000000000006E-3</v>
      </c>
      <c r="S700" s="1">
        <v>-5.0200000000000002E-2</v>
      </c>
      <c r="T700" s="1">
        <v>8.3500000000000005E-2</v>
      </c>
      <c r="U700" s="1">
        <v>0.18229999999999999</v>
      </c>
    </row>
    <row r="701" spans="1:21" x14ac:dyDescent="0.25">
      <c r="A701" t="s">
        <v>1553</v>
      </c>
      <c r="B701" t="s">
        <v>1554</v>
      </c>
      <c r="C701" t="s">
        <v>43</v>
      </c>
      <c r="D701" t="s">
        <v>169</v>
      </c>
      <c r="E701" t="s">
        <v>904</v>
      </c>
      <c r="F701" t="str">
        <f t="shared" si="13"/>
        <v>2018-05-20</v>
      </c>
      <c r="G701">
        <v>7.55</v>
      </c>
      <c r="H701" t="str">
        <f>"2018-03-11"</f>
        <v>2018-03-11</v>
      </c>
      <c r="I701" t="s">
        <v>26</v>
      </c>
      <c r="J701" t="str">
        <f>"2018-01-07"</f>
        <v>2018-01-07</v>
      </c>
      <c r="K701" t="s">
        <v>27</v>
      </c>
      <c r="L701">
        <v>2.22920461</v>
      </c>
      <c r="M701">
        <v>700</v>
      </c>
      <c r="N701" s="1">
        <v>0.1946</v>
      </c>
      <c r="O701" s="1">
        <v>0.37519999999999998</v>
      </c>
      <c r="P701" s="1">
        <v>-2.0799999999999999E-2</v>
      </c>
      <c r="Q701" s="1">
        <v>1.7500000000000002E-2</v>
      </c>
      <c r="R701" s="1">
        <v>-1.3100000000000001E-2</v>
      </c>
      <c r="S701" s="1">
        <v>7.8600000000000003E-2</v>
      </c>
      <c r="T701" s="1">
        <v>0.18709999999999999</v>
      </c>
      <c r="U701" s="1">
        <v>-5.5100000000000003E-2</v>
      </c>
    </row>
    <row r="702" spans="1:21" x14ac:dyDescent="0.25">
      <c r="A702" t="s">
        <v>1555</v>
      </c>
      <c r="B702" t="s">
        <v>1556</v>
      </c>
      <c r="C702" t="s">
        <v>30</v>
      </c>
      <c r="D702" t="s">
        <v>77</v>
      </c>
      <c r="E702" t="s">
        <v>1008</v>
      </c>
      <c r="F702" t="str">
        <f t="shared" si="13"/>
        <v>2018-05-20</v>
      </c>
      <c r="G702">
        <v>25.6</v>
      </c>
      <c r="H702" t="str">
        <f>"2017-12-07"</f>
        <v>2017-12-07</v>
      </c>
      <c r="I702" t="s">
        <v>26</v>
      </c>
      <c r="J702" t="str">
        <f>"2017-11-20"</f>
        <v>2017-11-20</v>
      </c>
      <c r="K702" t="s">
        <v>27</v>
      </c>
      <c r="L702">
        <v>2.2282860699999998</v>
      </c>
      <c r="M702">
        <v>701</v>
      </c>
      <c r="N702" s="1">
        <v>0.18410000000000001</v>
      </c>
      <c r="O702" s="1">
        <v>0.36969999999999997</v>
      </c>
      <c r="P702" s="1">
        <v>-1.12E-2</v>
      </c>
      <c r="Q702" s="1">
        <v>1.1900000000000001E-2</v>
      </c>
      <c r="R702" s="1">
        <v>8.3000000000000001E-3</v>
      </c>
      <c r="S702" s="1">
        <v>6.1400000000000003E-2</v>
      </c>
      <c r="T702" s="1">
        <v>0.14030000000000001</v>
      </c>
      <c r="U702" s="1">
        <v>0.28179999999999999</v>
      </c>
    </row>
    <row r="703" spans="1:21" x14ac:dyDescent="0.25">
      <c r="A703" t="s">
        <v>1557</v>
      </c>
      <c r="B703" t="s">
        <v>1558</v>
      </c>
      <c r="C703" t="s">
        <v>518</v>
      </c>
      <c r="D703" t="s">
        <v>573</v>
      </c>
      <c r="E703" t="s">
        <v>1559</v>
      </c>
      <c r="F703" t="str">
        <f t="shared" si="13"/>
        <v>2018-05-20</v>
      </c>
      <c r="G703">
        <v>52.62</v>
      </c>
      <c r="H703" t="str">
        <f>"2017-05-16"</f>
        <v>2017-05-16</v>
      </c>
      <c r="I703" t="s">
        <v>26</v>
      </c>
      <c r="J703" t="str">
        <f>"2017-04-23"</f>
        <v>2017-04-23</v>
      </c>
      <c r="K703" t="s">
        <v>27</v>
      </c>
      <c r="L703">
        <v>2.2282071299999999</v>
      </c>
      <c r="M703">
        <v>702</v>
      </c>
      <c r="N703" s="1">
        <v>0.27660000000000001</v>
      </c>
      <c r="O703" s="1">
        <v>0.36919999999999997</v>
      </c>
      <c r="P703" s="1">
        <v>-2.3E-3</v>
      </c>
      <c r="Q703" s="1">
        <v>1E-3</v>
      </c>
      <c r="R703" s="1">
        <v>4.1999999999999997E-3</v>
      </c>
      <c r="S703" s="1">
        <v>9.4000000000000004E-3</v>
      </c>
      <c r="T703" s="1">
        <v>7.5600000000000001E-2</v>
      </c>
      <c r="U703" s="1">
        <v>0.246</v>
      </c>
    </row>
    <row r="704" spans="1:21" x14ac:dyDescent="0.25">
      <c r="A704" t="s">
        <v>1560</v>
      </c>
      <c r="B704" t="s">
        <v>1561</v>
      </c>
      <c r="C704" t="s">
        <v>114</v>
      </c>
      <c r="D704" t="s">
        <v>254</v>
      </c>
      <c r="E704" t="s">
        <v>255</v>
      </c>
      <c r="F704" t="str">
        <f t="shared" si="13"/>
        <v>2018-05-20</v>
      </c>
      <c r="G704">
        <v>23.89</v>
      </c>
      <c r="H704" t="str">
        <f>"2017-12-20"</f>
        <v>2017-12-20</v>
      </c>
      <c r="I704" t="s">
        <v>26</v>
      </c>
      <c r="J704" t="str">
        <f>"2017-11-20"</f>
        <v>2017-11-20</v>
      </c>
      <c r="K704" t="s">
        <v>27</v>
      </c>
      <c r="L704">
        <v>2.2279145200000001</v>
      </c>
      <c r="M704">
        <v>703</v>
      </c>
      <c r="N704" s="1">
        <v>0.15240000000000001</v>
      </c>
      <c r="O704" s="1">
        <v>0.36749999999999999</v>
      </c>
      <c r="P704" s="1">
        <v>-2.29E-2</v>
      </c>
      <c r="Q704" s="1">
        <v>5.0000000000000001E-3</v>
      </c>
      <c r="R704" s="1">
        <v>3.9100000000000003E-2</v>
      </c>
      <c r="S704" s="1">
        <v>5.0000000000000001E-3</v>
      </c>
      <c r="T704" s="1">
        <v>9.74E-2</v>
      </c>
      <c r="U704" s="1">
        <v>0.27410000000000001</v>
      </c>
    </row>
    <row r="705" spans="1:21" x14ac:dyDescent="0.25">
      <c r="A705" t="s">
        <v>1562</v>
      </c>
      <c r="B705" t="s">
        <v>1563</v>
      </c>
      <c r="C705" t="s">
        <v>30</v>
      </c>
      <c r="D705" t="s">
        <v>31</v>
      </c>
      <c r="E705" t="s">
        <v>31</v>
      </c>
      <c r="F705" t="str">
        <f t="shared" si="13"/>
        <v>2018-05-20</v>
      </c>
      <c r="G705">
        <v>457.29</v>
      </c>
      <c r="H705" t="str">
        <f>"2017-10-11"</f>
        <v>2017-10-11</v>
      </c>
      <c r="I705" t="s">
        <v>26</v>
      </c>
      <c r="J705" t="str">
        <f>"2017-09-14"</f>
        <v>2017-09-14</v>
      </c>
      <c r="K705" t="s">
        <v>40</v>
      </c>
      <c r="L705">
        <v>2.2273513700000001</v>
      </c>
      <c r="M705">
        <v>704</v>
      </c>
      <c r="N705" s="1">
        <v>0.18909999999999999</v>
      </c>
      <c r="O705" s="1">
        <v>0.36409999999999998</v>
      </c>
      <c r="P705" s="1">
        <v>0</v>
      </c>
      <c r="Q705" s="1">
        <v>1.6299999999999999E-2</v>
      </c>
      <c r="R705" s="1">
        <v>3.95E-2</v>
      </c>
      <c r="S705" s="1">
        <v>8.1500000000000003E-2</v>
      </c>
      <c r="T705" s="1">
        <v>6.4399999999999999E-2</v>
      </c>
      <c r="U705" s="1">
        <v>0.36899999999999999</v>
      </c>
    </row>
    <row r="706" spans="1:21" x14ac:dyDescent="0.25">
      <c r="A706" t="s">
        <v>1564</v>
      </c>
      <c r="B706" t="s">
        <v>1565</v>
      </c>
      <c r="C706" t="s">
        <v>87</v>
      </c>
      <c r="D706" t="s">
        <v>664</v>
      </c>
      <c r="E706" t="s">
        <v>1116</v>
      </c>
      <c r="F706" t="str">
        <f t="shared" si="13"/>
        <v>2018-05-20</v>
      </c>
      <c r="G706">
        <v>21.55</v>
      </c>
      <c r="H706" t="str">
        <f>"2018-05-20"</f>
        <v>2018-05-20</v>
      </c>
      <c r="I706" t="s">
        <v>26</v>
      </c>
      <c r="J706" t="str">
        <f>"2018-04-30"</f>
        <v>2018-04-30</v>
      </c>
      <c r="K706" t="s">
        <v>27</v>
      </c>
      <c r="L706">
        <v>2.2273206800000001</v>
      </c>
      <c r="M706">
        <v>705</v>
      </c>
      <c r="N706" s="1">
        <v>3.3599999999999998E-2</v>
      </c>
      <c r="O706" s="1">
        <v>0.3639</v>
      </c>
      <c r="P706" s="1">
        <v>0</v>
      </c>
      <c r="Q706" s="1">
        <v>3.3599999999999998E-2</v>
      </c>
      <c r="R706" s="1">
        <v>0.1023</v>
      </c>
      <c r="S706" s="1">
        <v>0.21410000000000001</v>
      </c>
      <c r="T706" s="1">
        <v>0.108</v>
      </c>
      <c r="U706" s="1">
        <v>-4.5999999999999999E-3</v>
      </c>
    </row>
    <row r="707" spans="1:21" x14ac:dyDescent="0.25">
      <c r="A707" t="s">
        <v>1566</v>
      </c>
      <c r="B707" t="s">
        <v>1567</v>
      </c>
      <c r="C707" t="s">
        <v>43</v>
      </c>
      <c r="D707" t="s">
        <v>44</v>
      </c>
      <c r="E707" t="s">
        <v>246</v>
      </c>
      <c r="F707" t="str">
        <f t="shared" si="13"/>
        <v>2018-05-20</v>
      </c>
      <c r="G707">
        <v>4.25</v>
      </c>
      <c r="H707" t="str">
        <f>"2018-03-13"</f>
        <v>2018-03-13</v>
      </c>
      <c r="I707" t="s">
        <v>26</v>
      </c>
      <c r="J707" t="str">
        <f>"2018-03-01"</f>
        <v>2018-03-01</v>
      </c>
      <c r="K707" t="s">
        <v>27</v>
      </c>
      <c r="L707">
        <v>2.2270299100000002</v>
      </c>
      <c r="M707">
        <v>706</v>
      </c>
      <c r="N707" s="1">
        <v>5.9900000000000002E-2</v>
      </c>
      <c r="O707" s="1">
        <v>0.36220000000000002</v>
      </c>
      <c r="P707" s="1">
        <v>0</v>
      </c>
      <c r="Q707" s="1">
        <v>4.9399999999999999E-2</v>
      </c>
      <c r="R707" s="1">
        <v>9.2499999999999999E-2</v>
      </c>
      <c r="S707" s="1">
        <v>0.10680000000000001</v>
      </c>
      <c r="T707" s="1">
        <v>0.12139999999999999</v>
      </c>
      <c r="U707" s="1">
        <v>0.29970000000000002</v>
      </c>
    </row>
    <row r="708" spans="1:21" x14ac:dyDescent="0.25">
      <c r="A708" t="s">
        <v>1568</v>
      </c>
      <c r="B708" t="s">
        <v>1569</v>
      </c>
      <c r="C708" t="s">
        <v>43</v>
      </c>
      <c r="D708" t="s">
        <v>150</v>
      </c>
      <c r="E708" t="s">
        <v>151</v>
      </c>
      <c r="F708" t="str">
        <f t="shared" si="13"/>
        <v>2018-05-20</v>
      </c>
      <c r="G708">
        <v>33.82</v>
      </c>
      <c r="H708" t="str">
        <f>"2017-08-31"</f>
        <v>2017-08-31</v>
      </c>
      <c r="I708" t="s">
        <v>26</v>
      </c>
      <c r="J708" t="str">
        <f>"2017-07-30"</f>
        <v>2017-07-30</v>
      </c>
      <c r="K708" t="s">
        <v>27</v>
      </c>
      <c r="L708">
        <v>2.2270103400000001</v>
      </c>
      <c r="M708">
        <v>707</v>
      </c>
      <c r="N708" s="1">
        <v>0.111</v>
      </c>
      <c r="O708" s="1">
        <v>0.36209999999999998</v>
      </c>
      <c r="P708" s="1">
        <v>0</v>
      </c>
      <c r="Q708" s="1">
        <v>1.5599999999999999E-2</v>
      </c>
      <c r="R708" s="1">
        <v>2.64E-2</v>
      </c>
      <c r="S708" s="1">
        <v>0.10489999999999999</v>
      </c>
      <c r="T708" s="1">
        <v>0.2205</v>
      </c>
      <c r="U708" s="1">
        <v>0.38269999999999998</v>
      </c>
    </row>
    <row r="709" spans="1:21" x14ac:dyDescent="0.25">
      <c r="A709" t="s">
        <v>1570</v>
      </c>
      <c r="B709" t="s">
        <v>1571</v>
      </c>
      <c r="C709" t="s">
        <v>87</v>
      </c>
      <c r="D709" t="s">
        <v>88</v>
      </c>
      <c r="E709" t="s">
        <v>89</v>
      </c>
      <c r="F709" t="str">
        <f t="shared" si="13"/>
        <v>2018-05-20</v>
      </c>
      <c r="G709">
        <v>13.92</v>
      </c>
      <c r="H709" t="str">
        <f>"2017-12-28"</f>
        <v>2017-12-28</v>
      </c>
      <c r="I709" t="s">
        <v>26</v>
      </c>
      <c r="J709" t="str">
        <f>"2017-11-01"</f>
        <v>2017-11-01</v>
      </c>
      <c r="K709" t="s">
        <v>27</v>
      </c>
      <c r="L709">
        <v>2.2270058700000002</v>
      </c>
      <c r="M709">
        <v>708</v>
      </c>
      <c r="N709" s="1">
        <v>0.12620000000000001</v>
      </c>
      <c r="O709" s="1">
        <v>0.36199999999999999</v>
      </c>
      <c r="P709" s="1">
        <v>-2.3800000000000002E-2</v>
      </c>
      <c r="Q709" s="1">
        <v>2.58E-2</v>
      </c>
      <c r="R709" s="1">
        <v>5.1000000000000004E-3</v>
      </c>
      <c r="S709" s="1">
        <v>-2.3800000000000002E-2</v>
      </c>
      <c r="T709" s="1">
        <v>0.25180000000000002</v>
      </c>
      <c r="U709" s="1">
        <v>0.12620000000000001</v>
      </c>
    </row>
    <row r="710" spans="1:21" x14ac:dyDescent="0.25">
      <c r="A710" t="s">
        <v>1572</v>
      </c>
      <c r="B710" t="s">
        <v>1573</v>
      </c>
      <c r="C710" t="s">
        <v>43</v>
      </c>
      <c r="D710" t="s">
        <v>193</v>
      </c>
      <c r="E710" t="s">
        <v>194</v>
      </c>
      <c r="F710" t="str">
        <f t="shared" si="13"/>
        <v>2018-05-20</v>
      </c>
      <c r="G710">
        <v>26.17</v>
      </c>
      <c r="H710" t="str">
        <f>"2017-07-03"</f>
        <v>2017-07-03</v>
      </c>
      <c r="I710" t="s">
        <v>26</v>
      </c>
      <c r="J710" t="str">
        <f>"2017-05-17"</f>
        <v>2017-05-17</v>
      </c>
      <c r="K710" t="s">
        <v>40</v>
      </c>
      <c r="L710">
        <v>2.2268157400000002</v>
      </c>
      <c r="M710">
        <v>709</v>
      </c>
      <c r="N710" s="1">
        <v>0.1772</v>
      </c>
      <c r="O710" s="1">
        <v>0.3609</v>
      </c>
      <c r="P710" s="1">
        <v>-6.13E-2</v>
      </c>
      <c r="Q710" s="1">
        <v>2.1899999999999999E-2</v>
      </c>
      <c r="R710" s="1">
        <v>5.6899999999999999E-2</v>
      </c>
      <c r="S710" s="1">
        <v>9.0399999999999994E-2</v>
      </c>
      <c r="T710" s="1">
        <v>7.6499999999999999E-2</v>
      </c>
      <c r="U710" s="1">
        <v>0.34339999999999998</v>
      </c>
    </row>
    <row r="711" spans="1:21" x14ac:dyDescent="0.25">
      <c r="A711" t="s">
        <v>1574</v>
      </c>
      <c r="B711" t="s">
        <v>1575</v>
      </c>
      <c r="C711" t="s">
        <v>43</v>
      </c>
      <c r="D711" t="s">
        <v>119</v>
      </c>
      <c r="E711" t="s">
        <v>120</v>
      </c>
      <c r="F711" t="str">
        <f t="shared" si="13"/>
        <v>2018-05-20</v>
      </c>
      <c r="G711">
        <v>175</v>
      </c>
      <c r="H711" t="str">
        <f>"2017-10-08"</f>
        <v>2017-10-08</v>
      </c>
      <c r="I711" t="s">
        <v>26</v>
      </c>
      <c r="J711" t="str">
        <f>"2017-08-15"</f>
        <v>2017-08-15</v>
      </c>
      <c r="K711" t="s">
        <v>40</v>
      </c>
      <c r="L711">
        <v>2.22673093</v>
      </c>
      <c r="M711">
        <v>710</v>
      </c>
      <c r="N711" s="1">
        <v>0.1416</v>
      </c>
      <c r="O711" s="1">
        <v>0.3604</v>
      </c>
      <c r="P711" s="1">
        <v>0</v>
      </c>
      <c r="Q711" s="1">
        <v>4.4699999999999997E-2</v>
      </c>
      <c r="R711" s="1">
        <v>2.7E-2</v>
      </c>
      <c r="S711" s="1">
        <v>1.1599999999999999E-2</v>
      </c>
      <c r="T711" s="1">
        <v>0.27179999999999999</v>
      </c>
      <c r="U711" s="1">
        <v>0.16289999999999999</v>
      </c>
    </row>
    <row r="712" spans="1:21" x14ac:dyDescent="0.25">
      <c r="A712" t="s">
        <v>1576</v>
      </c>
      <c r="B712" t="s">
        <v>1577</v>
      </c>
      <c r="C712" t="s">
        <v>30</v>
      </c>
      <c r="D712" t="s">
        <v>299</v>
      </c>
      <c r="E712" t="s">
        <v>1087</v>
      </c>
      <c r="F712" t="str">
        <f t="shared" si="13"/>
        <v>2018-05-20</v>
      </c>
      <c r="G712">
        <v>13.77</v>
      </c>
      <c r="H712" t="str">
        <f>"2018-05-02"</f>
        <v>2018-05-02</v>
      </c>
      <c r="I712" t="s">
        <v>26</v>
      </c>
      <c r="J712" t="str">
        <f>"2018-02-07"</f>
        <v>2018-02-07</v>
      </c>
      <c r="K712" t="s">
        <v>40</v>
      </c>
      <c r="L712">
        <v>2.2265547899999998</v>
      </c>
      <c r="M712">
        <v>711</v>
      </c>
      <c r="N712" s="1">
        <v>-5.4300000000000001E-2</v>
      </c>
      <c r="O712" s="1">
        <v>0.35930000000000001</v>
      </c>
      <c r="P712" s="1">
        <v>-6.3299999999999995E-2</v>
      </c>
      <c r="Q712" s="1">
        <v>-2.2000000000000001E-3</v>
      </c>
      <c r="R712" s="1">
        <v>-2.75E-2</v>
      </c>
      <c r="S712" s="1">
        <v>-2.9600000000000001E-2</v>
      </c>
      <c r="T712" s="1">
        <v>0.31390000000000001</v>
      </c>
      <c r="U712" s="1">
        <v>0.14649999999999999</v>
      </c>
    </row>
    <row r="713" spans="1:21" x14ac:dyDescent="0.25">
      <c r="A713" t="s">
        <v>1578</v>
      </c>
      <c r="B713" t="s">
        <v>1579</v>
      </c>
      <c r="C713" t="s">
        <v>23</v>
      </c>
      <c r="D713" t="s">
        <v>52</v>
      </c>
      <c r="E713" t="s">
        <v>53</v>
      </c>
      <c r="F713" t="str">
        <f t="shared" si="13"/>
        <v>2018-05-20</v>
      </c>
      <c r="G713">
        <v>23.85</v>
      </c>
      <c r="H713" t="str">
        <f>"2018-05-15"</f>
        <v>2018-05-15</v>
      </c>
      <c r="I713" t="s">
        <v>26</v>
      </c>
      <c r="J713" t="str">
        <f>"2018-04-11"</f>
        <v>2018-04-11</v>
      </c>
      <c r="K713" t="s">
        <v>40</v>
      </c>
      <c r="L713">
        <v>2.2264957299999999</v>
      </c>
      <c r="M713">
        <v>712</v>
      </c>
      <c r="N713" s="1">
        <v>2.0999999999999999E-3</v>
      </c>
      <c r="O713" s="1">
        <v>0.35899999999999999</v>
      </c>
      <c r="P713" s="1">
        <v>-2.0999999999999999E-3</v>
      </c>
      <c r="Q713" s="1">
        <v>4.1999999999999997E-3</v>
      </c>
      <c r="R713" s="1">
        <v>4.1999999999999997E-3</v>
      </c>
      <c r="S713" s="1">
        <v>0.314</v>
      </c>
      <c r="T713" s="1">
        <v>0.10929999999999999</v>
      </c>
      <c r="U713" s="1">
        <v>0.30680000000000002</v>
      </c>
    </row>
    <row r="714" spans="1:21" x14ac:dyDescent="0.25">
      <c r="A714" t="s">
        <v>1580</v>
      </c>
      <c r="B714" t="s">
        <v>1581</v>
      </c>
      <c r="C714" t="s">
        <v>109</v>
      </c>
      <c r="D714" t="s">
        <v>156</v>
      </c>
      <c r="E714" t="s">
        <v>284</v>
      </c>
      <c r="F714" t="str">
        <f t="shared" si="13"/>
        <v>2018-05-20</v>
      </c>
      <c r="G714">
        <v>116.2</v>
      </c>
      <c r="H714" t="str">
        <f>"2017-11-20"</f>
        <v>2017-11-20</v>
      </c>
      <c r="I714" t="s">
        <v>26</v>
      </c>
      <c r="J714" t="str">
        <f>"2017-11-02"</f>
        <v>2017-11-02</v>
      </c>
      <c r="K714" t="s">
        <v>40</v>
      </c>
      <c r="L714">
        <v>2.2262989800000001</v>
      </c>
      <c r="M714">
        <v>713</v>
      </c>
      <c r="N714" s="1">
        <v>0.18310000000000001</v>
      </c>
      <c r="O714" s="1">
        <v>0.35780000000000001</v>
      </c>
      <c r="P714" s="1">
        <v>-5.3699999999999998E-2</v>
      </c>
      <c r="Q714" s="1">
        <v>5.4999999999999997E-3</v>
      </c>
      <c r="R714" s="1">
        <v>4.19E-2</v>
      </c>
      <c r="S714" s="1">
        <v>0.10349999999999999</v>
      </c>
      <c r="T714" s="1">
        <v>-1.21E-2</v>
      </c>
      <c r="U714" s="1">
        <v>7.3400000000000007E-2</v>
      </c>
    </row>
    <row r="715" spans="1:21" x14ac:dyDescent="0.25">
      <c r="A715" t="s">
        <v>1582</v>
      </c>
      <c r="B715" t="s">
        <v>1583</v>
      </c>
      <c r="C715" t="s">
        <v>109</v>
      </c>
      <c r="D715" t="s">
        <v>156</v>
      </c>
      <c r="E715" t="s">
        <v>284</v>
      </c>
      <c r="F715" t="str">
        <f t="shared" si="13"/>
        <v>2018-05-20</v>
      </c>
      <c r="G715">
        <v>11.3</v>
      </c>
      <c r="H715" t="str">
        <f>"2016-11-22"</f>
        <v>2016-11-22</v>
      </c>
      <c r="I715" t="s">
        <v>26</v>
      </c>
      <c r="J715" t="str">
        <f>"2016-09-06"</f>
        <v>2016-09-06</v>
      </c>
      <c r="K715" t="s">
        <v>27</v>
      </c>
      <c r="L715">
        <v>2.2260904400000001</v>
      </c>
      <c r="M715">
        <v>714</v>
      </c>
      <c r="N715" s="1">
        <v>0.13</v>
      </c>
      <c r="O715" s="1">
        <v>0.35649999999999998</v>
      </c>
      <c r="P715" s="1">
        <v>-9.9599999999999994E-2</v>
      </c>
      <c r="Q715" s="1">
        <v>8.8999999999999999E-3</v>
      </c>
      <c r="R715" s="1">
        <v>8.8999999999999999E-3</v>
      </c>
      <c r="S715" s="1">
        <v>5.6099999999999997E-2</v>
      </c>
      <c r="T715" s="1">
        <v>6.0999999999999999E-2</v>
      </c>
      <c r="U715" s="1">
        <v>0.2626</v>
      </c>
    </row>
    <row r="716" spans="1:21" x14ac:dyDescent="0.25">
      <c r="A716" t="s">
        <v>1584</v>
      </c>
      <c r="B716" t="s">
        <v>1585</v>
      </c>
      <c r="C716" t="s">
        <v>109</v>
      </c>
      <c r="D716" t="s">
        <v>156</v>
      </c>
      <c r="E716" t="s">
        <v>284</v>
      </c>
      <c r="F716" t="str">
        <f t="shared" si="13"/>
        <v>2018-05-20</v>
      </c>
      <c r="G716">
        <v>4</v>
      </c>
      <c r="H716" t="str">
        <f>"2018-05-20"</f>
        <v>2018-05-20</v>
      </c>
      <c r="I716" t="s">
        <v>26</v>
      </c>
      <c r="J716" t="str">
        <f>"2018-03-19"</f>
        <v>2018-03-19</v>
      </c>
      <c r="K716" t="s">
        <v>27</v>
      </c>
      <c r="L716">
        <v>2.2259886999999998</v>
      </c>
      <c r="M716">
        <v>715</v>
      </c>
      <c r="N716" s="1">
        <v>1.2699999999999999E-2</v>
      </c>
      <c r="O716" s="1">
        <v>0.35589999999999999</v>
      </c>
      <c r="P716" s="1">
        <v>0</v>
      </c>
      <c r="Q716" s="1">
        <v>1.2699999999999999E-2</v>
      </c>
      <c r="R716" s="1">
        <v>6.6699999999999995E-2</v>
      </c>
      <c r="S716" s="1">
        <v>0.11890000000000001</v>
      </c>
      <c r="T716" s="1">
        <v>0.33329999999999999</v>
      </c>
      <c r="U716" s="1">
        <v>-0.23810000000000001</v>
      </c>
    </row>
    <row r="717" spans="1:21" x14ac:dyDescent="0.25">
      <c r="A717" t="s">
        <v>1586</v>
      </c>
      <c r="B717" t="s">
        <v>1587</v>
      </c>
      <c r="C717" t="s">
        <v>43</v>
      </c>
      <c r="D717" t="s">
        <v>193</v>
      </c>
      <c r="E717" t="s">
        <v>239</v>
      </c>
      <c r="F717" t="str">
        <f t="shared" ref="F717:F780" si="14">"2018-05-20"</f>
        <v>2018-05-20</v>
      </c>
      <c r="G717">
        <v>35.58</v>
      </c>
      <c r="H717" t="str">
        <f>"2017-10-24"</f>
        <v>2017-10-24</v>
      </c>
      <c r="I717" t="s">
        <v>26</v>
      </c>
      <c r="J717" t="str">
        <f>"2017-09-19"</f>
        <v>2017-09-19</v>
      </c>
      <c r="K717" t="s">
        <v>27</v>
      </c>
      <c r="L717">
        <v>2.2256468800000002</v>
      </c>
      <c r="M717">
        <v>716</v>
      </c>
      <c r="N717" s="1">
        <v>-5.16E-2</v>
      </c>
      <c r="O717" s="1">
        <v>0.35389999999999999</v>
      </c>
      <c r="P717" s="1">
        <v>-9.4399999999999998E-2</v>
      </c>
      <c r="Q717" s="1">
        <v>1.0200000000000001E-2</v>
      </c>
      <c r="R717" s="1">
        <v>6.8500000000000005E-2</v>
      </c>
      <c r="S717" s="1">
        <v>7.0400000000000004E-2</v>
      </c>
      <c r="T717" s="1">
        <v>2.8E-3</v>
      </c>
      <c r="U717" s="1">
        <v>0.1784</v>
      </c>
    </row>
    <row r="718" spans="1:21" x14ac:dyDescent="0.25">
      <c r="A718" t="s">
        <v>1588</v>
      </c>
      <c r="B718" t="s">
        <v>1589</v>
      </c>
      <c r="C718" t="s">
        <v>23</v>
      </c>
      <c r="D718" t="s">
        <v>24</v>
      </c>
      <c r="E718" t="s">
        <v>494</v>
      </c>
      <c r="F718" t="str">
        <f t="shared" si="14"/>
        <v>2018-05-20</v>
      </c>
      <c r="G718">
        <v>15.6</v>
      </c>
      <c r="H718" t="str">
        <f>"2018-04-05"</f>
        <v>2018-04-05</v>
      </c>
      <c r="I718" t="s">
        <v>26</v>
      </c>
      <c r="J718" t="str">
        <f>"2018-03-12"</f>
        <v>2018-03-12</v>
      </c>
      <c r="K718" t="s">
        <v>27</v>
      </c>
      <c r="L718">
        <v>2.22510823</v>
      </c>
      <c r="M718">
        <v>717</v>
      </c>
      <c r="N718" s="1">
        <v>0.1143</v>
      </c>
      <c r="O718" s="1">
        <v>0.35060000000000002</v>
      </c>
      <c r="P718" s="1">
        <v>0</v>
      </c>
      <c r="Q718" s="1">
        <v>1.2999999999999999E-2</v>
      </c>
      <c r="R718" s="1">
        <v>2.3E-2</v>
      </c>
      <c r="S718" s="1">
        <v>5.4100000000000002E-2</v>
      </c>
      <c r="T718" s="1">
        <v>0.18179999999999999</v>
      </c>
      <c r="U718" s="1">
        <v>-0.1086</v>
      </c>
    </row>
    <row r="719" spans="1:21" x14ac:dyDescent="0.25">
      <c r="A719" t="s">
        <v>1590</v>
      </c>
      <c r="B719" t="s">
        <v>1591</v>
      </c>
      <c r="C719" t="s">
        <v>23</v>
      </c>
      <c r="D719" t="s">
        <v>24</v>
      </c>
      <c r="E719" t="s">
        <v>494</v>
      </c>
      <c r="F719" t="str">
        <f t="shared" si="14"/>
        <v>2018-05-20</v>
      </c>
      <c r="G719">
        <v>60.7</v>
      </c>
      <c r="H719" t="str">
        <f>"2017-10-30"</f>
        <v>2017-10-30</v>
      </c>
      <c r="I719" t="s">
        <v>26</v>
      </c>
      <c r="J719" t="str">
        <f>"2017-08-28"</f>
        <v>2017-08-28</v>
      </c>
      <c r="K719" t="s">
        <v>40</v>
      </c>
      <c r="L719">
        <v>2.22496479</v>
      </c>
      <c r="M719">
        <v>718</v>
      </c>
      <c r="N719" s="1">
        <v>0.2041</v>
      </c>
      <c r="O719" s="1">
        <v>0.3498</v>
      </c>
      <c r="P719" s="1">
        <v>-5.4399999999999997E-2</v>
      </c>
      <c r="Q719" s="1">
        <v>2.53E-2</v>
      </c>
      <c r="R719" s="1">
        <v>1.9800000000000002E-2</v>
      </c>
      <c r="S719" s="1">
        <v>-3.7100000000000001E-2</v>
      </c>
      <c r="T719" s="1">
        <v>5.62E-2</v>
      </c>
      <c r="U719" s="1">
        <v>0.25829999999999997</v>
      </c>
    </row>
    <row r="720" spans="1:21" x14ac:dyDescent="0.25">
      <c r="A720" t="s">
        <v>1592</v>
      </c>
      <c r="B720" t="s">
        <v>1593</v>
      </c>
      <c r="C720" t="s">
        <v>114</v>
      </c>
      <c r="D720" t="s">
        <v>225</v>
      </c>
      <c r="E720" t="s">
        <v>355</v>
      </c>
      <c r="F720" t="str">
        <f t="shared" si="14"/>
        <v>2018-05-20</v>
      </c>
      <c r="G720">
        <v>34.159999999999997</v>
      </c>
      <c r="H720" t="str">
        <f>"2016-11-21"</f>
        <v>2016-11-21</v>
      </c>
      <c r="I720" t="s">
        <v>26</v>
      </c>
      <c r="J720" t="str">
        <f>"2016-11-20"</f>
        <v>2016-11-20</v>
      </c>
      <c r="K720" t="s">
        <v>27</v>
      </c>
      <c r="L720">
        <v>2.2249440300000001</v>
      </c>
      <c r="M720">
        <v>719</v>
      </c>
      <c r="N720" s="1">
        <v>0.17030000000000001</v>
      </c>
      <c r="O720" s="1">
        <v>0.34970000000000001</v>
      </c>
      <c r="P720" s="1">
        <v>-8.6900000000000005E-2</v>
      </c>
      <c r="Q720" s="1">
        <v>1.49E-2</v>
      </c>
      <c r="R720" s="1">
        <v>0.10050000000000001</v>
      </c>
      <c r="S720" s="1">
        <v>-6.3299999999999995E-2</v>
      </c>
      <c r="T720" s="1">
        <v>7.8299999999999995E-2</v>
      </c>
      <c r="U720" s="1">
        <v>0.26419999999999999</v>
      </c>
    </row>
    <row r="721" spans="1:21" x14ac:dyDescent="0.25">
      <c r="A721" t="s">
        <v>1594</v>
      </c>
      <c r="B721" t="s">
        <v>1595</v>
      </c>
      <c r="C721" t="s">
        <v>87</v>
      </c>
      <c r="D721" t="s">
        <v>88</v>
      </c>
      <c r="E721" t="s">
        <v>89</v>
      </c>
      <c r="F721" t="str">
        <f t="shared" si="14"/>
        <v>2018-05-20</v>
      </c>
      <c r="G721">
        <v>35.78</v>
      </c>
      <c r="H721" t="str">
        <f>"2018-01-25"</f>
        <v>2018-01-25</v>
      </c>
      <c r="I721" t="s">
        <v>26</v>
      </c>
      <c r="J721" t="str">
        <f>"2017-12-03"</f>
        <v>2017-12-03</v>
      </c>
      <c r="K721" t="s">
        <v>27</v>
      </c>
      <c r="L721">
        <v>2.2248617400000001</v>
      </c>
      <c r="M721">
        <v>720</v>
      </c>
      <c r="N721" s="1">
        <v>0.11219999999999999</v>
      </c>
      <c r="O721" s="1">
        <v>0.34920000000000001</v>
      </c>
      <c r="P721" s="1">
        <v>-4.9200000000000001E-2</v>
      </c>
      <c r="Q721" s="1">
        <v>3.0200000000000001E-2</v>
      </c>
      <c r="R721" s="1">
        <v>4.4699999999999997E-2</v>
      </c>
      <c r="S721" s="1">
        <v>0.11119999999999999</v>
      </c>
      <c r="T721" s="1">
        <v>5.5800000000000002E-2</v>
      </c>
      <c r="U721" s="1">
        <v>-0.1623</v>
      </c>
    </row>
    <row r="722" spans="1:21" x14ac:dyDescent="0.25">
      <c r="A722" t="s">
        <v>1596</v>
      </c>
      <c r="B722" t="s">
        <v>1597</v>
      </c>
      <c r="C722" t="s">
        <v>30</v>
      </c>
      <c r="D722" t="s">
        <v>31</v>
      </c>
      <c r="E722" t="s">
        <v>31</v>
      </c>
      <c r="F722" t="str">
        <f t="shared" si="14"/>
        <v>2018-05-20</v>
      </c>
      <c r="G722">
        <v>41.34</v>
      </c>
      <c r="H722" t="str">
        <f>"2017-10-11"</f>
        <v>2017-10-11</v>
      </c>
      <c r="I722" t="s">
        <v>26</v>
      </c>
      <c r="J722" t="str">
        <f>"2017-05-30"</f>
        <v>2017-05-30</v>
      </c>
      <c r="K722" t="s">
        <v>40</v>
      </c>
      <c r="L722">
        <v>2.22479608</v>
      </c>
      <c r="M722">
        <v>721</v>
      </c>
      <c r="N722" s="1">
        <v>0.16320000000000001</v>
      </c>
      <c r="O722" s="1">
        <v>0.3488</v>
      </c>
      <c r="P722" s="1">
        <v>0</v>
      </c>
      <c r="Q722" s="1">
        <v>2.0199999999999999E-2</v>
      </c>
      <c r="R722" s="1">
        <v>2.1499999999999998E-2</v>
      </c>
      <c r="S722" s="1">
        <v>0.124</v>
      </c>
      <c r="T722" s="1">
        <v>6.9900000000000004E-2</v>
      </c>
      <c r="U722" s="1">
        <v>0.31819999999999998</v>
      </c>
    </row>
    <row r="723" spans="1:21" x14ac:dyDescent="0.25">
      <c r="A723" t="s">
        <v>1598</v>
      </c>
      <c r="B723" t="s">
        <v>1599</v>
      </c>
      <c r="C723" t="s">
        <v>37</v>
      </c>
      <c r="D723" t="s">
        <v>38</v>
      </c>
      <c r="E723" t="s">
        <v>39</v>
      </c>
      <c r="F723" t="str">
        <f t="shared" si="14"/>
        <v>2018-05-20</v>
      </c>
      <c r="G723">
        <v>28.24</v>
      </c>
      <c r="H723" t="str">
        <f>"2018-03-12"</f>
        <v>2018-03-12</v>
      </c>
      <c r="I723" t="s">
        <v>26</v>
      </c>
      <c r="J723" t="str">
        <f>"2018-02-08"</f>
        <v>2018-02-08</v>
      </c>
      <c r="K723" t="s">
        <v>40</v>
      </c>
      <c r="L723">
        <v>2.2246618900000001</v>
      </c>
      <c r="M723">
        <v>722</v>
      </c>
      <c r="N723" s="1">
        <v>8.9099999999999999E-2</v>
      </c>
      <c r="O723" s="1">
        <v>0.34799999999999998</v>
      </c>
      <c r="P723" s="1">
        <v>0</v>
      </c>
      <c r="Q723" s="1">
        <v>2.0999999999999999E-3</v>
      </c>
      <c r="R723" s="1">
        <v>5.7299999999999997E-2</v>
      </c>
      <c r="S723" s="1">
        <v>5.2900000000000003E-2</v>
      </c>
      <c r="T723" s="1">
        <v>0.18959999999999999</v>
      </c>
      <c r="U723" s="1">
        <v>0.67100000000000004</v>
      </c>
    </row>
    <row r="724" spans="1:21" x14ac:dyDescent="0.25">
      <c r="A724" t="s">
        <v>1600</v>
      </c>
      <c r="B724" t="s">
        <v>1601</v>
      </c>
      <c r="C724" t="s">
        <v>100</v>
      </c>
      <c r="D724" t="s">
        <v>199</v>
      </c>
      <c r="E724" t="s">
        <v>200</v>
      </c>
      <c r="F724" t="str">
        <f t="shared" si="14"/>
        <v>2018-05-20</v>
      </c>
      <c r="G724">
        <v>76.8</v>
      </c>
      <c r="H724" t="str">
        <f>"2017-11-16"</f>
        <v>2017-11-16</v>
      </c>
      <c r="I724" t="s">
        <v>26</v>
      </c>
      <c r="J724" t="str">
        <f>"2017-09-17"</f>
        <v>2017-09-17</v>
      </c>
      <c r="K724" t="s">
        <v>57</v>
      </c>
      <c r="L724">
        <v>2.2245613999999998</v>
      </c>
      <c r="M724">
        <v>723</v>
      </c>
      <c r="N724" s="1">
        <v>0.1106</v>
      </c>
      <c r="O724" s="1">
        <v>0.34739999999999999</v>
      </c>
      <c r="P724" s="1">
        <v>0</v>
      </c>
      <c r="Q724" s="1">
        <v>1.3899999999999999E-2</v>
      </c>
      <c r="R724" s="1">
        <v>4.8500000000000001E-2</v>
      </c>
      <c r="S724" s="1">
        <v>4.3499999999999997E-2</v>
      </c>
      <c r="T724" s="1">
        <v>0.1236</v>
      </c>
      <c r="U724" s="1">
        <v>0.22289999999999999</v>
      </c>
    </row>
    <row r="725" spans="1:21" x14ac:dyDescent="0.25">
      <c r="A725" t="s">
        <v>1602</v>
      </c>
      <c r="B725" t="s">
        <v>1603</v>
      </c>
      <c r="C725" t="s">
        <v>43</v>
      </c>
      <c r="D725" t="s">
        <v>150</v>
      </c>
      <c r="E725" t="s">
        <v>151</v>
      </c>
      <c r="F725" t="str">
        <f t="shared" si="14"/>
        <v>2018-05-20</v>
      </c>
      <c r="G725">
        <v>8.93</v>
      </c>
      <c r="H725" t="str">
        <f>"2018-05-16"</f>
        <v>2018-05-16</v>
      </c>
      <c r="I725" t="s">
        <v>26</v>
      </c>
      <c r="J725" t="str">
        <f>"2018-02-13"</f>
        <v>2018-02-13</v>
      </c>
      <c r="K725" t="s">
        <v>40</v>
      </c>
      <c r="L725">
        <v>2.2244846699999998</v>
      </c>
      <c r="M725">
        <v>724</v>
      </c>
      <c r="N725" s="1">
        <v>4.3200000000000002E-2</v>
      </c>
      <c r="O725" s="1">
        <v>0.34689999999999999</v>
      </c>
      <c r="P725" s="1">
        <v>0</v>
      </c>
      <c r="Q725" s="1">
        <v>1.1299999999999999E-2</v>
      </c>
      <c r="R725" s="1">
        <v>3.4799999999999998E-2</v>
      </c>
      <c r="S725" s="1">
        <v>4.9399999999999999E-2</v>
      </c>
      <c r="T725" s="1">
        <v>0.1628</v>
      </c>
      <c r="U725" s="1">
        <v>0.1205</v>
      </c>
    </row>
    <row r="726" spans="1:21" x14ac:dyDescent="0.25">
      <c r="A726" t="s">
        <v>1604</v>
      </c>
      <c r="B726" t="s">
        <v>1605</v>
      </c>
      <c r="C726" t="s">
        <v>37</v>
      </c>
      <c r="D726" t="s">
        <v>66</v>
      </c>
      <c r="E726" t="s">
        <v>94</v>
      </c>
      <c r="F726" t="str">
        <f t="shared" si="14"/>
        <v>2018-05-20</v>
      </c>
      <c r="G726">
        <v>73.95</v>
      </c>
      <c r="H726" t="str">
        <f>"2018-02-27"</f>
        <v>2018-02-27</v>
      </c>
      <c r="I726" t="s">
        <v>26</v>
      </c>
      <c r="J726" t="str">
        <f>"2018-02-12"</f>
        <v>2018-02-12</v>
      </c>
      <c r="K726" t="s">
        <v>40</v>
      </c>
      <c r="L726">
        <v>2.2239687400000001</v>
      </c>
      <c r="M726">
        <v>725</v>
      </c>
      <c r="N726" s="1">
        <v>0.24429999999999999</v>
      </c>
      <c r="O726" s="1">
        <v>0.34379999999999999</v>
      </c>
      <c r="P726" s="1">
        <v>-8.6999999999999994E-3</v>
      </c>
      <c r="Q726" s="1">
        <v>-8.6999999999999994E-3</v>
      </c>
      <c r="R726" s="1">
        <v>3.2399999999999998E-2</v>
      </c>
      <c r="S726" s="1">
        <v>9.8799999999999999E-2</v>
      </c>
      <c r="T726" s="1">
        <v>0.27760000000000001</v>
      </c>
      <c r="U726" s="1">
        <v>0.25530000000000003</v>
      </c>
    </row>
    <row r="727" spans="1:21" x14ac:dyDescent="0.25">
      <c r="A727" t="s">
        <v>1606</v>
      </c>
      <c r="B727" t="s">
        <v>1607</v>
      </c>
      <c r="C727" t="s">
        <v>30</v>
      </c>
      <c r="D727" t="s">
        <v>48</v>
      </c>
      <c r="E727" t="s">
        <v>49</v>
      </c>
      <c r="F727" t="str">
        <f t="shared" si="14"/>
        <v>2018-05-20</v>
      </c>
      <c r="G727">
        <v>45.1</v>
      </c>
      <c r="H727" t="str">
        <f>"2018-02-04"</f>
        <v>2018-02-04</v>
      </c>
      <c r="I727" t="s">
        <v>26</v>
      </c>
      <c r="J727" t="str">
        <f>"2018-01-23"</f>
        <v>2018-01-23</v>
      </c>
      <c r="K727" t="s">
        <v>27</v>
      </c>
      <c r="L727">
        <v>2.2237103199999999</v>
      </c>
      <c r="M727">
        <v>726</v>
      </c>
      <c r="N727" s="1">
        <v>0</v>
      </c>
      <c r="O727" s="1">
        <v>0.34229999999999999</v>
      </c>
      <c r="P727" s="1">
        <v>-3.7400000000000003E-2</v>
      </c>
      <c r="Q727" s="1">
        <v>3.3E-3</v>
      </c>
      <c r="R727" s="1">
        <v>2.8E-3</v>
      </c>
      <c r="S727" s="1">
        <v>5.5999999999999999E-3</v>
      </c>
      <c r="T727" s="1">
        <v>7.7999999999999996E-3</v>
      </c>
      <c r="U727" s="1">
        <v>4.7600000000000003E-2</v>
      </c>
    </row>
    <row r="728" spans="1:21" x14ac:dyDescent="0.25">
      <c r="A728" t="s">
        <v>1608</v>
      </c>
      <c r="B728" t="s">
        <v>1609</v>
      </c>
      <c r="C728" t="s">
        <v>43</v>
      </c>
      <c r="D728" t="s">
        <v>150</v>
      </c>
      <c r="E728" t="s">
        <v>408</v>
      </c>
      <c r="F728" t="str">
        <f t="shared" si="14"/>
        <v>2018-05-20</v>
      </c>
      <c r="G728">
        <v>75.790000000000006</v>
      </c>
      <c r="H728" t="str">
        <f>"2017-11-29"</f>
        <v>2017-11-29</v>
      </c>
      <c r="I728" t="s">
        <v>26</v>
      </c>
      <c r="J728" t="str">
        <f>"2017-09-07"</f>
        <v>2017-09-07</v>
      </c>
      <c r="K728" t="s">
        <v>40</v>
      </c>
      <c r="L728">
        <v>2.22341115</v>
      </c>
      <c r="M728">
        <v>727</v>
      </c>
      <c r="N728" s="1">
        <v>0.2334</v>
      </c>
      <c r="O728" s="1">
        <v>0.34050000000000002</v>
      </c>
      <c r="P728" s="1">
        <v>0</v>
      </c>
      <c r="Q728" s="1">
        <v>1.32E-2</v>
      </c>
      <c r="R728" s="1">
        <v>5.3999999999999999E-2</v>
      </c>
      <c r="S728" s="1">
        <v>0.1014</v>
      </c>
      <c r="T728" s="1">
        <v>5.0200000000000002E-2</v>
      </c>
      <c r="U728" s="1">
        <v>0.25580000000000003</v>
      </c>
    </row>
    <row r="729" spans="1:21" x14ac:dyDescent="0.25">
      <c r="A729" t="s">
        <v>1610</v>
      </c>
      <c r="B729" t="s">
        <v>1528</v>
      </c>
      <c r="C729" t="s">
        <v>114</v>
      </c>
      <c r="D729" t="s">
        <v>809</v>
      </c>
      <c r="E729" t="s">
        <v>1529</v>
      </c>
      <c r="F729" t="str">
        <f t="shared" si="14"/>
        <v>2018-05-20</v>
      </c>
      <c r="G729">
        <v>38.18</v>
      </c>
      <c r="H729" t="str">
        <f>"2017-08-30"</f>
        <v>2017-08-30</v>
      </c>
      <c r="I729" t="s">
        <v>26</v>
      </c>
      <c r="J729" t="str">
        <f>"2017-05-15"</f>
        <v>2017-05-15</v>
      </c>
      <c r="K729" t="s">
        <v>40</v>
      </c>
      <c r="L729">
        <v>2.22319654</v>
      </c>
      <c r="M729">
        <v>728</v>
      </c>
      <c r="N729" s="1">
        <v>0.13089999999999999</v>
      </c>
      <c r="O729" s="1">
        <v>0.3392</v>
      </c>
      <c r="P729" s="1">
        <v>-6.2600000000000003E-2</v>
      </c>
      <c r="Q729" s="1">
        <v>-9.5999999999999992E-3</v>
      </c>
      <c r="R729" s="1">
        <v>1.7899999999999999E-2</v>
      </c>
      <c r="S729" s="1">
        <v>2.52E-2</v>
      </c>
      <c r="T729" s="1">
        <v>1.1900000000000001E-2</v>
      </c>
      <c r="U729" s="1">
        <v>0.3049</v>
      </c>
    </row>
    <row r="730" spans="1:21" x14ac:dyDescent="0.25">
      <c r="A730" t="s">
        <v>1611</v>
      </c>
      <c r="B730" t="s">
        <v>1612</v>
      </c>
      <c r="C730" t="s">
        <v>37</v>
      </c>
      <c r="D730" t="s">
        <v>38</v>
      </c>
      <c r="E730" t="s">
        <v>39</v>
      </c>
      <c r="F730" t="str">
        <f t="shared" si="14"/>
        <v>2018-05-20</v>
      </c>
      <c r="G730">
        <v>64.790000000000006</v>
      </c>
      <c r="H730" t="str">
        <f>"2018-05-09"</f>
        <v>2018-05-09</v>
      </c>
      <c r="I730" t="s">
        <v>26</v>
      </c>
      <c r="J730" t="str">
        <f>"2018-04-17"</f>
        <v>2018-04-17</v>
      </c>
      <c r="K730" t="s">
        <v>27</v>
      </c>
      <c r="L730">
        <v>2.2224625699999998</v>
      </c>
      <c r="M730">
        <v>729</v>
      </c>
      <c r="N730" s="1">
        <v>9.0700000000000003E-2</v>
      </c>
      <c r="O730" s="1">
        <v>0.33479999999999999</v>
      </c>
      <c r="P730" s="1">
        <v>-1.7299999999999999E-2</v>
      </c>
      <c r="Q730" s="1">
        <v>-1.7299999999999999E-2</v>
      </c>
      <c r="R730" s="1">
        <v>6.7000000000000002E-3</v>
      </c>
      <c r="S730" s="1">
        <v>0.2056</v>
      </c>
      <c r="T730" s="1">
        <v>0.29759999999999998</v>
      </c>
      <c r="U730" s="1">
        <v>0.12909999999999999</v>
      </c>
    </row>
    <row r="731" spans="1:21" x14ac:dyDescent="0.25">
      <c r="A731" t="s">
        <v>1613</v>
      </c>
      <c r="B731" t="s">
        <v>1614</v>
      </c>
      <c r="C731" t="s">
        <v>37</v>
      </c>
      <c r="D731" t="s">
        <v>38</v>
      </c>
      <c r="E731" t="s">
        <v>97</v>
      </c>
      <c r="F731" t="str">
        <f t="shared" si="14"/>
        <v>2018-05-20</v>
      </c>
      <c r="G731">
        <v>17.73</v>
      </c>
      <c r="H731" t="str">
        <f>"2018-04-24"</f>
        <v>2018-04-24</v>
      </c>
      <c r="I731" t="s">
        <v>26</v>
      </c>
      <c r="J731" t="str">
        <f>"2017-12-19"</f>
        <v>2017-12-19</v>
      </c>
      <c r="K731" t="s">
        <v>57</v>
      </c>
      <c r="L731">
        <v>2.2223476299999998</v>
      </c>
      <c r="M731">
        <v>730</v>
      </c>
      <c r="N731" s="1">
        <v>4.6600000000000003E-2</v>
      </c>
      <c r="O731" s="1">
        <v>0.33410000000000001</v>
      </c>
      <c r="P731" s="1">
        <v>-6.2399999999999997E-2</v>
      </c>
      <c r="Q731" s="1">
        <v>-1.9400000000000001E-2</v>
      </c>
      <c r="R731" s="1">
        <v>-4.2700000000000002E-2</v>
      </c>
      <c r="S731" s="1">
        <v>1.37E-2</v>
      </c>
      <c r="T731" s="1">
        <v>0.1852</v>
      </c>
      <c r="U731" s="1">
        <v>-1.4999999999999999E-2</v>
      </c>
    </row>
    <row r="732" spans="1:21" x14ac:dyDescent="0.25">
      <c r="A732" t="s">
        <v>1615</v>
      </c>
      <c r="B732" t="s">
        <v>1616</v>
      </c>
      <c r="C732" t="s">
        <v>23</v>
      </c>
      <c r="D732" t="s">
        <v>173</v>
      </c>
      <c r="E732" t="s">
        <v>212</v>
      </c>
      <c r="F732" t="str">
        <f t="shared" si="14"/>
        <v>2018-05-20</v>
      </c>
      <c r="G732">
        <v>14</v>
      </c>
      <c r="H732" t="str">
        <f>"2018-03-11"</f>
        <v>2018-03-11</v>
      </c>
      <c r="I732" t="s">
        <v>26</v>
      </c>
      <c r="J732" t="str">
        <f>"2017-12-21"</f>
        <v>2017-12-21</v>
      </c>
      <c r="K732" t="s">
        <v>40</v>
      </c>
      <c r="L732">
        <v>2.2222222199999999</v>
      </c>
      <c r="M732">
        <v>731</v>
      </c>
      <c r="N732" s="1">
        <v>-4.4400000000000002E-2</v>
      </c>
      <c r="O732" s="1">
        <v>0.33329999999999999</v>
      </c>
      <c r="P732" s="1">
        <v>-5.4100000000000002E-2</v>
      </c>
      <c r="Q732" s="1">
        <v>0</v>
      </c>
      <c r="R732" s="1">
        <v>5.6599999999999998E-2</v>
      </c>
      <c r="S732" s="1">
        <v>4.87E-2</v>
      </c>
      <c r="T732" s="1">
        <v>5.2600000000000001E-2</v>
      </c>
      <c r="U732" s="1">
        <v>0.21210000000000001</v>
      </c>
    </row>
    <row r="733" spans="1:21" x14ac:dyDescent="0.25">
      <c r="A733" t="s">
        <v>1617</v>
      </c>
      <c r="B733" t="s">
        <v>1618</v>
      </c>
      <c r="C733" t="s">
        <v>30</v>
      </c>
      <c r="D733" t="s">
        <v>347</v>
      </c>
      <c r="E733" t="s">
        <v>523</v>
      </c>
      <c r="F733" t="str">
        <f t="shared" si="14"/>
        <v>2018-05-20</v>
      </c>
      <c r="G733">
        <v>67.88</v>
      </c>
      <c r="H733" t="str">
        <f>"2017-11-05"</f>
        <v>2017-11-05</v>
      </c>
      <c r="I733" t="s">
        <v>26</v>
      </c>
      <c r="J733" t="str">
        <f>"2017-09-24"</f>
        <v>2017-09-24</v>
      </c>
      <c r="K733" t="s">
        <v>27</v>
      </c>
      <c r="L733">
        <v>2.2217431099999998</v>
      </c>
      <c r="M733">
        <v>732</v>
      </c>
      <c r="N733" s="1">
        <v>0.1515</v>
      </c>
      <c r="O733" s="1">
        <v>0.33050000000000002</v>
      </c>
      <c r="P733" s="1">
        <v>0</v>
      </c>
      <c r="Q733" s="1">
        <v>1.15E-2</v>
      </c>
      <c r="R733" s="1">
        <v>3.2199999999999999E-2</v>
      </c>
      <c r="S733" s="1">
        <v>6.4600000000000005E-2</v>
      </c>
      <c r="T733" s="1">
        <v>9.4500000000000001E-2</v>
      </c>
      <c r="U733" s="1">
        <v>0.22700000000000001</v>
      </c>
    </row>
    <row r="734" spans="1:21" x14ac:dyDescent="0.25">
      <c r="A734" t="s">
        <v>1619</v>
      </c>
      <c r="B734" t="s">
        <v>1620</v>
      </c>
      <c r="C734" t="s">
        <v>43</v>
      </c>
      <c r="D734" t="s">
        <v>44</v>
      </c>
      <c r="E734" t="s">
        <v>1039</v>
      </c>
      <c r="F734" t="str">
        <f t="shared" si="14"/>
        <v>2018-05-20</v>
      </c>
      <c r="G734">
        <v>71.900000000000006</v>
      </c>
      <c r="H734" t="str">
        <f>"2017-09-27"</f>
        <v>2017-09-27</v>
      </c>
      <c r="I734" t="s">
        <v>26</v>
      </c>
      <c r="J734" t="str">
        <f>"2017-08-17"</f>
        <v>2017-08-17</v>
      </c>
      <c r="K734" t="s">
        <v>40</v>
      </c>
      <c r="L734">
        <v>2.2212988600000001</v>
      </c>
      <c r="M734">
        <v>733</v>
      </c>
      <c r="N734" s="1">
        <v>0.11210000000000001</v>
      </c>
      <c r="O734" s="1">
        <v>0.32779999999999998</v>
      </c>
      <c r="P734" s="1">
        <v>-4.2599999999999999E-2</v>
      </c>
      <c r="Q734" s="1">
        <v>7.7000000000000002E-3</v>
      </c>
      <c r="R734" s="1">
        <v>4.1300000000000003E-2</v>
      </c>
      <c r="S734" s="1">
        <v>2.0999999999999999E-3</v>
      </c>
      <c r="T734" s="1">
        <v>-1.9099999999999999E-2</v>
      </c>
      <c r="U734" s="1">
        <v>0.1729</v>
      </c>
    </row>
    <row r="735" spans="1:21" x14ac:dyDescent="0.25">
      <c r="A735" t="s">
        <v>1621</v>
      </c>
      <c r="B735" t="s">
        <v>1622</v>
      </c>
      <c r="C735" t="s">
        <v>30</v>
      </c>
      <c r="D735" t="s">
        <v>31</v>
      </c>
      <c r="E735" t="s">
        <v>31</v>
      </c>
      <c r="F735" t="str">
        <f t="shared" si="14"/>
        <v>2018-05-20</v>
      </c>
      <c r="G735">
        <v>42.2</v>
      </c>
      <c r="H735" t="str">
        <f>"2017-11-19"</f>
        <v>2017-11-19</v>
      </c>
      <c r="I735" t="s">
        <v>26</v>
      </c>
      <c r="J735" t="str">
        <f>"2017-08-22"</f>
        <v>2017-08-22</v>
      </c>
      <c r="K735" t="s">
        <v>40</v>
      </c>
      <c r="L735">
        <v>2.2208267899999998</v>
      </c>
      <c r="M735">
        <v>734</v>
      </c>
      <c r="N735" s="1">
        <v>7.9299999999999995E-2</v>
      </c>
      <c r="O735" s="1">
        <v>0.32500000000000001</v>
      </c>
      <c r="P735" s="1">
        <v>-5.8999999999999999E-3</v>
      </c>
      <c r="Q735" s="1">
        <v>-1.1999999999999999E-3</v>
      </c>
      <c r="R735" s="1">
        <v>9.5999999999999992E-3</v>
      </c>
      <c r="S735" s="1">
        <v>2.4299999999999999E-2</v>
      </c>
      <c r="T735" s="1">
        <v>7.5200000000000003E-2</v>
      </c>
      <c r="U735" s="1">
        <v>0.11940000000000001</v>
      </c>
    </row>
    <row r="736" spans="1:21" x14ac:dyDescent="0.25">
      <c r="A736" t="s">
        <v>1623</v>
      </c>
      <c r="B736" t="s">
        <v>1624</v>
      </c>
      <c r="C736" t="s">
        <v>30</v>
      </c>
      <c r="D736" t="s">
        <v>347</v>
      </c>
      <c r="E736" t="s">
        <v>348</v>
      </c>
      <c r="F736" t="str">
        <f t="shared" si="14"/>
        <v>2018-05-20</v>
      </c>
      <c r="G736">
        <v>54.3</v>
      </c>
      <c r="H736" t="str">
        <f>"2018-03-18"</f>
        <v>2018-03-18</v>
      </c>
      <c r="I736" t="s">
        <v>26</v>
      </c>
      <c r="J736" t="str">
        <f>"2018-02-12"</f>
        <v>2018-02-12</v>
      </c>
      <c r="K736" t="s">
        <v>40</v>
      </c>
      <c r="L736">
        <v>2.2207317099999999</v>
      </c>
      <c r="M736">
        <v>735</v>
      </c>
      <c r="N736" s="1">
        <v>0.11360000000000001</v>
      </c>
      <c r="O736" s="1">
        <v>0.32440000000000002</v>
      </c>
      <c r="P736" s="1">
        <v>0</v>
      </c>
      <c r="Q736" s="1">
        <v>2.3E-2</v>
      </c>
      <c r="R736" s="1">
        <v>7.1599999999999997E-2</v>
      </c>
      <c r="S736" s="1">
        <v>8.7300000000000003E-2</v>
      </c>
      <c r="T736" s="1">
        <v>0.19789999999999999</v>
      </c>
      <c r="U736" s="1">
        <v>0.26540000000000002</v>
      </c>
    </row>
    <row r="737" spans="1:21" x14ac:dyDescent="0.25">
      <c r="A737" t="s">
        <v>1625</v>
      </c>
      <c r="B737" t="s">
        <v>1626</v>
      </c>
      <c r="C737" t="s">
        <v>23</v>
      </c>
      <c r="D737" t="s">
        <v>24</v>
      </c>
      <c r="E737" t="s">
        <v>494</v>
      </c>
      <c r="F737" t="str">
        <f t="shared" si="14"/>
        <v>2018-05-20</v>
      </c>
      <c r="G737">
        <v>12.25</v>
      </c>
      <c r="H737" t="str">
        <f>"2018-03-12"</f>
        <v>2018-03-12</v>
      </c>
      <c r="I737" t="s">
        <v>26</v>
      </c>
      <c r="J737" t="str">
        <f>"2018-03-11"</f>
        <v>2018-03-11</v>
      </c>
      <c r="K737" t="s">
        <v>27</v>
      </c>
      <c r="L737">
        <v>2.2207207200000001</v>
      </c>
      <c r="M737">
        <v>736</v>
      </c>
      <c r="N737" s="1">
        <v>0.1086</v>
      </c>
      <c r="O737" s="1">
        <v>0.32429999999999998</v>
      </c>
      <c r="P737" s="1">
        <v>-3.9199999999999999E-2</v>
      </c>
      <c r="Q737" s="1">
        <v>2.5100000000000001E-2</v>
      </c>
      <c r="R737" s="1">
        <v>3.3799999999999997E-2</v>
      </c>
      <c r="S737" s="1">
        <v>1.24E-2</v>
      </c>
      <c r="T737" s="1">
        <v>0.16109999999999999</v>
      </c>
      <c r="U737" s="1">
        <v>0.1187</v>
      </c>
    </row>
    <row r="738" spans="1:21" x14ac:dyDescent="0.25">
      <c r="A738" t="s">
        <v>1627</v>
      </c>
      <c r="B738" t="s">
        <v>1628</v>
      </c>
      <c r="C738" t="s">
        <v>43</v>
      </c>
      <c r="D738" t="s">
        <v>44</v>
      </c>
      <c r="E738" t="s">
        <v>246</v>
      </c>
      <c r="F738" t="str">
        <f t="shared" si="14"/>
        <v>2018-05-20</v>
      </c>
      <c r="G738">
        <v>15.95</v>
      </c>
      <c r="H738" t="str">
        <f>"2017-11-05"</f>
        <v>2017-11-05</v>
      </c>
      <c r="I738" t="s">
        <v>26</v>
      </c>
      <c r="J738" t="str">
        <f>"2017-05-23"</f>
        <v>2017-05-23</v>
      </c>
      <c r="K738" t="s">
        <v>57</v>
      </c>
      <c r="L738">
        <v>2.2206085799999999</v>
      </c>
      <c r="M738">
        <v>737</v>
      </c>
      <c r="N738" s="1">
        <v>9.4999999999999998E-3</v>
      </c>
      <c r="O738" s="1">
        <v>0.32369999999999999</v>
      </c>
      <c r="P738" s="1">
        <v>-5.3400000000000003E-2</v>
      </c>
      <c r="Q738" s="1">
        <v>1.5900000000000001E-2</v>
      </c>
      <c r="R738" s="1">
        <v>2.24E-2</v>
      </c>
      <c r="S738" s="1">
        <v>1.9199999999999998E-2</v>
      </c>
      <c r="T738" s="1">
        <v>-6.1999999999999998E-3</v>
      </c>
      <c r="U738" s="1">
        <v>0.23169999999999999</v>
      </c>
    </row>
    <row r="739" spans="1:21" x14ac:dyDescent="0.25">
      <c r="A739" t="s">
        <v>1629</v>
      </c>
      <c r="B739" t="s">
        <v>1630</v>
      </c>
      <c r="C739" t="s">
        <v>43</v>
      </c>
      <c r="D739" t="s">
        <v>193</v>
      </c>
      <c r="E739" t="s">
        <v>239</v>
      </c>
      <c r="F739" t="str">
        <f t="shared" si="14"/>
        <v>2018-05-20</v>
      </c>
      <c r="G739">
        <v>78.55</v>
      </c>
      <c r="H739" t="str">
        <f>"2017-06-08"</f>
        <v>2017-06-08</v>
      </c>
      <c r="I739" t="s">
        <v>26</v>
      </c>
      <c r="J739" t="str">
        <f>"2017-03-09"</f>
        <v>2017-03-09</v>
      </c>
      <c r="K739" t="s">
        <v>40</v>
      </c>
      <c r="L739">
        <v>2.2205841099999999</v>
      </c>
      <c r="M739">
        <v>738</v>
      </c>
      <c r="N739" s="1">
        <v>0.21779999999999999</v>
      </c>
      <c r="O739" s="1">
        <v>0.32350000000000001</v>
      </c>
      <c r="P739" s="1">
        <v>-4.3799999999999999E-2</v>
      </c>
      <c r="Q739" s="1">
        <v>1.4200000000000001E-2</v>
      </c>
      <c r="R739" s="1">
        <v>1.6199999999999999E-2</v>
      </c>
      <c r="S739" s="1">
        <v>-3.8E-3</v>
      </c>
      <c r="T739" s="1">
        <v>-1.2999999999999999E-3</v>
      </c>
      <c r="U739" s="1">
        <v>0.25280000000000002</v>
      </c>
    </row>
    <row r="740" spans="1:21" x14ac:dyDescent="0.25">
      <c r="A740" t="s">
        <v>1631</v>
      </c>
      <c r="B740" t="s">
        <v>1632</v>
      </c>
      <c r="C740" t="s">
        <v>43</v>
      </c>
      <c r="D740" t="s">
        <v>119</v>
      </c>
      <c r="E740" t="s">
        <v>120</v>
      </c>
      <c r="F740" t="str">
        <f t="shared" si="14"/>
        <v>2018-05-20</v>
      </c>
      <c r="G740">
        <v>102.69</v>
      </c>
      <c r="H740" t="str">
        <f>"2018-05-08"</f>
        <v>2018-05-08</v>
      </c>
      <c r="I740" t="s">
        <v>26</v>
      </c>
      <c r="J740" t="str">
        <f>"2018-03-26"</f>
        <v>2018-03-26</v>
      </c>
      <c r="K740" t="s">
        <v>40</v>
      </c>
      <c r="L740">
        <v>2.2199871500000001</v>
      </c>
      <c r="M740">
        <v>739</v>
      </c>
      <c r="N740" s="1">
        <v>6.7500000000000004E-2</v>
      </c>
      <c r="O740" s="1">
        <v>0.31990000000000002</v>
      </c>
      <c r="P740" s="1">
        <v>0</v>
      </c>
      <c r="Q740" s="1">
        <v>8.0000000000000004E-4</v>
      </c>
      <c r="R740" s="1">
        <v>8.6999999999999994E-3</v>
      </c>
      <c r="S740" s="1">
        <v>0.20369999999999999</v>
      </c>
      <c r="T740" s="1">
        <v>0.44840000000000002</v>
      </c>
      <c r="U740" s="1">
        <v>0.28799999999999998</v>
      </c>
    </row>
    <row r="741" spans="1:21" x14ac:dyDescent="0.25">
      <c r="A741" t="s">
        <v>1633</v>
      </c>
      <c r="B741" t="s">
        <v>1634</v>
      </c>
      <c r="C741" t="s">
        <v>43</v>
      </c>
      <c r="D741" t="s">
        <v>119</v>
      </c>
      <c r="E741" t="s">
        <v>120</v>
      </c>
      <c r="F741" t="str">
        <f t="shared" si="14"/>
        <v>2018-05-20</v>
      </c>
      <c r="G741">
        <v>12</v>
      </c>
      <c r="H741" t="str">
        <f>"2018-03-04"</f>
        <v>2018-03-04</v>
      </c>
      <c r="I741" t="s">
        <v>26</v>
      </c>
      <c r="J741" t="str">
        <f>"2018-02-01"</f>
        <v>2018-02-01</v>
      </c>
      <c r="K741" t="s">
        <v>27</v>
      </c>
      <c r="L741">
        <v>2.2197802200000001</v>
      </c>
      <c r="M741">
        <v>740</v>
      </c>
      <c r="N741" s="1">
        <v>0.17649999999999999</v>
      </c>
      <c r="O741" s="1">
        <v>0.31869999999999998</v>
      </c>
      <c r="P741" s="1">
        <v>0</v>
      </c>
      <c r="Q741" s="1">
        <v>1.2699999999999999E-2</v>
      </c>
      <c r="R741" s="1">
        <v>1.2699999999999999E-2</v>
      </c>
      <c r="S741" s="1">
        <v>8.5999999999999993E-2</v>
      </c>
      <c r="T741" s="1">
        <v>0.19400000000000001</v>
      </c>
      <c r="U741" s="1">
        <v>0.36359999999999998</v>
      </c>
    </row>
    <row r="742" spans="1:21" x14ac:dyDescent="0.25">
      <c r="A742" t="s">
        <v>1635</v>
      </c>
      <c r="B742" t="s">
        <v>1636</v>
      </c>
      <c r="C742" t="s">
        <v>30</v>
      </c>
      <c r="D742" t="s">
        <v>31</v>
      </c>
      <c r="E742" t="s">
        <v>31</v>
      </c>
      <c r="F742" t="str">
        <f t="shared" si="14"/>
        <v>2018-05-20</v>
      </c>
      <c r="G742">
        <v>17.03</v>
      </c>
      <c r="H742" t="str">
        <f>"2017-09-27"</f>
        <v>2017-09-27</v>
      </c>
      <c r="I742" t="s">
        <v>26</v>
      </c>
      <c r="J742" t="str">
        <f>"2017-08-17"</f>
        <v>2017-08-17</v>
      </c>
      <c r="K742" t="s">
        <v>40</v>
      </c>
      <c r="L742">
        <v>2.21968524</v>
      </c>
      <c r="M742">
        <v>741</v>
      </c>
      <c r="N742" s="1">
        <v>0.20100000000000001</v>
      </c>
      <c r="O742" s="1">
        <v>0.31809999999999999</v>
      </c>
      <c r="P742" s="1">
        <v>-5.7999999999999996E-3</v>
      </c>
      <c r="Q742" s="1">
        <v>7.7000000000000002E-3</v>
      </c>
      <c r="R742" s="1">
        <v>1.7899999999999999E-2</v>
      </c>
      <c r="S742" s="1">
        <v>2.6499999999999999E-2</v>
      </c>
      <c r="T742" s="1">
        <v>3.6499999999999998E-2</v>
      </c>
      <c r="U742" s="1">
        <v>0.2485</v>
      </c>
    </row>
    <row r="743" spans="1:21" x14ac:dyDescent="0.25">
      <c r="A743" t="s">
        <v>1637</v>
      </c>
      <c r="B743" t="s">
        <v>1638</v>
      </c>
      <c r="C743" t="s">
        <v>518</v>
      </c>
      <c r="D743" t="s">
        <v>519</v>
      </c>
      <c r="E743" t="s">
        <v>1639</v>
      </c>
      <c r="F743" t="str">
        <f t="shared" si="14"/>
        <v>2018-05-20</v>
      </c>
      <c r="G743">
        <v>74.84</v>
      </c>
      <c r="H743" t="str">
        <f>"2016-11-28"</f>
        <v>2016-11-28</v>
      </c>
      <c r="I743" t="s">
        <v>26</v>
      </c>
      <c r="J743" t="str">
        <f>"2016-10-06"</f>
        <v>2016-10-06</v>
      </c>
      <c r="K743" t="s">
        <v>40</v>
      </c>
      <c r="L743">
        <v>2.2195622799999999</v>
      </c>
      <c r="M743">
        <v>742</v>
      </c>
      <c r="N743" s="1">
        <v>0.1694</v>
      </c>
      <c r="O743" s="1">
        <v>0.31740000000000002</v>
      </c>
      <c r="P743" s="1">
        <v>-7.0300000000000001E-2</v>
      </c>
      <c r="Q743" s="1">
        <v>4.7000000000000002E-3</v>
      </c>
      <c r="R743" s="1">
        <v>-1.5299999999999999E-2</v>
      </c>
      <c r="S743" s="1">
        <v>1.5900000000000001E-2</v>
      </c>
      <c r="T743" s="1">
        <v>7.7799999999999994E-2</v>
      </c>
      <c r="U743" s="1">
        <v>6.4299999999999996E-2</v>
      </c>
    </row>
    <row r="744" spans="1:21" x14ac:dyDescent="0.25">
      <c r="A744" t="s">
        <v>1640</v>
      </c>
      <c r="B744" t="s">
        <v>1641</v>
      </c>
      <c r="C744" t="s">
        <v>30</v>
      </c>
      <c r="D744" t="s">
        <v>31</v>
      </c>
      <c r="E744" t="s">
        <v>31</v>
      </c>
      <c r="F744" t="str">
        <f t="shared" si="14"/>
        <v>2018-05-20</v>
      </c>
      <c r="G744">
        <v>55.7</v>
      </c>
      <c r="H744" t="str">
        <f>"2017-09-27"</f>
        <v>2017-09-27</v>
      </c>
      <c r="I744" t="s">
        <v>26</v>
      </c>
      <c r="J744" t="str">
        <f>"2017-08-17"</f>
        <v>2017-08-17</v>
      </c>
      <c r="K744" t="s">
        <v>40</v>
      </c>
      <c r="L744">
        <v>2.2194641399999999</v>
      </c>
      <c r="M744">
        <v>743</v>
      </c>
      <c r="N744" s="1">
        <v>0.14369999999999999</v>
      </c>
      <c r="O744" s="1">
        <v>0.31680000000000003</v>
      </c>
      <c r="P744" s="1">
        <v>-5.4000000000000003E-3</v>
      </c>
      <c r="Q744" s="1">
        <v>1.18E-2</v>
      </c>
      <c r="R744" s="1">
        <v>3.0499999999999999E-2</v>
      </c>
      <c r="S744" s="1">
        <v>1.55E-2</v>
      </c>
      <c r="T744" s="1">
        <v>3.0499999999999999E-2</v>
      </c>
      <c r="U744" s="1">
        <v>0.23089999999999999</v>
      </c>
    </row>
    <row r="745" spans="1:21" x14ac:dyDescent="0.25">
      <c r="A745" t="s">
        <v>1642</v>
      </c>
      <c r="B745" t="s">
        <v>1643</v>
      </c>
      <c r="C745" t="s">
        <v>30</v>
      </c>
      <c r="D745" t="s">
        <v>31</v>
      </c>
      <c r="E745" t="s">
        <v>31</v>
      </c>
      <c r="F745" t="str">
        <f t="shared" si="14"/>
        <v>2018-05-20</v>
      </c>
      <c r="G745">
        <v>43.65</v>
      </c>
      <c r="H745" t="str">
        <f>"2017-09-18"</f>
        <v>2017-09-18</v>
      </c>
      <c r="I745" t="s">
        <v>26</v>
      </c>
      <c r="J745" t="str">
        <f>"2017-04-13"</f>
        <v>2017-04-13</v>
      </c>
      <c r="K745" t="s">
        <v>40</v>
      </c>
      <c r="L745">
        <v>2.2194570100000002</v>
      </c>
      <c r="M745">
        <v>744</v>
      </c>
      <c r="N745" s="1">
        <v>0.1517</v>
      </c>
      <c r="O745" s="1">
        <v>0.31669999999999998</v>
      </c>
      <c r="P745" s="1">
        <v>0</v>
      </c>
      <c r="Q745" s="1">
        <v>1.9900000000000001E-2</v>
      </c>
      <c r="R745" s="1">
        <v>3.7999999999999999E-2</v>
      </c>
      <c r="S745" s="1">
        <v>7.2499999999999995E-2</v>
      </c>
      <c r="T745" s="1">
        <v>7.51E-2</v>
      </c>
      <c r="U745" s="1">
        <v>0.28760000000000002</v>
      </c>
    </row>
    <row r="746" spans="1:21" x14ac:dyDescent="0.25">
      <c r="A746" t="s">
        <v>1644</v>
      </c>
      <c r="B746" t="s">
        <v>1645</v>
      </c>
      <c r="C746" t="s">
        <v>23</v>
      </c>
      <c r="D746" t="s">
        <v>24</v>
      </c>
      <c r="E746" t="s">
        <v>494</v>
      </c>
      <c r="F746" t="str">
        <f t="shared" si="14"/>
        <v>2018-05-20</v>
      </c>
      <c r="G746">
        <v>80.5</v>
      </c>
      <c r="H746" t="str">
        <f>"2018-04-25"</f>
        <v>2018-04-25</v>
      </c>
      <c r="I746" t="s">
        <v>26</v>
      </c>
      <c r="J746" t="str">
        <f>"2018-02-05"</f>
        <v>2018-02-05</v>
      </c>
      <c r="K746" t="s">
        <v>40</v>
      </c>
      <c r="L746">
        <v>2.2194058299999999</v>
      </c>
      <c r="M746">
        <v>745</v>
      </c>
      <c r="N746" s="1">
        <v>-1.41E-2</v>
      </c>
      <c r="O746" s="1">
        <v>0.31640000000000001</v>
      </c>
      <c r="P746" s="1">
        <v>-4.6199999999999998E-2</v>
      </c>
      <c r="Q746" s="1">
        <v>2.9399999999999999E-2</v>
      </c>
      <c r="R746" s="1">
        <v>4.0099999999999997E-2</v>
      </c>
      <c r="S746" s="1">
        <v>8.0999999999999996E-3</v>
      </c>
      <c r="T746" s="1">
        <v>0.19520000000000001</v>
      </c>
      <c r="U746" s="1">
        <v>0.26569999999999999</v>
      </c>
    </row>
    <row r="747" spans="1:21" x14ac:dyDescent="0.25">
      <c r="A747" t="s">
        <v>1646</v>
      </c>
      <c r="B747" t="s">
        <v>1647</v>
      </c>
      <c r="C747" t="s">
        <v>23</v>
      </c>
      <c r="D747" t="s">
        <v>24</v>
      </c>
      <c r="E747" t="s">
        <v>494</v>
      </c>
      <c r="F747" t="str">
        <f t="shared" si="14"/>
        <v>2018-05-20</v>
      </c>
      <c r="G747">
        <v>51</v>
      </c>
      <c r="H747" t="str">
        <f>"2018-02-01"</f>
        <v>2018-02-01</v>
      </c>
      <c r="I747" t="s">
        <v>26</v>
      </c>
      <c r="J747" t="str">
        <f>"2017-11-29"</f>
        <v>2017-11-29</v>
      </c>
      <c r="K747" t="s">
        <v>27</v>
      </c>
      <c r="L747">
        <v>2.2193548399999998</v>
      </c>
      <c r="M747">
        <v>746</v>
      </c>
      <c r="N747" s="1">
        <v>2.2000000000000001E-3</v>
      </c>
      <c r="O747" s="1">
        <v>0.31609999999999999</v>
      </c>
      <c r="P747" s="1">
        <v>-5.7799999999999997E-2</v>
      </c>
      <c r="Q747" s="1">
        <v>1.17E-2</v>
      </c>
      <c r="R747" s="1">
        <v>-1.77E-2</v>
      </c>
      <c r="S747" s="1">
        <v>-2E-3</v>
      </c>
      <c r="T747" s="1">
        <v>4.7E-2</v>
      </c>
      <c r="U747" s="1">
        <v>-0.1273</v>
      </c>
    </row>
    <row r="748" spans="1:21" x14ac:dyDescent="0.25">
      <c r="A748" t="s">
        <v>1648</v>
      </c>
      <c r="B748" t="s">
        <v>1649</v>
      </c>
      <c r="C748" t="s">
        <v>100</v>
      </c>
      <c r="D748" t="s">
        <v>217</v>
      </c>
      <c r="E748" t="s">
        <v>218</v>
      </c>
      <c r="F748" t="str">
        <f t="shared" si="14"/>
        <v>2018-05-20</v>
      </c>
      <c r="G748">
        <v>41.45</v>
      </c>
      <c r="H748" t="str">
        <f>"2018-02-05"</f>
        <v>2018-02-05</v>
      </c>
      <c r="I748" t="s">
        <v>26</v>
      </c>
      <c r="J748" t="str">
        <f>"2017-12-17"</f>
        <v>2017-12-17</v>
      </c>
      <c r="K748" t="s">
        <v>57</v>
      </c>
      <c r="L748">
        <v>2.2193121699999998</v>
      </c>
      <c r="M748">
        <v>747</v>
      </c>
      <c r="N748" s="1">
        <v>7.6600000000000001E-2</v>
      </c>
      <c r="O748" s="1">
        <v>0.31590000000000001</v>
      </c>
      <c r="P748" s="1">
        <v>-6.4500000000000002E-2</v>
      </c>
      <c r="Q748" s="1">
        <v>1.4E-3</v>
      </c>
      <c r="R748" s="1">
        <v>5.2299999999999999E-2</v>
      </c>
      <c r="S748" s="1">
        <v>-1.9400000000000001E-2</v>
      </c>
      <c r="T748" s="1">
        <v>-2.6100000000000002E-2</v>
      </c>
      <c r="U748" s="1">
        <v>0.1182</v>
      </c>
    </row>
    <row r="749" spans="1:21" x14ac:dyDescent="0.25">
      <c r="A749" t="s">
        <v>1650</v>
      </c>
      <c r="B749" t="s">
        <v>1651</v>
      </c>
      <c r="C749" t="s">
        <v>30</v>
      </c>
      <c r="D749" t="s">
        <v>77</v>
      </c>
      <c r="E749" t="s">
        <v>1008</v>
      </c>
      <c r="F749" t="str">
        <f t="shared" si="14"/>
        <v>2018-05-20</v>
      </c>
      <c r="G749">
        <v>39.94</v>
      </c>
      <c r="H749" t="str">
        <f>"2017-06-14"</f>
        <v>2017-06-14</v>
      </c>
      <c r="I749" t="s">
        <v>26</v>
      </c>
      <c r="J749" t="str">
        <f>"2017-05-23"</f>
        <v>2017-05-23</v>
      </c>
      <c r="K749" t="s">
        <v>57</v>
      </c>
      <c r="L749">
        <v>2.2189692999999999</v>
      </c>
      <c r="M749">
        <v>748</v>
      </c>
      <c r="N749" s="1">
        <v>0.25159999999999999</v>
      </c>
      <c r="O749" s="1">
        <v>0.31380000000000002</v>
      </c>
      <c r="P749" s="1">
        <v>0</v>
      </c>
      <c r="Q749" s="1">
        <v>1.11E-2</v>
      </c>
      <c r="R749" s="1">
        <v>5.8900000000000001E-2</v>
      </c>
      <c r="S749" s="1">
        <v>6.5100000000000005E-2</v>
      </c>
      <c r="T749" s="1">
        <v>9.0999999999999998E-2</v>
      </c>
      <c r="U749" s="1">
        <v>0.31080000000000002</v>
      </c>
    </row>
    <row r="750" spans="1:21" x14ac:dyDescent="0.25">
      <c r="A750" t="s">
        <v>1652</v>
      </c>
      <c r="B750" t="s">
        <v>1653</v>
      </c>
      <c r="C750" t="s">
        <v>30</v>
      </c>
      <c r="D750" t="s">
        <v>31</v>
      </c>
      <c r="E750" t="s">
        <v>31</v>
      </c>
      <c r="F750" t="str">
        <f t="shared" si="14"/>
        <v>2018-05-20</v>
      </c>
      <c r="G750">
        <v>43.88</v>
      </c>
      <c r="H750" t="str">
        <f>"2017-10-22"</f>
        <v>2017-10-22</v>
      </c>
      <c r="I750" t="s">
        <v>26</v>
      </c>
      <c r="J750" t="str">
        <f>"2017-05-30"</f>
        <v>2017-05-30</v>
      </c>
      <c r="K750" t="s">
        <v>40</v>
      </c>
      <c r="L750">
        <v>2.21856944</v>
      </c>
      <c r="M750">
        <v>749</v>
      </c>
      <c r="N750" s="1">
        <v>5.5100000000000003E-2</v>
      </c>
      <c r="O750" s="1">
        <v>0.31140000000000001</v>
      </c>
      <c r="P750" s="1">
        <v>-1.9699999999999999E-2</v>
      </c>
      <c r="Q750" s="1">
        <v>1.46E-2</v>
      </c>
      <c r="R750" s="1">
        <v>3.32E-2</v>
      </c>
      <c r="S750" s="1">
        <v>8.8599999999999998E-2</v>
      </c>
      <c r="T750" s="1">
        <v>2.0899999999999998E-2</v>
      </c>
      <c r="U750" s="1">
        <v>0.14119999999999999</v>
      </c>
    </row>
    <row r="751" spans="1:21" x14ac:dyDescent="0.25">
      <c r="A751" t="s">
        <v>1654</v>
      </c>
      <c r="B751" t="s">
        <v>1655</v>
      </c>
      <c r="C751" t="s">
        <v>30</v>
      </c>
      <c r="D751" t="s">
        <v>31</v>
      </c>
      <c r="E751" t="s">
        <v>31</v>
      </c>
      <c r="F751" t="str">
        <f t="shared" si="14"/>
        <v>2018-05-20</v>
      </c>
      <c r="G751">
        <v>47.03</v>
      </c>
      <c r="H751" t="str">
        <f>"2017-09-27"</f>
        <v>2017-09-27</v>
      </c>
      <c r="I751" t="s">
        <v>26</v>
      </c>
      <c r="J751" t="str">
        <f>"2017-08-07"</f>
        <v>2017-08-07</v>
      </c>
      <c r="K751" t="s">
        <v>40</v>
      </c>
      <c r="L751">
        <v>2.2185205799999999</v>
      </c>
      <c r="M751">
        <v>750</v>
      </c>
      <c r="N751" s="1">
        <v>0.14399999999999999</v>
      </c>
      <c r="O751" s="1">
        <v>0.31109999999999999</v>
      </c>
      <c r="P751" s="1">
        <v>0</v>
      </c>
      <c r="Q751" s="1">
        <v>1.03E-2</v>
      </c>
      <c r="R751" s="1">
        <v>3.9199999999999999E-2</v>
      </c>
      <c r="S751" s="1">
        <v>8.9399999999999993E-2</v>
      </c>
      <c r="T751" s="1">
        <v>0.1076</v>
      </c>
      <c r="U751" s="1">
        <v>0.24160000000000001</v>
      </c>
    </row>
    <row r="752" spans="1:21" x14ac:dyDescent="0.25">
      <c r="A752" t="s">
        <v>1656</v>
      </c>
      <c r="B752" t="s">
        <v>1657</v>
      </c>
      <c r="C752" t="s">
        <v>37</v>
      </c>
      <c r="D752" t="s">
        <v>66</v>
      </c>
      <c r="E752" t="s">
        <v>67</v>
      </c>
      <c r="F752" t="str">
        <f t="shared" si="14"/>
        <v>2018-05-20</v>
      </c>
      <c r="G752">
        <v>2.5299999999999998</v>
      </c>
      <c r="H752" t="str">
        <f>"2018-05-17"</f>
        <v>2018-05-17</v>
      </c>
      <c r="I752" t="s">
        <v>26</v>
      </c>
      <c r="J752" t="str">
        <f>"2018-03-11"</f>
        <v>2018-03-11</v>
      </c>
      <c r="K752" t="s">
        <v>27</v>
      </c>
      <c r="L752">
        <v>2.21848014</v>
      </c>
      <c r="M752">
        <v>751</v>
      </c>
      <c r="N752" s="1">
        <v>-2.3199999999999998E-2</v>
      </c>
      <c r="O752" s="1">
        <v>0.31090000000000001</v>
      </c>
      <c r="P752" s="1">
        <v>-9.3200000000000005E-2</v>
      </c>
      <c r="Q752" s="1">
        <v>4.0000000000000001E-3</v>
      </c>
      <c r="R752" s="1">
        <v>1.2E-2</v>
      </c>
      <c r="S752" s="1">
        <v>0.1</v>
      </c>
      <c r="T752" s="1">
        <v>0.1</v>
      </c>
      <c r="U752" s="1">
        <v>3.27E-2</v>
      </c>
    </row>
    <row r="753" spans="1:21" x14ac:dyDescent="0.25">
      <c r="A753" t="s">
        <v>1658</v>
      </c>
      <c r="B753" t="s">
        <v>1659</v>
      </c>
      <c r="C753" t="s">
        <v>87</v>
      </c>
      <c r="D753" t="s">
        <v>144</v>
      </c>
      <c r="E753" t="s">
        <v>145</v>
      </c>
      <c r="F753" t="str">
        <f t="shared" si="14"/>
        <v>2018-05-20</v>
      </c>
      <c r="G753">
        <v>12.61</v>
      </c>
      <c r="H753" t="str">
        <f>"2018-04-26"</f>
        <v>2018-04-26</v>
      </c>
      <c r="I753" t="s">
        <v>26</v>
      </c>
      <c r="J753" t="str">
        <f>"2018-04-22"</f>
        <v>2018-04-22</v>
      </c>
      <c r="K753" t="s">
        <v>27</v>
      </c>
      <c r="L753">
        <v>2.2184684699999999</v>
      </c>
      <c r="M753">
        <v>752</v>
      </c>
      <c r="N753" s="1">
        <v>1.37E-2</v>
      </c>
      <c r="O753" s="1">
        <v>0.31080000000000002</v>
      </c>
      <c r="P753" s="1">
        <v>-4.2500000000000003E-2</v>
      </c>
      <c r="Q753" s="1">
        <v>-8.6E-3</v>
      </c>
      <c r="R753" s="1">
        <v>5.5999999999999999E-3</v>
      </c>
      <c r="S753" s="1">
        <v>9.5600000000000004E-2</v>
      </c>
      <c r="T753" s="1">
        <v>0.17299999999999999</v>
      </c>
      <c r="U753" s="1">
        <v>0.32040000000000002</v>
      </c>
    </row>
    <row r="754" spans="1:21" x14ac:dyDescent="0.25">
      <c r="A754" t="s">
        <v>1660</v>
      </c>
      <c r="B754" t="s">
        <v>1661</v>
      </c>
      <c r="C754" t="s">
        <v>30</v>
      </c>
      <c r="D754" t="s">
        <v>31</v>
      </c>
      <c r="E754" t="s">
        <v>31</v>
      </c>
      <c r="F754" t="str">
        <f t="shared" si="14"/>
        <v>2018-05-20</v>
      </c>
      <c r="G754">
        <v>14.55</v>
      </c>
      <c r="H754" t="str">
        <f>"2017-10-22"</f>
        <v>2017-10-22</v>
      </c>
      <c r="I754" t="s">
        <v>26</v>
      </c>
      <c r="J754" t="str">
        <f>"2017-07-13"</f>
        <v>2017-07-13</v>
      </c>
      <c r="K754" t="s">
        <v>40</v>
      </c>
      <c r="L754">
        <v>2.2184684699999999</v>
      </c>
      <c r="M754">
        <v>753</v>
      </c>
      <c r="N754" s="1">
        <v>8.9899999999999994E-2</v>
      </c>
      <c r="O754" s="1">
        <v>0.31080000000000002</v>
      </c>
      <c r="P754" s="1">
        <v>-4.2799999999999998E-2</v>
      </c>
      <c r="Q754" s="1">
        <v>3.3999999999999998E-3</v>
      </c>
      <c r="R754" s="1">
        <v>2.1100000000000001E-2</v>
      </c>
      <c r="S754" s="1">
        <v>6.2E-2</v>
      </c>
      <c r="T754" s="1">
        <v>0.1192</v>
      </c>
      <c r="U754" s="1">
        <v>3.56E-2</v>
      </c>
    </row>
    <row r="755" spans="1:21" x14ac:dyDescent="0.25">
      <c r="A755" t="s">
        <v>1662</v>
      </c>
      <c r="B755" t="s">
        <v>1663</v>
      </c>
      <c r="C755" t="s">
        <v>109</v>
      </c>
      <c r="D755" t="s">
        <v>156</v>
      </c>
      <c r="E755" t="s">
        <v>157</v>
      </c>
      <c r="F755" t="str">
        <f t="shared" si="14"/>
        <v>2018-05-20</v>
      </c>
      <c r="G755">
        <v>26.1</v>
      </c>
      <c r="H755" t="str">
        <f>"2018-05-02"</f>
        <v>2018-05-02</v>
      </c>
      <c r="I755" t="s">
        <v>26</v>
      </c>
      <c r="J755" t="str">
        <f>"2018-04-03"</f>
        <v>2018-04-03</v>
      </c>
      <c r="K755" t="s">
        <v>40</v>
      </c>
      <c r="L755">
        <v>2.2180451099999998</v>
      </c>
      <c r="M755">
        <v>754</v>
      </c>
      <c r="N755" s="1">
        <v>-6.1199999999999997E-2</v>
      </c>
      <c r="O755" s="1">
        <v>0.30830000000000002</v>
      </c>
      <c r="P755" s="1">
        <v>-6.7900000000000002E-2</v>
      </c>
      <c r="Q755" s="1">
        <v>-2.6100000000000002E-2</v>
      </c>
      <c r="R755" s="1">
        <v>-1.8800000000000001E-2</v>
      </c>
      <c r="S755" s="1">
        <v>0.18099999999999999</v>
      </c>
      <c r="T755" s="1">
        <v>0.13730000000000001</v>
      </c>
      <c r="U755" s="1">
        <v>0.47039999999999998</v>
      </c>
    </row>
    <row r="756" spans="1:21" x14ac:dyDescent="0.25">
      <c r="A756" t="s">
        <v>1664</v>
      </c>
      <c r="B756" t="s">
        <v>1665</v>
      </c>
      <c r="C756" t="s">
        <v>109</v>
      </c>
      <c r="D756" t="s">
        <v>110</v>
      </c>
      <c r="E756" t="s">
        <v>251</v>
      </c>
      <c r="F756" t="str">
        <f t="shared" si="14"/>
        <v>2018-05-20</v>
      </c>
      <c r="G756">
        <v>91.05</v>
      </c>
      <c r="H756" t="str">
        <f>"2018-05-02"</f>
        <v>2018-05-02</v>
      </c>
      <c r="I756" t="s">
        <v>26</v>
      </c>
      <c r="J756" t="str">
        <f>"2017-12-07"</f>
        <v>2017-12-07</v>
      </c>
      <c r="K756" t="s">
        <v>40</v>
      </c>
      <c r="L756">
        <v>2.2177187900000002</v>
      </c>
      <c r="M756">
        <v>755</v>
      </c>
      <c r="N756" s="1">
        <v>0.107</v>
      </c>
      <c r="O756" s="1">
        <v>0.30630000000000002</v>
      </c>
      <c r="P756" s="1">
        <v>0</v>
      </c>
      <c r="Q756" s="1">
        <v>1.34E-2</v>
      </c>
      <c r="R756" s="1">
        <v>4.1799999999999997E-2</v>
      </c>
      <c r="S756" s="1">
        <v>0.14099999999999999</v>
      </c>
      <c r="T756" s="1">
        <v>0.1681</v>
      </c>
      <c r="U756" s="1">
        <v>0.23369999999999999</v>
      </c>
    </row>
    <row r="757" spans="1:21" x14ac:dyDescent="0.25">
      <c r="A757" t="s">
        <v>1666</v>
      </c>
      <c r="B757" t="s">
        <v>1667</v>
      </c>
      <c r="C757" t="s">
        <v>100</v>
      </c>
      <c r="D757" t="s">
        <v>199</v>
      </c>
      <c r="E757" t="s">
        <v>200</v>
      </c>
      <c r="F757" t="str">
        <f t="shared" si="14"/>
        <v>2018-05-20</v>
      </c>
      <c r="G757">
        <v>95.47</v>
      </c>
      <c r="H757" t="str">
        <f>"2017-10-26"</f>
        <v>2017-10-26</v>
      </c>
      <c r="I757" t="s">
        <v>26</v>
      </c>
      <c r="J757" t="str">
        <f>"2017-05-31"</f>
        <v>2017-05-31</v>
      </c>
      <c r="K757" t="s">
        <v>40</v>
      </c>
      <c r="L757">
        <v>2.2176103199999999</v>
      </c>
      <c r="M757">
        <v>756</v>
      </c>
      <c r="N757" s="1">
        <v>0.13950000000000001</v>
      </c>
      <c r="O757" s="1">
        <v>0.30570000000000003</v>
      </c>
      <c r="P757" s="1">
        <v>0</v>
      </c>
      <c r="Q757" s="1">
        <v>1.34E-2</v>
      </c>
      <c r="R757" s="1">
        <v>3.7699999999999997E-2</v>
      </c>
      <c r="S757" s="1">
        <v>7.1099999999999997E-2</v>
      </c>
      <c r="T757" s="1">
        <v>0.25269999999999998</v>
      </c>
      <c r="U757" s="1">
        <v>0.20100000000000001</v>
      </c>
    </row>
    <row r="758" spans="1:21" x14ac:dyDescent="0.25">
      <c r="A758" t="s">
        <v>1668</v>
      </c>
      <c r="B758" t="s">
        <v>1669</v>
      </c>
      <c r="C758" t="s">
        <v>30</v>
      </c>
      <c r="D758" t="s">
        <v>48</v>
      </c>
      <c r="E758" t="s">
        <v>505</v>
      </c>
      <c r="F758" t="str">
        <f t="shared" si="14"/>
        <v>2018-05-20</v>
      </c>
      <c r="G758">
        <v>29.7</v>
      </c>
      <c r="H758" t="str">
        <f>"2018-03-19"</f>
        <v>2018-03-19</v>
      </c>
      <c r="I758" t="s">
        <v>26</v>
      </c>
      <c r="J758" t="str">
        <f>"2018-02-04"</f>
        <v>2018-02-04</v>
      </c>
      <c r="K758" t="s">
        <v>27</v>
      </c>
      <c r="L758">
        <v>2.2175824199999998</v>
      </c>
      <c r="M758">
        <v>757</v>
      </c>
      <c r="N758" s="1">
        <v>4.58E-2</v>
      </c>
      <c r="O758" s="1">
        <v>0.30549999999999999</v>
      </c>
      <c r="P758" s="1">
        <v>-2.3E-2</v>
      </c>
      <c r="Q758" s="1">
        <v>2.41E-2</v>
      </c>
      <c r="R758" s="1">
        <v>3.6600000000000001E-2</v>
      </c>
      <c r="S758" s="1">
        <v>5.3199999999999997E-2</v>
      </c>
      <c r="T758" s="1">
        <v>8.5900000000000004E-2</v>
      </c>
      <c r="U758" s="1">
        <v>0.19040000000000001</v>
      </c>
    </row>
    <row r="759" spans="1:21" x14ac:dyDescent="0.25">
      <c r="A759" t="s">
        <v>1670</v>
      </c>
      <c r="B759" t="s">
        <v>1671</v>
      </c>
      <c r="C759" t="s">
        <v>83</v>
      </c>
      <c r="D759" t="s">
        <v>342</v>
      </c>
      <c r="E759" t="s">
        <v>342</v>
      </c>
      <c r="F759" t="str">
        <f t="shared" si="14"/>
        <v>2018-05-20</v>
      </c>
      <c r="G759">
        <v>6.29</v>
      </c>
      <c r="H759" t="str">
        <f>"2018-01-28"</f>
        <v>2018-01-28</v>
      </c>
      <c r="I759" t="s">
        <v>26</v>
      </c>
      <c r="J759" t="str">
        <f>"2017-12-11"</f>
        <v>2017-12-11</v>
      </c>
      <c r="K759" t="s">
        <v>27</v>
      </c>
      <c r="L759">
        <v>2.21749654</v>
      </c>
      <c r="M759">
        <v>758</v>
      </c>
      <c r="N759" s="1">
        <v>2.2800000000000001E-2</v>
      </c>
      <c r="O759" s="1">
        <v>0.30499999999999999</v>
      </c>
      <c r="P759" s="1">
        <v>-9.6299999999999997E-2</v>
      </c>
      <c r="Q759" s="1">
        <v>1.1299999999999999E-2</v>
      </c>
      <c r="R759" s="1">
        <v>9.5999999999999992E-3</v>
      </c>
      <c r="S759" s="1">
        <v>0.26050000000000001</v>
      </c>
      <c r="T759" s="1">
        <v>0.1779</v>
      </c>
      <c r="U759" s="1">
        <v>0.1648</v>
      </c>
    </row>
    <row r="760" spans="1:21" x14ac:dyDescent="0.25">
      <c r="A760" t="s">
        <v>1672</v>
      </c>
      <c r="B760" t="s">
        <v>1673</v>
      </c>
      <c r="C760" t="s">
        <v>43</v>
      </c>
      <c r="D760" t="s">
        <v>150</v>
      </c>
      <c r="E760" t="s">
        <v>408</v>
      </c>
      <c r="F760" t="str">
        <f t="shared" si="14"/>
        <v>2018-05-20</v>
      </c>
      <c r="G760">
        <v>24.66</v>
      </c>
      <c r="H760" t="str">
        <f>"2018-03-08"</f>
        <v>2018-03-08</v>
      </c>
      <c r="I760" t="s">
        <v>26</v>
      </c>
      <c r="J760" t="str">
        <f>"2018-02-13"</f>
        <v>2018-02-13</v>
      </c>
      <c r="K760" t="s">
        <v>40</v>
      </c>
      <c r="L760">
        <v>2.21711569</v>
      </c>
      <c r="M760">
        <v>759</v>
      </c>
      <c r="N760" s="1">
        <v>0.10979999999999999</v>
      </c>
      <c r="O760" s="1">
        <v>0.30270000000000002</v>
      </c>
      <c r="P760" s="1">
        <v>0</v>
      </c>
      <c r="Q760" s="1">
        <v>1.23E-2</v>
      </c>
      <c r="R760" s="1">
        <v>6.5699999999999995E-2</v>
      </c>
      <c r="S760" s="1">
        <v>7.3099999999999998E-2</v>
      </c>
      <c r="T760" s="1">
        <v>0.25240000000000001</v>
      </c>
      <c r="U760" s="1">
        <v>0.52600000000000002</v>
      </c>
    </row>
    <row r="761" spans="1:21" x14ac:dyDescent="0.25">
      <c r="A761" t="s">
        <v>1674</v>
      </c>
      <c r="B761" t="s">
        <v>1675</v>
      </c>
      <c r="C761" t="s">
        <v>30</v>
      </c>
      <c r="D761" t="s">
        <v>31</v>
      </c>
      <c r="E761" t="s">
        <v>31</v>
      </c>
      <c r="F761" t="str">
        <f t="shared" si="14"/>
        <v>2018-05-20</v>
      </c>
      <c r="G761">
        <v>43.8</v>
      </c>
      <c r="H761" t="str">
        <f>"2017-10-02"</f>
        <v>2017-10-02</v>
      </c>
      <c r="I761" t="s">
        <v>26</v>
      </c>
      <c r="J761" t="str">
        <f>"2017-05-24"</f>
        <v>2017-05-24</v>
      </c>
      <c r="K761" t="s">
        <v>40</v>
      </c>
      <c r="L761">
        <v>2.21693908</v>
      </c>
      <c r="M761">
        <v>760</v>
      </c>
      <c r="N761" s="1">
        <v>0.126</v>
      </c>
      <c r="O761" s="1">
        <v>0.30159999999999998</v>
      </c>
      <c r="P761" s="1">
        <v>0</v>
      </c>
      <c r="Q761" s="1">
        <v>1.8599999999999998E-2</v>
      </c>
      <c r="R761" s="1">
        <v>4.53E-2</v>
      </c>
      <c r="S761" s="1">
        <v>8.2799999999999999E-2</v>
      </c>
      <c r="T761" s="1">
        <v>8.2799999999999999E-2</v>
      </c>
      <c r="U761" s="1">
        <v>0.21329999999999999</v>
      </c>
    </row>
    <row r="762" spans="1:21" x14ac:dyDescent="0.25">
      <c r="A762" t="s">
        <v>1676</v>
      </c>
      <c r="B762" t="s">
        <v>1677</v>
      </c>
      <c r="C762" t="s">
        <v>100</v>
      </c>
      <c r="D762" t="s">
        <v>217</v>
      </c>
      <c r="E762" t="s">
        <v>218</v>
      </c>
      <c r="F762" t="str">
        <f t="shared" si="14"/>
        <v>2018-05-20</v>
      </c>
      <c r="G762">
        <v>1.64</v>
      </c>
      <c r="H762" t="str">
        <f>"2018-05-16"</f>
        <v>2018-05-16</v>
      </c>
      <c r="I762" t="s">
        <v>26</v>
      </c>
      <c r="J762" t="str">
        <f>"2018-03-20"</f>
        <v>2018-03-20</v>
      </c>
      <c r="K762" t="s">
        <v>40</v>
      </c>
      <c r="L762">
        <v>2.2169312200000002</v>
      </c>
      <c r="M762">
        <v>761</v>
      </c>
      <c r="N762" s="1">
        <v>5.8099999999999999E-2</v>
      </c>
      <c r="O762" s="1">
        <v>0.30159999999999998</v>
      </c>
      <c r="P762" s="1">
        <v>-3.5299999999999998E-2</v>
      </c>
      <c r="Q762" s="1">
        <v>2.5000000000000001E-2</v>
      </c>
      <c r="R762" s="1">
        <v>1.23E-2</v>
      </c>
      <c r="S762" s="1">
        <v>6.4899999999999999E-2</v>
      </c>
      <c r="T762" s="1">
        <v>0.15490000000000001</v>
      </c>
      <c r="U762" s="1">
        <v>0.16309999999999999</v>
      </c>
    </row>
    <row r="763" spans="1:21" x14ac:dyDescent="0.25">
      <c r="A763" t="s">
        <v>1678</v>
      </c>
      <c r="B763" t="s">
        <v>1679</v>
      </c>
      <c r="C763" t="s">
        <v>30</v>
      </c>
      <c r="D763" t="s">
        <v>31</v>
      </c>
      <c r="E763" t="s">
        <v>31</v>
      </c>
      <c r="F763" t="str">
        <f t="shared" si="14"/>
        <v>2018-05-20</v>
      </c>
      <c r="G763">
        <v>15.79</v>
      </c>
      <c r="H763" t="str">
        <f>"2017-09-20"</f>
        <v>2017-09-20</v>
      </c>
      <c r="I763" t="s">
        <v>26</v>
      </c>
      <c r="J763" t="str">
        <f>"2017-06-22"</f>
        <v>2017-06-22</v>
      </c>
      <c r="K763" t="s">
        <v>40</v>
      </c>
      <c r="L763">
        <v>2.2167764999999999</v>
      </c>
      <c r="M763">
        <v>762</v>
      </c>
      <c r="N763" s="1">
        <v>0.19259999999999999</v>
      </c>
      <c r="O763" s="1">
        <v>0.30070000000000002</v>
      </c>
      <c r="P763" s="1">
        <v>0</v>
      </c>
      <c r="Q763" s="1">
        <v>1.2200000000000001E-2</v>
      </c>
      <c r="R763" s="1">
        <v>2.07E-2</v>
      </c>
      <c r="S763" s="1">
        <v>5.62E-2</v>
      </c>
      <c r="T763" s="1">
        <v>8.9700000000000002E-2</v>
      </c>
      <c r="U763" s="1">
        <v>0.27239999999999998</v>
      </c>
    </row>
    <row r="764" spans="1:21" x14ac:dyDescent="0.25">
      <c r="A764" t="s">
        <v>1680</v>
      </c>
      <c r="B764" t="s">
        <v>1681</v>
      </c>
      <c r="C764" t="s">
        <v>30</v>
      </c>
      <c r="D764" t="s">
        <v>31</v>
      </c>
      <c r="E764" t="s">
        <v>31</v>
      </c>
      <c r="F764" t="str">
        <f t="shared" si="14"/>
        <v>2018-05-20</v>
      </c>
      <c r="G764">
        <v>25.2</v>
      </c>
      <c r="H764" t="str">
        <f>"2017-09-27"</f>
        <v>2017-09-27</v>
      </c>
      <c r="I764" t="s">
        <v>26</v>
      </c>
      <c r="J764" t="str">
        <f>"2017-08-13"</f>
        <v>2017-08-13</v>
      </c>
      <c r="K764" t="s">
        <v>40</v>
      </c>
      <c r="L764">
        <v>2.2164948500000001</v>
      </c>
      <c r="M764">
        <v>763</v>
      </c>
      <c r="N764" s="1">
        <v>0.125</v>
      </c>
      <c r="O764" s="1">
        <v>0.29899999999999999</v>
      </c>
      <c r="P764" s="1">
        <v>-4.0000000000000001E-3</v>
      </c>
      <c r="Q764" s="1">
        <v>0.01</v>
      </c>
      <c r="R764" s="1">
        <v>3.2800000000000003E-2</v>
      </c>
      <c r="S764" s="1">
        <v>2.23E-2</v>
      </c>
      <c r="T764" s="1">
        <v>7.2300000000000003E-2</v>
      </c>
      <c r="U764" s="1">
        <v>0.2029</v>
      </c>
    </row>
    <row r="765" spans="1:21" x14ac:dyDescent="0.25">
      <c r="A765" t="s">
        <v>1682</v>
      </c>
      <c r="B765" t="s">
        <v>1683</v>
      </c>
      <c r="C765" t="s">
        <v>43</v>
      </c>
      <c r="D765" t="s">
        <v>374</v>
      </c>
      <c r="E765" t="s">
        <v>378</v>
      </c>
      <c r="F765" t="str">
        <f t="shared" si="14"/>
        <v>2018-05-20</v>
      </c>
      <c r="G765">
        <v>34.08</v>
      </c>
      <c r="H765" t="str">
        <f>"2018-03-08"</f>
        <v>2018-03-08</v>
      </c>
      <c r="I765" t="s">
        <v>26</v>
      </c>
      <c r="J765" t="str">
        <f>"2018-03-07"</f>
        <v>2018-03-07</v>
      </c>
      <c r="K765" t="s">
        <v>27</v>
      </c>
      <c r="L765">
        <v>2.2159695799999999</v>
      </c>
      <c r="M765">
        <v>764</v>
      </c>
      <c r="N765" s="1">
        <v>0.1174</v>
      </c>
      <c r="O765" s="1">
        <v>0.29580000000000001</v>
      </c>
      <c r="P765" s="1">
        <v>0</v>
      </c>
      <c r="Q765" s="1">
        <v>2.5000000000000001E-2</v>
      </c>
      <c r="R765" s="1">
        <v>3.5900000000000001E-2</v>
      </c>
      <c r="S765" s="1">
        <v>8.7099999999999997E-2</v>
      </c>
      <c r="T765" s="1">
        <v>0.1623</v>
      </c>
      <c r="U765" s="1">
        <v>7.0999999999999994E-2</v>
      </c>
    </row>
    <row r="766" spans="1:21" x14ac:dyDescent="0.25">
      <c r="A766" t="s">
        <v>1684</v>
      </c>
      <c r="B766" t="s">
        <v>1685</v>
      </c>
      <c r="C766" t="s">
        <v>43</v>
      </c>
      <c r="D766" t="s">
        <v>193</v>
      </c>
      <c r="E766" t="s">
        <v>239</v>
      </c>
      <c r="F766" t="str">
        <f t="shared" si="14"/>
        <v>2018-05-20</v>
      </c>
      <c r="G766">
        <v>14.6</v>
      </c>
      <c r="H766" t="str">
        <f>"2018-03-05"</f>
        <v>2018-03-05</v>
      </c>
      <c r="I766" t="s">
        <v>26</v>
      </c>
      <c r="J766" t="str">
        <f>"2017-02-12"</f>
        <v>2017-02-12</v>
      </c>
      <c r="K766" t="s">
        <v>34</v>
      </c>
      <c r="L766">
        <v>2.2159124499999998</v>
      </c>
      <c r="M766">
        <v>765</v>
      </c>
      <c r="N766" s="1">
        <v>-1.8800000000000001E-2</v>
      </c>
      <c r="O766" s="1">
        <v>0.29549999999999998</v>
      </c>
      <c r="P766" s="1">
        <v>-9.8199999999999996E-2</v>
      </c>
      <c r="Q766" s="1">
        <v>-2.0999999999999999E-3</v>
      </c>
      <c r="R766" s="1">
        <v>3.3300000000000003E-2</v>
      </c>
      <c r="S766" s="1">
        <v>1.7399999999999999E-2</v>
      </c>
      <c r="T766" s="1">
        <v>6.4899999999999999E-2</v>
      </c>
      <c r="U766" s="1">
        <v>2.9600000000000001E-2</v>
      </c>
    </row>
    <row r="767" spans="1:21" x14ac:dyDescent="0.25">
      <c r="A767" t="s">
        <v>1686</v>
      </c>
      <c r="B767" t="s">
        <v>1687</v>
      </c>
      <c r="C767" t="s">
        <v>23</v>
      </c>
      <c r="D767" t="s">
        <v>24</v>
      </c>
      <c r="E767" t="s">
        <v>164</v>
      </c>
      <c r="F767" t="str">
        <f t="shared" si="14"/>
        <v>2018-05-20</v>
      </c>
      <c r="G767">
        <v>32.450000000000003</v>
      </c>
      <c r="H767" t="str">
        <f>"2018-03-06"</f>
        <v>2018-03-06</v>
      </c>
      <c r="I767" t="s">
        <v>26</v>
      </c>
      <c r="J767" t="str">
        <f>"2018-02-26"</f>
        <v>2018-02-26</v>
      </c>
      <c r="K767" t="s">
        <v>27</v>
      </c>
      <c r="L767">
        <v>2.21590153</v>
      </c>
      <c r="M767">
        <v>766</v>
      </c>
      <c r="N767" s="1">
        <v>0.1094</v>
      </c>
      <c r="O767" s="1">
        <v>0.2954</v>
      </c>
      <c r="P767" s="1">
        <v>0</v>
      </c>
      <c r="Q767" s="1">
        <v>4.5999999999999999E-3</v>
      </c>
      <c r="R767" s="1">
        <v>1.72E-2</v>
      </c>
      <c r="S767" s="1">
        <v>5.0200000000000002E-2</v>
      </c>
      <c r="T767" s="1">
        <v>0.15890000000000001</v>
      </c>
      <c r="U767" s="1">
        <v>3.0200000000000001E-2</v>
      </c>
    </row>
    <row r="768" spans="1:21" x14ac:dyDescent="0.25">
      <c r="A768" t="s">
        <v>1688</v>
      </c>
      <c r="B768" t="s">
        <v>1689</v>
      </c>
      <c r="C768" t="s">
        <v>37</v>
      </c>
      <c r="D768" t="s">
        <v>66</v>
      </c>
      <c r="E768" t="s">
        <v>94</v>
      </c>
      <c r="F768" t="str">
        <f t="shared" si="14"/>
        <v>2018-05-20</v>
      </c>
      <c r="G768">
        <v>21.27</v>
      </c>
      <c r="H768" t="str">
        <f>"2018-05-16"</f>
        <v>2018-05-16</v>
      </c>
      <c r="I768" t="s">
        <v>26</v>
      </c>
      <c r="J768" t="str">
        <f>"2018-04-16"</f>
        <v>2018-04-16</v>
      </c>
      <c r="K768" t="s">
        <v>27</v>
      </c>
      <c r="L768">
        <v>2.2156326000000002</v>
      </c>
      <c r="M768">
        <v>767</v>
      </c>
      <c r="N768" s="1">
        <v>1.09E-2</v>
      </c>
      <c r="O768" s="1">
        <v>0.29380000000000001</v>
      </c>
      <c r="P768" s="1">
        <v>-3.7000000000000002E-3</v>
      </c>
      <c r="Q768" s="1">
        <v>8.9999999999999998E-4</v>
      </c>
      <c r="R768" s="1">
        <v>2.2599999999999999E-2</v>
      </c>
      <c r="S768" s="1">
        <v>0.18360000000000001</v>
      </c>
      <c r="T768" s="1">
        <v>0.29930000000000001</v>
      </c>
      <c r="U768" s="1">
        <v>0.17510000000000001</v>
      </c>
    </row>
    <row r="769" spans="1:21" x14ac:dyDescent="0.25">
      <c r="A769" t="s">
        <v>1690</v>
      </c>
      <c r="B769" t="s">
        <v>1691</v>
      </c>
      <c r="C769" t="s">
        <v>43</v>
      </c>
      <c r="D769" t="s">
        <v>150</v>
      </c>
      <c r="E769" t="s">
        <v>408</v>
      </c>
      <c r="F769" t="str">
        <f t="shared" si="14"/>
        <v>2018-05-20</v>
      </c>
      <c r="G769">
        <v>59.63</v>
      </c>
      <c r="H769" t="str">
        <f>"2018-01-08"</f>
        <v>2018-01-08</v>
      </c>
      <c r="I769" t="s">
        <v>26</v>
      </c>
      <c r="J769" t="str">
        <f>"2017-07-13"</f>
        <v>2017-07-13</v>
      </c>
      <c r="K769" t="s">
        <v>57</v>
      </c>
      <c r="L769">
        <v>2.2154885800000002</v>
      </c>
      <c r="M769">
        <v>768</v>
      </c>
      <c r="N769" s="1">
        <v>-4.0899999999999999E-2</v>
      </c>
      <c r="O769" s="1">
        <v>0.29289999999999999</v>
      </c>
      <c r="P769" s="1">
        <v>-7.2499999999999995E-2</v>
      </c>
      <c r="Q769" s="1">
        <v>1.12E-2</v>
      </c>
      <c r="R769" s="1">
        <v>5.9299999999999999E-2</v>
      </c>
      <c r="S769" s="1">
        <v>4.07E-2</v>
      </c>
      <c r="T769" s="1">
        <v>-3.4200000000000001E-2</v>
      </c>
      <c r="U769" s="1">
        <v>6.1199999999999997E-2</v>
      </c>
    </row>
    <row r="770" spans="1:21" x14ac:dyDescent="0.25">
      <c r="A770" t="s">
        <v>1692</v>
      </c>
      <c r="B770" t="s">
        <v>1693</v>
      </c>
      <c r="C770" t="s">
        <v>23</v>
      </c>
      <c r="D770" t="s">
        <v>52</v>
      </c>
      <c r="E770" t="s">
        <v>56</v>
      </c>
      <c r="F770" t="str">
        <f t="shared" si="14"/>
        <v>2018-05-20</v>
      </c>
      <c r="G770">
        <v>55.5</v>
      </c>
      <c r="H770" t="str">
        <f>"2017-12-03"</f>
        <v>2017-12-03</v>
      </c>
      <c r="I770" t="s">
        <v>26</v>
      </c>
      <c r="J770" t="str">
        <f>"2017-08-15"</f>
        <v>2017-08-15</v>
      </c>
      <c r="K770" t="s">
        <v>40</v>
      </c>
      <c r="L770">
        <v>2.21526646</v>
      </c>
      <c r="M770">
        <v>769</v>
      </c>
      <c r="N770" s="1">
        <v>9.0200000000000002E-2</v>
      </c>
      <c r="O770" s="1">
        <v>0.29160000000000003</v>
      </c>
      <c r="P770" s="1">
        <v>-3.6799999999999999E-2</v>
      </c>
      <c r="Q770" s="1">
        <v>-2.7199999999999998E-2</v>
      </c>
      <c r="R770" s="1">
        <v>-1.7500000000000002E-2</v>
      </c>
      <c r="S770" s="1">
        <v>2.5499999999999998E-2</v>
      </c>
      <c r="T770" s="1">
        <v>0.16520000000000001</v>
      </c>
      <c r="U770" s="1">
        <v>9.8100000000000007E-2</v>
      </c>
    </row>
    <row r="771" spans="1:21" x14ac:dyDescent="0.25">
      <c r="A771" t="s">
        <v>1694</v>
      </c>
      <c r="B771" t="s">
        <v>1695</v>
      </c>
      <c r="C771" t="s">
        <v>30</v>
      </c>
      <c r="D771" t="s">
        <v>347</v>
      </c>
      <c r="E771" t="s">
        <v>523</v>
      </c>
      <c r="F771" t="str">
        <f t="shared" si="14"/>
        <v>2018-05-20</v>
      </c>
      <c r="G771">
        <v>30.16</v>
      </c>
      <c r="H771" t="str">
        <f>"2017-09-27"</f>
        <v>2017-09-27</v>
      </c>
      <c r="I771" t="s">
        <v>26</v>
      </c>
      <c r="J771" t="str">
        <f>"2017-08-09"</f>
        <v>2017-08-09</v>
      </c>
      <c r="K771" t="s">
        <v>40</v>
      </c>
      <c r="L771">
        <v>2.21518265</v>
      </c>
      <c r="M771">
        <v>770</v>
      </c>
      <c r="N771" s="1">
        <v>0.13730000000000001</v>
      </c>
      <c r="O771" s="1">
        <v>0.29110000000000003</v>
      </c>
      <c r="P771" s="1">
        <v>-4.65E-2</v>
      </c>
      <c r="Q771" s="1">
        <v>1.6199999999999999E-2</v>
      </c>
      <c r="R771" s="1">
        <v>3.8199999999999998E-2</v>
      </c>
      <c r="S771" s="1">
        <v>-2.3E-3</v>
      </c>
      <c r="T771" s="1">
        <v>8.0199999999999994E-2</v>
      </c>
      <c r="U771" s="1">
        <v>0.21809999999999999</v>
      </c>
    </row>
    <row r="772" spans="1:21" x14ac:dyDescent="0.25">
      <c r="A772" t="s">
        <v>1696</v>
      </c>
      <c r="B772" t="s">
        <v>1697</v>
      </c>
      <c r="C772" t="s">
        <v>23</v>
      </c>
      <c r="D772" t="s">
        <v>52</v>
      </c>
      <c r="E772" t="s">
        <v>139</v>
      </c>
      <c r="F772" t="str">
        <f t="shared" si="14"/>
        <v>2018-05-20</v>
      </c>
      <c r="G772">
        <v>19.8</v>
      </c>
      <c r="H772" t="str">
        <f>"2018-01-07"</f>
        <v>2018-01-07</v>
      </c>
      <c r="I772" t="s">
        <v>26</v>
      </c>
      <c r="J772" t="str">
        <f>"2017-12-13"</f>
        <v>2017-12-13</v>
      </c>
      <c r="K772" t="s">
        <v>27</v>
      </c>
      <c r="L772">
        <v>2.30841121</v>
      </c>
      <c r="M772">
        <v>771</v>
      </c>
      <c r="N772" s="1">
        <v>7.6100000000000001E-2</v>
      </c>
      <c r="O772" s="1">
        <v>0.85050000000000003</v>
      </c>
      <c r="P772" s="1">
        <v>-0.152</v>
      </c>
      <c r="Q772" s="1">
        <v>-2.5000000000000001E-3</v>
      </c>
      <c r="R772" s="1">
        <v>3.39E-2</v>
      </c>
      <c r="S772" s="1">
        <v>1.7999999999999999E-2</v>
      </c>
      <c r="T772" s="1">
        <v>0.1124</v>
      </c>
      <c r="U772" s="1">
        <v>8.2000000000000003E-2</v>
      </c>
    </row>
    <row r="773" spans="1:21" x14ac:dyDescent="0.25">
      <c r="A773" t="s">
        <v>1698</v>
      </c>
      <c r="B773" t="s">
        <v>1699</v>
      </c>
      <c r="C773" t="s">
        <v>43</v>
      </c>
      <c r="D773" t="s">
        <v>169</v>
      </c>
      <c r="E773" t="s">
        <v>641</v>
      </c>
      <c r="F773" t="str">
        <f t="shared" si="14"/>
        <v>2018-05-20</v>
      </c>
      <c r="G773">
        <v>17.95</v>
      </c>
      <c r="H773" t="str">
        <f>"2017-08-01"</f>
        <v>2017-08-01</v>
      </c>
      <c r="I773" t="s">
        <v>26</v>
      </c>
      <c r="J773" t="str">
        <f>"2017-05-16"</f>
        <v>2017-05-16</v>
      </c>
      <c r="K773" t="s">
        <v>40</v>
      </c>
      <c r="L773">
        <v>2.3068376100000001</v>
      </c>
      <c r="M773">
        <v>772</v>
      </c>
      <c r="N773" s="1">
        <v>8.4599999999999995E-2</v>
      </c>
      <c r="O773" s="1">
        <v>0.84099999999999997</v>
      </c>
      <c r="P773" s="1">
        <v>-0.3201</v>
      </c>
      <c r="Q773" s="1">
        <v>3.1600000000000003E-2</v>
      </c>
      <c r="R773" s="1">
        <v>7.1599999999999997E-2</v>
      </c>
      <c r="S773" s="1">
        <v>3.1600000000000003E-2</v>
      </c>
      <c r="T773" s="1">
        <v>4.36E-2</v>
      </c>
      <c r="U773" s="1">
        <v>0.65439999999999998</v>
      </c>
    </row>
    <row r="774" spans="1:21" x14ac:dyDescent="0.25">
      <c r="A774" t="s">
        <v>1700</v>
      </c>
      <c r="B774" t="s">
        <v>1701</v>
      </c>
      <c r="C774" t="s">
        <v>23</v>
      </c>
      <c r="D774" t="s">
        <v>24</v>
      </c>
      <c r="E774" t="s">
        <v>494</v>
      </c>
      <c r="F774" t="str">
        <f t="shared" si="14"/>
        <v>2018-05-20</v>
      </c>
      <c r="G774">
        <v>68.19</v>
      </c>
      <c r="H774" t="str">
        <f>"2017-12-19"</f>
        <v>2017-12-19</v>
      </c>
      <c r="I774" t="s">
        <v>26</v>
      </c>
      <c r="J774" t="str">
        <f>"2017-02-08"</f>
        <v>2017-02-08</v>
      </c>
      <c r="K774" t="s">
        <v>57</v>
      </c>
      <c r="L774">
        <v>2.3047734000000002</v>
      </c>
      <c r="M774">
        <v>773</v>
      </c>
      <c r="N774" s="1">
        <v>0.37290000000000001</v>
      </c>
      <c r="O774" s="1">
        <v>0.8286</v>
      </c>
      <c r="P774" s="1">
        <v>-0.1547</v>
      </c>
      <c r="Q774" s="1">
        <v>6.7999999999999996E-3</v>
      </c>
      <c r="R774" s="1">
        <v>-2.5600000000000001E-2</v>
      </c>
      <c r="S774" s="1">
        <v>-7.9600000000000004E-2</v>
      </c>
      <c r="T774" s="1">
        <v>-7.9100000000000004E-2</v>
      </c>
      <c r="U774" s="1">
        <v>0.38990000000000002</v>
      </c>
    </row>
    <row r="775" spans="1:21" x14ac:dyDescent="0.25">
      <c r="A775" t="s">
        <v>1702</v>
      </c>
      <c r="B775" t="s">
        <v>1703</v>
      </c>
      <c r="C775" t="s">
        <v>43</v>
      </c>
      <c r="D775" t="s">
        <v>374</v>
      </c>
      <c r="E775" t="s">
        <v>375</v>
      </c>
      <c r="F775" t="str">
        <f t="shared" si="14"/>
        <v>2018-05-20</v>
      </c>
      <c r="G775">
        <v>29.19</v>
      </c>
      <c r="H775" t="str">
        <f>"2016-11-10"</f>
        <v>2016-11-10</v>
      </c>
      <c r="I775" t="s">
        <v>26</v>
      </c>
      <c r="J775" t="str">
        <f>"2016-10-23"</f>
        <v>2016-10-23</v>
      </c>
      <c r="K775" t="s">
        <v>40</v>
      </c>
      <c r="L775">
        <v>2.3025497499999998</v>
      </c>
      <c r="M775">
        <v>774</v>
      </c>
      <c r="N775" s="1">
        <v>0.51090000000000002</v>
      </c>
      <c r="O775" s="1">
        <v>0.81530000000000002</v>
      </c>
      <c r="P775" s="1">
        <v>-0.183</v>
      </c>
      <c r="Q775" s="1">
        <v>1.6400000000000001E-2</v>
      </c>
      <c r="R775" s="1">
        <v>6.1499999999999999E-2</v>
      </c>
      <c r="S775" s="1">
        <v>-3.85E-2</v>
      </c>
      <c r="T775" s="1">
        <v>3.44E-2</v>
      </c>
      <c r="U775" s="1">
        <v>0.37169999999999997</v>
      </c>
    </row>
    <row r="776" spans="1:21" x14ac:dyDescent="0.25">
      <c r="A776" t="s">
        <v>1704</v>
      </c>
      <c r="B776" t="s">
        <v>1705</v>
      </c>
      <c r="C776" t="s">
        <v>37</v>
      </c>
      <c r="D776" t="s">
        <v>66</v>
      </c>
      <c r="E776" t="s">
        <v>94</v>
      </c>
      <c r="F776" t="str">
        <f t="shared" si="14"/>
        <v>2018-05-20</v>
      </c>
      <c r="G776">
        <v>90.2</v>
      </c>
      <c r="H776" t="str">
        <f>"2016-11-28"</f>
        <v>2016-11-28</v>
      </c>
      <c r="I776" t="s">
        <v>26</v>
      </c>
      <c r="J776" t="str">
        <f>"2016-11-22"</f>
        <v>2016-11-22</v>
      </c>
      <c r="K776" t="s">
        <v>27</v>
      </c>
      <c r="L776">
        <v>2.3012692100000001</v>
      </c>
      <c r="M776">
        <v>775</v>
      </c>
      <c r="N776" s="1">
        <v>0.25359999999999999</v>
      </c>
      <c r="O776" s="1">
        <v>0.80759999999999998</v>
      </c>
      <c r="P776" s="1">
        <v>-0.18809999999999999</v>
      </c>
      <c r="Q776" s="1">
        <v>-1.47E-2</v>
      </c>
      <c r="R776" s="1">
        <v>3.1399999999999997E-2</v>
      </c>
      <c r="S776" s="1">
        <v>-0.1804</v>
      </c>
      <c r="T776" s="1">
        <v>-6.9599999999999995E-2</v>
      </c>
      <c r="U776" s="1">
        <v>0.2913</v>
      </c>
    </row>
    <row r="777" spans="1:21" x14ac:dyDescent="0.25">
      <c r="A777" t="s">
        <v>1706</v>
      </c>
      <c r="B777" t="s">
        <v>1707</v>
      </c>
      <c r="C777" t="s">
        <v>30</v>
      </c>
      <c r="D777" t="s">
        <v>31</v>
      </c>
      <c r="E777" t="s">
        <v>31</v>
      </c>
      <c r="F777" t="str">
        <f t="shared" si="14"/>
        <v>2018-05-20</v>
      </c>
      <c r="G777">
        <v>27.3</v>
      </c>
      <c r="H777" t="str">
        <f>"2016-08-17"</f>
        <v>2016-08-17</v>
      </c>
      <c r="I777" t="s">
        <v>26</v>
      </c>
      <c r="J777" t="str">
        <f>"2015-11-12"</f>
        <v>2015-11-12</v>
      </c>
      <c r="K777" t="s">
        <v>57</v>
      </c>
      <c r="L777">
        <v>2.30092593</v>
      </c>
      <c r="M777">
        <v>776</v>
      </c>
      <c r="N777" s="1">
        <v>0.58809999999999996</v>
      </c>
      <c r="O777" s="1">
        <v>0.80559999999999998</v>
      </c>
      <c r="P777" s="1">
        <v>-0.12920000000000001</v>
      </c>
      <c r="Q777" s="1">
        <v>2.63E-2</v>
      </c>
      <c r="R777" s="1">
        <v>0.04</v>
      </c>
      <c r="S777" s="1">
        <v>-6.9800000000000001E-2</v>
      </c>
      <c r="T777" s="1">
        <v>-6.6699999999999995E-2</v>
      </c>
      <c r="U777" s="1">
        <v>0.26679999999999998</v>
      </c>
    </row>
    <row r="778" spans="1:21" x14ac:dyDescent="0.25">
      <c r="A778" t="s">
        <v>1708</v>
      </c>
      <c r="B778" t="s">
        <v>1709</v>
      </c>
      <c r="C778" t="s">
        <v>37</v>
      </c>
      <c r="D778" t="s">
        <v>38</v>
      </c>
      <c r="E778" t="s">
        <v>39</v>
      </c>
      <c r="F778" t="str">
        <f t="shared" si="14"/>
        <v>2018-05-20</v>
      </c>
      <c r="G778">
        <v>3.52</v>
      </c>
      <c r="H778" t="str">
        <f>"2017-03-12"</f>
        <v>2017-03-12</v>
      </c>
      <c r="I778" t="s">
        <v>26</v>
      </c>
      <c r="J778" t="str">
        <f>"2016-10-18"</f>
        <v>2016-10-18</v>
      </c>
      <c r="K778" t="s">
        <v>57</v>
      </c>
      <c r="L778">
        <v>2.3008546999999999</v>
      </c>
      <c r="M778">
        <v>777</v>
      </c>
      <c r="N778" s="1">
        <v>-8.5000000000000006E-3</v>
      </c>
      <c r="O778" s="1">
        <v>0.80510000000000004</v>
      </c>
      <c r="P778" s="1">
        <v>-0.34210000000000002</v>
      </c>
      <c r="Q778" s="1">
        <v>-2.4899999999999999E-2</v>
      </c>
      <c r="R778" s="1">
        <v>-2.76E-2</v>
      </c>
      <c r="S778" s="1">
        <v>-0.1678</v>
      </c>
      <c r="T778" s="1">
        <v>-0.14560000000000001</v>
      </c>
      <c r="U778" s="1">
        <v>-8.3299999999999999E-2</v>
      </c>
    </row>
    <row r="779" spans="1:21" x14ac:dyDescent="0.25">
      <c r="A779" t="s">
        <v>1710</v>
      </c>
      <c r="B779" t="s">
        <v>1711</v>
      </c>
      <c r="C779" t="s">
        <v>43</v>
      </c>
      <c r="D779" t="s">
        <v>193</v>
      </c>
      <c r="E779" t="s">
        <v>239</v>
      </c>
      <c r="F779" t="str">
        <f t="shared" si="14"/>
        <v>2018-05-20</v>
      </c>
      <c r="G779">
        <v>8.83</v>
      </c>
      <c r="H779" t="str">
        <f>"2017-12-21"</f>
        <v>2017-12-21</v>
      </c>
      <c r="I779" t="s">
        <v>26</v>
      </c>
      <c r="J779" t="str">
        <f>"2017-11-22"</f>
        <v>2017-11-22</v>
      </c>
      <c r="K779" t="s">
        <v>27</v>
      </c>
      <c r="L779">
        <v>2.2997284499999999</v>
      </c>
      <c r="M779">
        <v>778</v>
      </c>
      <c r="N779" s="1">
        <v>-0.12230000000000001</v>
      </c>
      <c r="O779" s="1">
        <v>0.7984</v>
      </c>
      <c r="P779" s="1">
        <v>-0.25609999999999999</v>
      </c>
      <c r="Q779" s="1">
        <v>4.5999999999999999E-3</v>
      </c>
      <c r="R779" s="1">
        <v>1.7299999999999999E-2</v>
      </c>
      <c r="S779" s="1">
        <v>6.7999999999999996E-3</v>
      </c>
      <c r="T779" s="1">
        <v>0.14530000000000001</v>
      </c>
      <c r="U779" s="1">
        <v>-8.9999999999999993E-3</v>
      </c>
    </row>
    <row r="780" spans="1:21" x14ac:dyDescent="0.25">
      <c r="A780" t="s">
        <v>1712</v>
      </c>
      <c r="B780" t="s">
        <v>1713</v>
      </c>
      <c r="C780" t="s">
        <v>100</v>
      </c>
      <c r="D780" t="s">
        <v>1034</v>
      </c>
      <c r="E780" t="s">
        <v>1035</v>
      </c>
      <c r="F780" t="str">
        <f t="shared" si="14"/>
        <v>2018-05-20</v>
      </c>
      <c r="G780">
        <v>27.81</v>
      </c>
      <c r="H780" t="str">
        <f>"2018-05-06"</f>
        <v>2018-05-06</v>
      </c>
      <c r="I780" t="s">
        <v>26</v>
      </c>
      <c r="J780" t="str">
        <f>"2017-04-13"</f>
        <v>2017-04-13</v>
      </c>
      <c r="K780" t="s">
        <v>34</v>
      </c>
      <c r="L780">
        <v>2.2992253100000002</v>
      </c>
      <c r="M780">
        <v>779</v>
      </c>
      <c r="N780" s="1">
        <v>1.1299999999999999E-2</v>
      </c>
      <c r="O780" s="1">
        <v>0.7954</v>
      </c>
      <c r="P780" s="1">
        <v>-0.1671</v>
      </c>
      <c r="Q780" s="1">
        <v>2.0899999999999998E-2</v>
      </c>
      <c r="R780" s="1">
        <v>4.9399999999999999E-2</v>
      </c>
      <c r="S780" s="1">
        <v>0.16850000000000001</v>
      </c>
      <c r="T780" s="1">
        <v>-0.1671</v>
      </c>
      <c r="U780" s="1">
        <v>0.52800000000000002</v>
      </c>
    </row>
    <row r="781" spans="1:21" x14ac:dyDescent="0.25">
      <c r="A781" t="s">
        <v>1714</v>
      </c>
      <c r="B781" t="s">
        <v>1715</v>
      </c>
      <c r="C781" t="s">
        <v>23</v>
      </c>
      <c r="D781" t="s">
        <v>52</v>
      </c>
      <c r="E781" t="s">
        <v>53</v>
      </c>
      <c r="F781" t="str">
        <f t="shared" ref="F781:F844" si="15">"2018-05-20"</f>
        <v>2018-05-20</v>
      </c>
      <c r="G781">
        <v>21.38</v>
      </c>
      <c r="H781" t="str">
        <f>"2017-11-30"</f>
        <v>2017-11-30</v>
      </c>
      <c r="I781" t="s">
        <v>26</v>
      </c>
      <c r="J781" t="str">
        <f>"2017-09-03"</f>
        <v>2017-09-03</v>
      </c>
      <c r="K781" t="s">
        <v>40</v>
      </c>
      <c r="L781">
        <v>2.2981868900000002</v>
      </c>
      <c r="M781">
        <v>780</v>
      </c>
      <c r="N781" s="1">
        <v>0.12529999999999999</v>
      </c>
      <c r="O781" s="1">
        <v>0.78910000000000002</v>
      </c>
      <c r="P781" s="1">
        <v>-0.1118</v>
      </c>
      <c r="Q781" s="1">
        <v>6.0999999999999999E-2</v>
      </c>
      <c r="R781" s="1">
        <v>0.13059999999999999</v>
      </c>
      <c r="S781" s="1">
        <v>1.9599999999999999E-2</v>
      </c>
      <c r="T781" s="1">
        <v>-8.3000000000000001E-3</v>
      </c>
      <c r="U781" s="1">
        <v>0.38379999999999997</v>
      </c>
    </row>
    <row r="782" spans="1:21" x14ac:dyDescent="0.25">
      <c r="A782" t="s">
        <v>1716</v>
      </c>
      <c r="B782" t="s">
        <v>1717</v>
      </c>
      <c r="C782" t="s">
        <v>37</v>
      </c>
      <c r="D782" t="s">
        <v>66</v>
      </c>
      <c r="E782" t="s">
        <v>67</v>
      </c>
      <c r="F782" t="str">
        <f t="shared" si="15"/>
        <v>2018-05-20</v>
      </c>
      <c r="G782">
        <v>4.5250000000000004</v>
      </c>
      <c r="H782" t="str">
        <f>"2017-03-02"</f>
        <v>2017-03-02</v>
      </c>
      <c r="I782" t="s">
        <v>26</v>
      </c>
      <c r="J782" t="str">
        <f>"2016-12-11"</f>
        <v>2016-12-11</v>
      </c>
      <c r="K782" t="s">
        <v>27</v>
      </c>
      <c r="L782">
        <v>2.2957516299999998</v>
      </c>
      <c r="M782">
        <v>781</v>
      </c>
      <c r="N782" s="1">
        <v>0.223</v>
      </c>
      <c r="O782" s="1">
        <v>0.77449999999999997</v>
      </c>
      <c r="P782" s="1">
        <v>-0.22650000000000001</v>
      </c>
      <c r="Q782" s="1">
        <v>-2.69E-2</v>
      </c>
      <c r="R782" s="1">
        <v>5.5999999999999999E-3</v>
      </c>
      <c r="S782" s="1">
        <v>5.5999999999999999E-3</v>
      </c>
      <c r="T782" s="1">
        <v>1.6899999999999998E-2</v>
      </c>
      <c r="U782" s="1">
        <v>-0.11269999999999999</v>
      </c>
    </row>
    <row r="783" spans="1:21" x14ac:dyDescent="0.25">
      <c r="A783" t="s">
        <v>1718</v>
      </c>
      <c r="B783" t="s">
        <v>1719</v>
      </c>
      <c r="C783" t="s">
        <v>43</v>
      </c>
      <c r="D783" t="s">
        <v>374</v>
      </c>
      <c r="E783" t="s">
        <v>375</v>
      </c>
      <c r="F783" t="str">
        <f t="shared" si="15"/>
        <v>2018-05-20</v>
      </c>
      <c r="G783">
        <v>50.77</v>
      </c>
      <c r="H783" t="str">
        <f>"2016-11-13"</f>
        <v>2016-11-13</v>
      </c>
      <c r="I783" t="s">
        <v>26</v>
      </c>
      <c r="J783" t="str">
        <f>"2016-10-16"</f>
        <v>2016-10-16</v>
      </c>
      <c r="K783" t="s">
        <v>40</v>
      </c>
      <c r="L783">
        <v>2.2951400999999998</v>
      </c>
      <c r="M783">
        <v>782</v>
      </c>
      <c r="N783" s="1">
        <v>0.30780000000000002</v>
      </c>
      <c r="O783" s="1">
        <v>0.77080000000000004</v>
      </c>
      <c r="P783" s="1">
        <v>-0.1414</v>
      </c>
      <c r="Q783" s="1">
        <v>9.7000000000000003E-3</v>
      </c>
      <c r="R783" s="1">
        <v>1.7399999999999999E-2</v>
      </c>
      <c r="S783" s="1">
        <v>-2.3800000000000002E-2</v>
      </c>
      <c r="T783" s="1">
        <v>1E-3</v>
      </c>
      <c r="U783" s="1">
        <v>0.1769</v>
      </c>
    </row>
    <row r="784" spans="1:21" x14ac:dyDescent="0.25">
      <c r="A784" t="s">
        <v>1720</v>
      </c>
      <c r="B784" t="s">
        <v>1721</v>
      </c>
      <c r="C784" t="s">
        <v>43</v>
      </c>
      <c r="D784" t="s">
        <v>44</v>
      </c>
      <c r="E784" t="s">
        <v>599</v>
      </c>
      <c r="F784" t="str">
        <f t="shared" si="15"/>
        <v>2018-05-20</v>
      </c>
      <c r="G784">
        <v>31.25</v>
      </c>
      <c r="H784" t="str">
        <f>"2017-07-02"</f>
        <v>2017-07-02</v>
      </c>
      <c r="I784" t="s">
        <v>26</v>
      </c>
      <c r="J784" t="str">
        <f>"2017-03-16"</f>
        <v>2017-03-16</v>
      </c>
      <c r="K784" t="s">
        <v>40</v>
      </c>
      <c r="L784">
        <v>2.2950897100000001</v>
      </c>
      <c r="M784">
        <v>783</v>
      </c>
      <c r="N784" s="1">
        <v>0.24010000000000001</v>
      </c>
      <c r="O784" s="1">
        <v>0.77049999999999996</v>
      </c>
      <c r="P784" s="1">
        <v>-0.1925</v>
      </c>
      <c r="Q784" s="1">
        <v>-9.4999999999999998E-3</v>
      </c>
      <c r="R784" s="1">
        <v>2.46E-2</v>
      </c>
      <c r="S784" s="1">
        <v>-1.26E-2</v>
      </c>
      <c r="T784" s="1">
        <v>-0.121</v>
      </c>
      <c r="U784" s="1">
        <v>0.61499999999999999</v>
      </c>
    </row>
    <row r="785" spans="1:21" x14ac:dyDescent="0.25">
      <c r="A785" t="s">
        <v>1722</v>
      </c>
      <c r="B785" t="s">
        <v>1723</v>
      </c>
      <c r="C785" t="s">
        <v>30</v>
      </c>
      <c r="D785" t="s">
        <v>48</v>
      </c>
      <c r="E785" t="s">
        <v>49</v>
      </c>
      <c r="F785" t="str">
        <f t="shared" si="15"/>
        <v>2018-05-20</v>
      </c>
      <c r="G785">
        <v>13.25</v>
      </c>
      <c r="H785" t="str">
        <f>"2017-09-14"</f>
        <v>2017-09-14</v>
      </c>
      <c r="I785" t="s">
        <v>26</v>
      </c>
      <c r="J785" t="str">
        <f>"2017-09-03"</f>
        <v>2017-09-03</v>
      </c>
      <c r="K785" t="s">
        <v>27</v>
      </c>
      <c r="L785">
        <v>2.29057018</v>
      </c>
      <c r="M785">
        <v>784</v>
      </c>
      <c r="N785" s="1">
        <v>0.41710000000000003</v>
      </c>
      <c r="O785" s="1">
        <v>0.74339999999999995</v>
      </c>
      <c r="P785" s="1">
        <v>-0.1137</v>
      </c>
      <c r="Q785" s="1">
        <v>-7.4999999999999997E-3</v>
      </c>
      <c r="R785" s="1">
        <v>3.5200000000000002E-2</v>
      </c>
      <c r="S785" s="1">
        <v>-7.4999999999999997E-3</v>
      </c>
      <c r="T785" s="1">
        <v>7.6E-3</v>
      </c>
      <c r="U785" s="1">
        <v>0.55879999999999996</v>
      </c>
    </row>
    <row r="786" spans="1:21" x14ac:dyDescent="0.25">
      <c r="A786" t="s">
        <v>1724</v>
      </c>
      <c r="B786" t="s">
        <v>1725</v>
      </c>
      <c r="C786" t="s">
        <v>30</v>
      </c>
      <c r="D786" t="s">
        <v>31</v>
      </c>
      <c r="E786" t="s">
        <v>31</v>
      </c>
      <c r="F786" t="str">
        <f t="shared" si="15"/>
        <v>2018-05-20</v>
      </c>
      <c r="G786">
        <v>23.6</v>
      </c>
      <c r="H786" t="str">
        <f>"2016-10-24"</f>
        <v>2016-10-24</v>
      </c>
      <c r="I786" t="s">
        <v>26</v>
      </c>
      <c r="J786" t="str">
        <f>"2016-09-07"</f>
        <v>2016-09-07</v>
      </c>
      <c r="K786" t="s">
        <v>27</v>
      </c>
      <c r="L786">
        <v>2.2894285000000001</v>
      </c>
      <c r="M786">
        <v>785</v>
      </c>
      <c r="N786" s="1">
        <v>0.52849999999999997</v>
      </c>
      <c r="O786" s="1">
        <v>0.73660000000000003</v>
      </c>
      <c r="P786" s="1">
        <v>-0.1094</v>
      </c>
      <c r="Q786" s="1">
        <v>5.1000000000000004E-3</v>
      </c>
      <c r="R786" s="1">
        <v>2.4299999999999999E-2</v>
      </c>
      <c r="S786" s="1">
        <v>-5.0299999999999997E-2</v>
      </c>
      <c r="T786" s="1">
        <v>-4.2599999999999999E-2</v>
      </c>
      <c r="U786" s="1">
        <v>0.2757</v>
      </c>
    </row>
    <row r="787" spans="1:21" x14ac:dyDescent="0.25">
      <c r="A787" t="s">
        <v>1726</v>
      </c>
      <c r="B787" t="s">
        <v>1727</v>
      </c>
      <c r="C787" t="s">
        <v>109</v>
      </c>
      <c r="D787" t="s">
        <v>110</v>
      </c>
      <c r="E787" t="s">
        <v>111</v>
      </c>
      <c r="F787" t="str">
        <f t="shared" si="15"/>
        <v>2018-05-20</v>
      </c>
      <c r="G787">
        <v>3.2</v>
      </c>
      <c r="H787" t="str">
        <f>"2017-06-04"</f>
        <v>2017-06-04</v>
      </c>
      <c r="I787" t="s">
        <v>26</v>
      </c>
      <c r="J787" t="str">
        <f>"2017-04-19"</f>
        <v>2017-04-19</v>
      </c>
      <c r="K787" t="s">
        <v>27</v>
      </c>
      <c r="L787">
        <v>2.2882882900000001</v>
      </c>
      <c r="M787">
        <v>786</v>
      </c>
      <c r="N787" s="1">
        <v>-0.16880000000000001</v>
      </c>
      <c r="O787" s="1">
        <v>0.72970000000000002</v>
      </c>
      <c r="P787" s="1">
        <v>-0.61209999999999998</v>
      </c>
      <c r="Q787" s="1">
        <v>1.5900000000000001E-2</v>
      </c>
      <c r="R787" s="1">
        <v>-3.0300000000000001E-2</v>
      </c>
      <c r="S787" s="1">
        <v>8.4699999999999998E-2</v>
      </c>
      <c r="T787" s="1">
        <v>-0.2099</v>
      </c>
      <c r="U787" s="1">
        <v>-7.2499999999999995E-2</v>
      </c>
    </row>
    <row r="788" spans="1:21" x14ac:dyDescent="0.25">
      <c r="A788" t="s">
        <v>1728</v>
      </c>
      <c r="B788" t="s">
        <v>1729</v>
      </c>
      <c r="C788" t="s">
        <v>37</v>
      </c>
      <c r="D788" t="s">
        <v>38</v>
      </c>
      <c r="E788" t="s">
        <v>97</v>
      </c>
      <c r="F788" t="str">
        <f t="shared" si="15"/>
        <v>2018-05-20</v>
      </c>
      <c r="G788">
        <v>15.1</v>
      </c>
      <c r="H788" t="str">
        <f>"2018-01-25"</f>
        <v>2018-01-25</v>
      </c>
      <c r="I788" t="s">
        <v>26</v>
      </c>
      <c r="J788" t="str">
        <f>"2018-01-04"</f>
        <v>2018-01-04</v>
      </c>
      <c r="K788" t="s">
        <v>27</v>
      </c>
      <c r="L788">
        <v>2.28761905</v>
      </c>
      <c r="M788">
        <v>787</v>
      </c>
      <c r="N788" s="1">
        <v>-0.1065</v>
      </c>
      <c r="O788" s="1">
        <v>0.72570000000000001</v>
      </c>
      <c r="P788" s="1">
        <v>-0.15640000000000001</v>
      </c>
      <c r="Q788" s="1">
        <v>-6.6E-3</v>
      </c>
      <c r="R788" s="1">
        <v>-3.3E-3</v>
      </c>
      <c r="S788" s="1">
        <v>0.1062</v>
      </c>
      <c r="T788" s="1">
        <v>2.3699999999999999E-2</v>
      </c>
      <c r="U788" s="1">
        <v>-0.13469999999999999</v>
      </c>
    </row>
    <row r="789" spans="1:21" x14ac:dyDescent="0.25">
      <c r="A789" t="s">
        <v>1730</v>
      </c>
      <c r="B789" t="s">
        <v>1731</v>
      </c>
      <c r="C789" t="s">
        <v>23</v>
      </c>
      <c r="D789" t="s">
        <v>24</v>
      </c>
      <c r="E789" t="s">
        <v>307</v>
      </c>
      <c r="F789" t="str">
        <f t="shared" si="15"/>
        <v>2018-05-20</v>
      </c>
      <c r="G789">
        <v>59.92</v>
      </c>
      <c r="H789" t="str">
        <f>"2017-09-06"</f>
        <v>2017-09-06</v>
      </c>
      <c r="I789" t="s">
        <v>26</v>
      </c>
      <c r="J789" t="str">
        <f>"2017-05-16"</f>
        <v>2017-05-16</v>
      </c>
      <c r="K789" t="s">
        <v>40</v>
      </c>
      <c r="L789">
        <v>2.28525183</v>
      </c>
      <c r="M789">
        <v>788</v>
      </c>
      <c r="N789" s="1">
        <v>0.34649999999999997</v>
      </c>
      <c r="O789" s="1">
        <v>0.71150000000000002</v>
      </c>
      <c r="P789" s="1">
        <v>-0.16159999999999999</v>
      </c>
      <c r="Q789" s="1">
        <v>2.01E-2</v>
      </c>
      <c r="R789" s="1">
        <v>5.0700000000000002E-2</v>
      </c>
      <c r="S789" s="1">
        <v>3.3E-3</v>
      </c>
      <c r="T789" s="1">
        <v>-9.4700000000000006E-2</v>
      </c>
      <c r="U789" s="1">
        <v>0.65110000000000001</v>
      </c>
    </row>
    <row r="790" spans="1:21" x14ac:dyDescent="0.25">
      <c r="A790" t="s">
        <v>1732</v>
      </c>
      <c r="B790" t="s">
        <v>1733</v>
      </c>
      <c r="C790" t="s">
        <v>23</v>
      </c>
      <c r="D790" t="s">
        <v>52</v>
      </c>
      <c r="E790" t="s">
        <v>190</v>
      </c>
      <c r="F790" t="str">
        <f t="shared" si="15"/>
        <v>2018-05-20</v>
      </c>
      <c r="G790">
        <v>9.11</v>
      </c>
      <c r="H790" t="str">
        <f>"2017-12-07"</f>
        <v>2017-12-07</v>
      </c>
      <c r="I790" t="s">
        <v>26</v>
      </c>
      <c r="J790" t="str">
        <f>"2017-11-29"</f>
        <v>2017-11-29</v>
      </c>
      <c r="K790" t="s">
        <v>27</v>
      </c>
      <c r="L790">
        <v>2.2838006200000001</v>
      </c>
      <c r="M790">
        <v>789</v>
      </c>
      <c r="N790" s="1">
        <v>-0.1822</v>
      </c>
      <c r="O790" s="1">
        <v>0.70279999999999998</v>
      </c>
      <c r="P790" s="1">
        <v>-0.18809999999999999</v>
      </c>
      <c r="Q790" s="1">
        <v>-6.4999999999999997E-3</v>
      </c>
      <c r="R790" s="1">
        <v>5.5599999999999997E-2</v>
      </c>
      <c r="S790" s="1">
        <v>0.24279999999999999</v>
      </c>
      <c r="T790" s="1">
        <v>0.2082</v>
      </c>
      <c r="U790" s="1">
        <v>0.14879999999999999</v>
      </c>
    </row>
    <row r="791" spans="1:21" x14ac:dyDescent="0.25">
      <c r="A791" t="s">
        <v>1734</v>
      </c>
      <c r="B791" t="s">
        <v>1735</v>
      </c>
      <c r="C791" t="s">
        <v>30</v>
      </c>
      <c r="D791" t="s">
        <v>299</v>
      </c>
      <c r="E791" t="s">
        <v>1087</v>
      </c>
      <c r="F791" t="str">
        <f t="shared" si="15"/>
        <v>2018-05-20</v>
      </c>
      <c r="G791">
        <v>15.38</v>
      </c>
      <c r="H791" t="str">
        <f>"2015-11-22"</f>
        <v>2015-11-22</v>
      </c>
      <c r="I791" t="s">
        <v>26</v>
      </c>
      <c r="J791" t="str">
        <f>"2015-10-01"</f>
        <v>2015-10-01</v>
      </c>
      <c r="K791" t="s">
        <v>27</v>
      </c>
      <c r="L791">
        <v>2.2816849800000001</v>
      </c>
      <c r="M791">
        <v>790</v>
      </c>
      <c r="N791" s="1">
        <v>0.48170000000000002</v>
      </c>
      <c r="O791" s="1">
        <v>0.69010000000000005</v>
      </c>
      <c r="P791" s="1">
        <v>-0.1545</v>
      </c>
      <c r="Q791" s="1">
        <v>1.12E-2</v>
      </c>
      <c r="R791" s="1">
        <v>6.9999999999999999E-4</v>
      </c>
      <c r="S791" s="1">
        <v>1.7899999999999999E-2</v>
      </c>
      <c r="T791" s="1">
        <v>6.0699999999999997E-2</v>
      </c>
      <c r="U791" s="1">
        <v>4.48E-2</v>
      </c>
    </row>
    <row r="792" spans="1:21" x14ac:dyDescent="0.25">
      <c r="A792" t="s">
        <v>1736</v>
      </c>
      <c r="B792" t="s">
        <v>1737</v>
      </c>
      <c r="C792" t="s">
        <v>43</v>
      </c>
      <c r="D792" t="s">
        <v>44</v>
      </c>
      <c r="E792" t="s">
        <v>246</v>
      </c>
      <c r="F792" t="str">
        <f t="shared" si="15"/>
        <v>2018-05-20</v>
      </c>
      <c r="G792">
        <v>138.21</v>
      </c>
      <c r="H792" t="str">
        <f>"2017-06-08"</f>
        <v>2017-06-08</v>
      </c>
      <c r="I792" t="s">
        <v>26</v>
      </c>
      <c r="J792" t="str">
        <f>"2017-05-24"</f>
        <v>2017-05-24</v>
      </c>
      <c r="K792" t="s">
        <v>27</v>
      </c>
      <c r="L792">
        <v>2.2806408399999998</v>
      </c>
      <c r="M792">
        <v>791</v>
      </c>
      <c r="N792" s="1">
        <v>0.53810000000000002</v>
      </c>
      <c r="O792" s="1">
        <v>0.68379999999999996</v>
      </c>
      <c r="P792" s="1">
        <v>-0.19289999999999999</v>
      </c>
      <c r="Q792" s="1">
        <v>1.14E-2</v>
      </c>
      <c r="R792" s="1">
        <v>4.0000000000000002E-4</v>
      </c>
      <c r="S792" s="1">
        <v>-7.3200000000000001E-2</v>
      </c>
      <c r="T792" s="1">
        <v>-0.15840000000000001</v>
      </c>
      <c r="U792" s="1">
        <v>0.57769999999999999</v>
      </c>
    </row>
    <row r="793" spans="1:21" x14ac:dyDescent="0.25">
      <c r="A793" t="s">
        <v>1738</v>
      </c>
      <c r="B793" t="s">
        <v>1739</v>
      </c>
      <c r="C793" t="s">
        <v>37</v>
      </c>
      <c r="D793" t="s">
        <v>38</v>
      </c>
      <c r="E793" t="s">
        <v>39</v>
      </c>
      <c r="F793" t="str">
        <f t="shared" si="15"/>
        <v>2018-05-20</v>
      </c>
      <c r="G793">
        <v>23.1</v>
      </c>
      <c r="H793" t="str">
        <f>"2017-09-17"</f>
        <v>2017-09-17</v>
      </c>
      <c r="I793" t="s">
        <v>26</v>
      </c>
      <c r="J793" t="str">
        <f>"2017-09-10"</f>
        <v>2017-09-10</v>
      </c>
      <c r="K793" t="s">
        <v>27</v>
      </c>
      <c r="L793">
        <v>2.27898551</v>
      </c>
      <c r="M793">
        <v>792</v>
      </c>
      <c r="N793" s="1">
        <v>6.4999999999999997E-3</v>
      </c>
      <c r="O793" s="1">
        <v>0.67390000000000005</v>
      </c>
      <c r="P793" s="1">
        <v>-0.19370000000000001</v>
      </c>
      <c r="Q793" s="1">
        <v>-2.53E-2</v>
      </c>
      <c r="R793" s="1">
        <v>-6.8500000000000005E-2</v>
      </c>
      <c r="S793" s="1">
        <v>-1.0699999999999999E-2</v>
      </c>
      <c r="T793" s="1">
        <v>-6.8500000000000005E-2</v>
      </c>
      <c r="U793" s="1">
        <v>0.50980000000000003</v>
      </c>
    </row>
    <row r="794" spans="1:21" x14ac:dyDescent="0.25">
      <c r="A794" t="s">
        <v>1740</v>
      </c>
      <c r="B794" t="s">
        <v>1741</v>
      </c>
      <c r="C794" t="s">
        <v>37</v>
      </c>
      <c r="D794" t="s">
        <v>66</v>
      </c>
      <c r="E794" t="s">
        <v>72</v>
      </c>
      <c r="F794" t="str">
        <f t="shared" si="15"/>
        <v>2018-05-20</v>
      </c>
      <c r="G794">
        <v>27</v>
      </c>
      <c r="H794" t="str">
        <f>"2017-05-16"</f>
        <v>2017-05-16</v>
      </c>
      <c r="I794" t="s">
        <v>26</v>
      </c>
      <c r="J794" t="str">
        <f>"2016-10-30"</f>
        <v>2016-10-30</v>
      </c>
      <c r="K794" t="s">
        <v>40</v>
      </c>
      <c r="L794">
        <v>2.27863777</v>
      </c>
      <c r="M794">
        <v>793</v>
      </c>
      <c r="N794" s="1">
        <v>0.1842</v>
      </c>
      <c r="O794" s="1">
        <v>0.67179999999999995</v>
      </c>
      <c r="P794" s="1">
        <v>-0.19639999999999999</v>
      </c>
      <c r="Q794" s="1">
        <v>9.2999999999999992E-3</v>
      </c>
      <c r="R794" s="1">
        <v>1.3100000000000001E-2</v>
      </c>
      <c r="S794" s="1">
        <v>-8.9399999999999993E-2</v>
      </c>
      <c r="T794" s="1">
        <v>4.4499999999999998E-2</v>
      </c>
      <c r="U794" s="1">
        <v>0.1368</v>
      </c>
    </row>
    <row r="795" spans="1:21" x14ac:dyDescent="0.25">
      <c r="A795" t="s">
        <v>1742</v>
      </c>
      <c r="B795" t="s">
        <v>1743</v>
      </c>
      <c r="C795" t="s">
        <v>23</v>
      </c>
      <c r="D795" t="s">
        <v>52</v>
      </c>
      <c r="E795" t="s">
        <v>56</v>
      </c>
      <c r="F795" t="str">
        <f t="shared" si="15"/>
        <v>2018-05-20</v>
      </c>
      <c r="G795">
        <v>35.35</v>
      </c>
      <c r="H795" t="str">
        <f>"2016-07-19"</f>
        <v>2016-07-19</v>
      </c>
      <c r="I795" t="s">
        <v>26</v>
      </c>
      <c r="J795" t="str">
        <f>"2016-05-10"</f>
        <v>2016-05-10</v>
      </c>
      <c r="K795" t="s">
        <v>57</v>
      </c>
      <c r="L795">
        <v>2.2758270899999999</v>
      </c>
      <c r="M795">
        <v>794</v>
      </c>
      <c r="N795" s="1">
        <v>0.4335</v>
      </c>
      <c r="O795" s="1">
        <v>0.65500000000000003</v>
      </c>
      <c r="P795" s="1">
        <v>-0.1482</v>
      </c>
      <c r="Q795" s="1">
        <v>2.8E-3</v>
      </c>
      <c r="R795" s="1">
        <v>2.8E-3</v>
      </c>
      <c r="S795" s="1">
        <v>-3.2800000000000003E-2</v>
      </c>
      <c r="T795" s="1">
        <v>-2.4799999999999999E-2</v>
      </c>
      <c r="U795" s="1">
        <v>0.21060000000000001</v>
      </c>
    </row>
    <row r="796" spans="1:21" x14ac:dyDescent="0.25">
      <c r="A796" t="s">
        <v>1744</v>
      </c>
      <c r="B796" t="s">
        <v>1745</v>
      </c>
      <c r="C796" t="s">
        <v>43</v>
      </c>
      <c r="D796" t="s">
        <v>1342</v>
      </c>
      <c r="E796" t="s">
        <v>1746</v>
      </c>
      <c r="F796" t="str">
        <f t="shared" si="15"/>
        <v>2018-05-20</v>
      </c>
      <c r="G796">
        <v>18.8</v>
      </c>
      <c r="H796" t="str">
        <f>"2016-11-28"</f>
        <v>2016-11-28</v>
      </c>
      <c r="I796" t="s">
        <v>26</v>
      </c>
      <c r="J796" t="str">
        <f>"2016-11-17"</f>
        <v>2016-11-17</v>
      </c>
      <c r="K796" t="s">
        <v>27</v>
      </c>
      <c r="L796">
        <v>2.27365357</v>
      </c>
      <c r="M796">
        <v>795</v>
      </c>
      <c r="N796" s="1">
        <v>0.25750000000000001</v>
      </c>
      <c r="O796" s="1">
        <v>0.64190000000000003</v>
      </c>
      <c r="P796" s="1">
        <v>-0.22789999999999999</v>
      </c>
      <c r="Q796" s="1">
        <v>2.4500000000000001E-2</v>
      </c>
      <c r="R796" s="1">
        <v>-0.1474</v>
      </c>
      <c r="S796" s="1">
        <v>-0.2215</v>
      </c>
      <c r="T796" s="1">
        <v>-5.5300000000000002E-2</v>
      </c>
      <c r="U796" s="1">
        <v>0.12239999999999999</v>
      </c>
    </row>
    <row r="797" spans="1:21" x14ac:dyDescent="0.25">
      <c r="A797" t="s">
        <v>1747</v>
      </c>
      <c r="B797" t="s">
        <v>1748</v>
      </c>
      <c r="C797" t="s">
        <v>37</v>
      </c>
      <c r="D797" t="s">
        <v>38</v>
      </c>
      <c r="E797" t="s">
        <v>97</v>
      </c>
      <c r="F797" t="str">
        <f t="shared" si="15"/>
        <v>2018-05-20</v>
      </c>
      <c r="G797">
        <v>40.380000000000003</v>
      </c>
      <c r="H797" t="str">
        <f>"2016-12-15"</f>
        <v>2016-12-15</v>
      </c>
      <c r="I797" t="s">
        <v>26</v>
      </c>
      <c r="J797" t="str">
        <f>"2016-08-23"</f>
        <v>2016-08-23</v>
      </c>
      <c r="K797" t="s">
        <v>27</v>
      </c>
      <c r="L797">
        <v>2.2735772399999998</v>
      </c>
      <c r="M797">
        <v>796</v>
      </c>
      <c r="N797" s="1">
        <v>0.51070000000000004</v>
      </c>
      <c r="O797" s="1">
        <v>0.64149999999999996</v>
      </c>
      <c r="P797" s="1">
        <v>-0.1479</v>
      </c>
      <c r="Q797" s="1">
        <v>4.0000000000000001E-3</v>
      </c>
      <c r="R797" s="1">
        <v>1.7899999999999999E-2</v>
      </c>
      <c r="S797" s="1">
        <v>-4.2700000000000002E-2</v>
      </c>
      <c r="T797" s="1">
        <v>-5.9200000000000003E-2</v>
      </c>
      <c r="U797" s="1">
        <v>0.1817</v>
      </c>
    </row>
    <row r="798" spans="1:21" x14ac:dyDescent="0.25">
      <c r="A798" t="s">
        <v>1749</v>
      </c>
      <c r="B798" t="s">
        <v>1750</v>
      </c>
      <c r="C798" t="s">
        <v>43</v>
      </c>
      <c r="D798" t="s">
        <v>193</v>
      </c>
      <c r="E798" t="s">
        <v>194</v>
      </c>
      <c r="F798" t="str">
        <f t="shared" si="15"/>
        <v>2018-05-20</v>
      </c>
      <c r="G798">
        <v>5</v>
      </c>
      <c r="H798" t="str">
        <f>"2016-11-29"</f>
        <v>2016-11-29</v>
      </c>
      <c r="I798" t="s">
        <v>26</v>
      </c>
      <c r="J798" t="str">
        <f>"2016-11-13"</f>
        <v>2016-11-13</v>
      </c>
      <c r="K798" t="s">
        <v>27</v>
      </c>
      <c r="L798">
        <v>2.2732240400000001</v>
      </c>
      <c r="M798">
        <v>797</v>
      </c>
      <c r="N798" s="1">
        <v>0.1236</v>
      </c>
      <c r="O798" s="1">
        <v>0.63929999999999998</v>
      </c>
      <c r="P798" s="1">
        <v>-0.115</v>
      </c>
      <c r="Q798" s="1">
        <v>2.5600000000000001E-2</v>
      </c>
      <c r="R798" s="1">
        <v>2.0400000000000001E-2</v>
      </c>
      <c r="S798" s="1">
        <v>8.6999999999999994E-2</v>
      </c>
      <c r="T798" s="1">
        <v>7.5300000000000006E-2</v>
      </c>
      <c r="U798" s="1">
        <v>0.1111</v>
      </c>
    </row>
    <row r="799" spans="1:21" x14ac:dyDescent="0.25">
      <c r="A799" t="s">
        <v>1751</v>
      </c>
      <c r="B799" t="s">
        <v>1752</v>
      </c>
      <c r="C799" t="s">
        <v>43</v>
      </c>
      <c r="D799" t="s">
        <v>193</v>
      </c>
      <c r="E799" t="s">
        <v>239</v>
      </c>
      <c r="F799" t="str">
        <f t="shared" si="15"/>
        <v>2018-05-20</v>
      </c>
      <c r="G799">
        <v>29.06</v>
      </c>
      <c r="H799" t="str">
        <f>"2016-11-16"</f>
        <v>2016-11-16</v>
      </c>
      <c r="I799" t="s">
        <v>26</v>
      </c>
      <c r="J799" t="str">
        <f>"2016-11-14"</f>
        <v>2016-11-14</v>
      </c>
      <c r="K799" t="s">
        <v>27</v>
      </c>
      <c r="L799">
        <v>2.2717372199999999</v>
      </c>
      <c r="M799">
        <v>798</v>
      </c>
      <c r="N799" s="1">
        <v>0.24560000000000001</v>
      </c>
      <c r="O799" s="1">
        <v>0.63039999999999996</v>
      </c>
      <c r="P799" s="1">
        <v>-0.13669999999999999</v>
      </c>
      <c r="Q799" s="1">
        <v>2.9999999999999997E-4</v>
      </c>
      <c r="R799" s="1">
        <v>-1.09E-2</v>
      </c>
      <c r="S799" s="1">
        <v>1.18E-2</v>
      </c>
      <c r="T799" s="1">
        <v>-8.2699999999999996E-2</v>
      </c>
      <c r="U799" s="1">
        <v>8.5699999999999998E-2</v>
      </c>
    </row>
    <row r="800" spans="1:21" x14ac:dyDescent="0.25">
      <c r="A800" t="s">
        <v>1753</v>
      </c>
      <c r="B800" t="s">
        <v>1754</v>
      </c>
      <c r="C800" t="s">
        <v>109</v>
      </c>
      <c r="D800" t="s">
        <v>156</v>
      </c>
      <c r="E800" t="s">
        <v>277</v>
      </c>
      <c r="F800" t="str">
        <f t="shared" si="15"/>
        <v>2018-05-20</v>
      </c>
      <c r="G800">
        <v>10.16</v>
      </c>
      <c r="H800" t="str">
        <f>"2018-03-14"</f>
        <v>2018-03-14</v>
      </c>
      <c r="I800" t="s">
        <v>26</v>
      </c>
      <c r="J800" t="str">
        <f>"2018-02-26"</f>
        <v>2018-02-26</v>
      </c>
      <c r="K800" t="s">
        <v>27</v>
      </c>
      <c r="L800">
        <v>2.2709333300000001</v>
      </c>
      <c r="M800">
        <v>799</v>
      </c>
      <c r="N800" s="1">
        <v>-0.10009999999999999</v>
      </c>
      <c r="O800" s="1">
        <v>0.62560000000000004</v>
      </c>
      <c r="P800" s="1">
        <v>-0.1603</v>
      </c>
      <c r="Q800" s="1">
        <v>6.8999999999999999E-3</v>
      </c>
      <c r="R800" s="1">
        <v>2.52E-2</v>
      </c>
      <c r="S800" s="1">
        <v>-0.11269999999999999</v>
      </c>
      <c r="T800" s="1">
        <v>1E-3</v>
      </c>
      <c r="U800" s="1">
        <v>3.4599999999999999E-2</v>
      </c>
    </row>
    <row r="801" spans="1:21" x14ac:dyDescent="0.25">
      <c r="A801" t="s">
        <v>1755</v>
      </c>
      <c r="B801" t="s">
        <v>1756</v>
      </c>
      <c r="C801" t="s">
        <v>43</v>
      </c>
      <c r="D801" t="s">
        <v>44</v>
      </c>
      <c r="E801" t="s">
        <v>45</v>
      </c>
      <c r="F801" t="str">
        <f t="shared" si="15"/>
        <v>2018-05-20</v>
      </c>
      <c r="G801">
        <v>58.85</v>
      </c>
      <c r="H801" t="str">
        <f>"2017-09-11"</f>
        <v>2017-09-11</v>
      </c>
      <c r="I801" t="s">
        <v>26</v>
      </c>
      <c r="J801" t="str">
        <f>"2017-07-25"</f>
        <v>2017-07-25</v>
      </c>
      <c r="K801" t="s">
        <v>27</v>
      </c>
      <c r="L801">
        <v>2.2687214600000001</v>
      </c>
      <c r="M801">
        <v>800</v>
      </c>
      <c r="N801" s="1">
        <v>0.53859999999999997</v>
      </c>
      <c r="O801" s="1">
        <v>0.61229999999999996</v>
      </c>
      <c r="P801" s="1">
        <v>-0.13139999999999999</v>
      </c>
      <c r="Q801" s="1">
        <v>8.6E-3</v>
      </c>
      <c r="R801" s="1">
        <v>5.1799999999999999E-2</v>
      </c>
      <c r="S801" s="1">
        <v>-0.12559999999999999</v>
      </c>
      <c r="T801" s="1">
        <v>4.8099999999999997E-2</v>
      </c>
      <c r="U801" s="1">
        <v>0.59699999999999998</v>
      </c>
    </row>
    <row r="802" spans="1:21" x14ac:dyDescent="0.25">
      <c r="A802" t="s">
        <v>1757</v>
      </c>
      <c r="B802" t="s">
        <v>1758</v>
      </c>
      <c r="C802" t="s">
        <v>109</v>
      </c>
      <c r="D802" t="s">
        <v>156</v>
      </c>
      <c r="E802" t="s">
        <v>284</v>
      </c>
      <c r="F802" t="str">
        <f t="shared" si="15"/>
        <v>2018-05-20</v>
      </c>
      <c r="G802">
        <v>9.0500000000000007</v>
      </c>
      <c r="H802" t="str">
        <f>"2018-04-10"</f>
        <v>2018-04-10</v>
      </c>
      <c r="I802" t="s">
        <v>26</v>
      </c>
      <c r="J802" t="str">
        <f>"2018-03-12"</f>
        <v>2018-03-12</v>
      </c>
      <c r="K802" t="s">
        <v>27</v>
      </c>
      <c r="L802">
        <v>2.2669616499999998</v>
      </c>
      <c r="M802">
        <v>801</v>
      </c>
      <c r="N802" s="1">
        <v>-0.03</v>
      </c>
      <c r="O802" s="1">
        <v>0.6018</v>
      </c>
      <c r="P802" s="1">
        <v>-0.10929999999999999</v>
      </c>
      <c r="Q802" s="1">
        <v>1.9099999999999999E-2</v>
      </c>
      <c r="R802" s="1">
        <v>2.6100000000000002E-2</v>
      </c>
      <c r="S802" s="1">
        <v>0.13550000000000001</v>
      </c>
      <c r="T802" s="1">
        <v>0.25519999999999998</v>
      </c>
      <c r="U802" s="1">
        <v>-3.4200000000000001E-2</v>
      </c>
    </row>
    <row r="803" spans="1:21" x14ac:dyDescent="0.25">
      <c r="A803" t="s">
        <v>1759</v>
      </c>
      <c r="B803" t="s">
        <v>1760</v>
      </c>
      <c r="C803" t="s">
        <v>114</v>
      </c>
      <c r="D803" t="s">
        <v>225</v>
      </c>
      <c r="E803" t="s">
        <v>226</v>
      </c>
      <c r="F803" t="str">
        <f t="shared" si="15"/>
        <v>2018-05-20</v>
      </c>
      <c r="G803">
        <v>11.31</v>
      </c>
      <c r="H803" t="str">
        <f>"2017-12-17"</f>
        <v>2017-12-17</v>
      </c>
      <c r="I803" t="s">
        <v>26</v>
      </c>
      <c r="J803" t="str">
        <f>"2017-10-11"</f>
        <v>2017-10-11</v>
      </c>
      <c r="K803" t="s">
        <v>57</v>
      </c>
      <c r="L803">
        <v>2.2662429400000002</v>
      </c>
      <c r="M803">
        <v>802</v>
      </c>
      <c r="N803" s="1">
        <v>-9.01E-2</v>
      </c>
      <c r="O803" s="1">
        <v>0.59750000000000003</v>
      </c>
      <c r="P803" s="1">
        <v>-0.1052</v>
      </c>
      <c r="Q803" s="1">
        <v>4.4000000000000003E-3</v>
      </c>
      <c r="R803" s="1">
        <v>8.8499999999999995E-2</v>
      </c>
      <c r="S803" s="1">
        <v>1.7999999999999999E-2</v>
      </c>
      <c r="T803" s="1">
        <v>0.1056</v>
      </c>
      <c r="U803" s="1">
        <v>0.4335</v>
      </c>
    </row>
    <row r="804" spans="1:21" x14ac:dyDescent="0.25">
      <c r="A804" t="s">
        <v>1761</v>
      </c>
      <c r="B804" t="s">
        <v>1762</v>
      </c>
      <c r="C804" t="s">
        <v>37</v>
      </c>
      <c r="D804" t="s">
        <v>66</v>
      </c>
      <c r="E804" t="s">
        <v>67</v>
      </c>
      <c r="F804" t="str">
        <f t="shared" si="15"/>
        <v>2018-05-20</v>
      </c>
      <c r="G804">
        <v>54.84</v>
      </c>
      <c r="H804" t="str">
        <f>"2017-05-14"</f>
        <v>2017-05-14</v>
      </c>
      <c r="I804" t="s">
        <v>26</v>
      </c>
      <c r="J804" t="str">
        <f>"2017-05-02"</f>
        <v>2017-05-02</v>
      </c>
      <c r="K804" t="s">
        <v>27</v>
      </c>
      <c r="L804">
        <v>2.2651581099999998</v>
      </c>
      <c r="M804">
        <v>803</v>
      </c>
      <c r="N804" s="1">
        <v>0.31419999999999998</v>
      </c>
      <c r="O804" s="1">
        <v>0.59089999999999998</v>
      </c>
      <c r="P804" s="1">
        <v>-0.10639999999999999</v>
      </c>
      <c r="Q804" s="1">
        <v>7.4999999999999997E-3</v>
      </c>
      <c r="R804" s="1">
        <v>3.1399999999999997E-2</v>
      </c>
      <c r="S804" s="1">
        <v>-7.9899999999999999E-2</v>
      </c>
      <c r="T804" s="1">
        <v>5.0000000000000001E-4</v>
      </c>
      <c r="U804" s="1">
        <v>0.31419999999999998</v>
      </c>
    </row>
    <row r="805" spans="1:21" x14ac:dyDescent="0.25">
      <c r="A805" t="s">
        <v>1763</v>
      </c>
      <c r="B805" t="s">
        <v>1764</v>
      </c>
      <c r="C805" t="s">
        <v>43</v>
      </c>
      <c r="D805" t="s">
        <v>374</v>
      </c>
      <c r="E805" t="s">
        <v>375</v>
      </c>
      <c r="F805" t="str">
        <f t="shared" si="15"/>
        <v>2018-05-20</v>
      </c>
      <c r="G805">
        <v>53.58</v>
      </c>
      <c r="H805" t="str">
        <f>"2017-08-15"</f>
        <v>2017-08-15</v>
      </c>
      <c r="I805" t="s">
        <v>26</v>
      </c>
      <c r="J805" t="str">
        <f>"2017-03-22"</f>
        <v>2017-03-22</v>
      </c>
      <c r="K805" t="s">
        <v>40</v>
      </c>
      <c r="L805">
        <v>2.26506382</v>
      </c>
      <c r="M805">
        <v>804</v>
      </c>
      <c r="N805" s="1">
        <v>0.36580000000000001</v>
      </c>
      <c r="O805" s="1">
        <v>0.59040000000000004</v>
      </c>
      <c r="P805" s="1">
        <v>-0.12740000000000001</v>
      </c>
      <c r="Q805" s="1">
        <v>-3.8999999999999998E-3</v>
      </c>
      <c r="R805" s="1">
        <v>2.5499999999999998E-2</v>
      </c>
      <c r="S805" s="1">
        <v>-0.12139999999999999</v>
      </c>
      <c r="T805" s="1">
        <v>-7.9500000000000001E-2</v>
      </c>
      <c r="U805" s="1">
        <v>0.4012</v>
      </c>
    </row>
    <row r="806" spans="1:21" x14ac:dyDescent="0.25">
      <c r="A806" t="s">
        <v>1765</v>
      </c>
      <c r="B806" t="s">
        <v>1766</v>
      </c>
      <c r="C806" t="s">
        <v>114</v>
      </c>
      <c r="D806" t="s">
        <v>254</v>
      </c>
      <c r="E806" t="s">
        <v>255</v>
      </c>
      <c r="F806" t="str">
        <f t="shared" si="15"/>
        <v>2018-05-20</v>
      </c>
      <c r="G806">
        <v>38.5</v>
      </c>
      <c r="H806" t="str">
        <f>"2017-06-26"</f>
        <v>2017-06-26</v>
      </c>
      <c r="I806" t="s">
        <v>26</v>
      </c>
      <c r="J806" t="str">
        <f>"2017-03-21"</f>
        <v>2017-03-21</v>
      </c>
      <c r="K806" t="s">
        <v>40</v>
      </c>
      <c r="L806">
        <v>2.2619047600000002</v>
      </c>
      <c r="M806">
        <v>805</v>
      </c>
      <c r="N806" s="1">
        <v>9.5299999999999996E-2</v>
      </c>
      <c r="O806" s="1">
        <v>0.57140000000000002</v>
      </c>
      <c r="P806" s="1">
        <v>-0.33560000000000001</v>
      </c>
      <c r="Q806" s="1">
        <v>1.0500000000000001E-2</v>
      </c>
      <c r="R806" s="1">
        <v>7.6899999999999996E-2</v>
      </c>
      <c r="S806" s="1">
        <v>9.0700000000000003E-2</v>
      </c>
      <c r="T806" s="1">
        <v>-0.128</v>
      </c>
      <c r="U806" s="1">
        <v>0.46110000000000001</v>
      </c>
    </row>
    <row r="807" spans="1:21" x14ac:dyDescent="0.25">
      <c r="A807" t="s">
        <v>1767</v>
      </c>
      <c r="B807" t="s">
        <v>1768</v>
      </c>
      <c r="C807" t="s">
        <v>37</v>
      </c>
      <c r="D807" t="s">
        <v>66</v>
      </c>
      <c r="E807" t="s">
        <v>72</v>
      </c>
      <c r="F807" t="str">
        <f t="shared" si="15"/>
        <v>2018-05-20</v>
      </c>
      <c r="G807">
        <v>11.74</v>
      </c>
      <c r="H807" t="str">
        <f>"2017-08-14"</f>
        <v>2017-08-14</v>
      </c>
      <c r="I807" t="s">
        <v>26</v>
      </c>
      <c r="J807" t="str">
        <f>"2017-05-10"</f>
        <v>2017-05-10</v>
      </c>
      <c r="K807" t="s">
        <v>27</v>
      </c>
      <c r="L807">
        <v>2.2608888899999999</v>
      </c>
      <c r="M807">
        <v>806</v>
      </c>
      <c r="N807" s="1">
        <v>6.6299999999999998E-2</v>
      </c>
      <c r="O807" s="1">
        <v>0.56530000000000002</v>
      </c>
      <c r="P807" s="1">
        <v>-0.17960000000000001</v>
      </c>
      <c r="Q807" s="1">
        <v>7.7000000000000002E-3</v>
      </c>
      <c r="R807" s="1">
        <v>2.35E-2</v>
      </c>
      <c r="S807" s="1">
        <v>6.7299999999999999E-2</v>
      </c>
      <c r="T807" s="1">
        <v>0.27060000000000001</v>
      </c>
      <c r="U807" s="1">
        <v>0.1343</v>
      </c>
    </row>
    <row r="808" spans="1:21" x14ac:dyDescent="0.25">
      <c r="A808" t="s">
        <v>1769</v>
      </c>
      <c r="B808" t="s">
        <v>1770</v>
      </c>
      <c r="C808" t="s">
        <v>87</v>
      </c>
      <c r="D808" t="s">
        <v>664</v>
      </c>
      <c r="E808" t="s">
        <v>665</v>
      </c>
      <c r="F808" t="str">
        <f t="shared" si="15"/>
        <v>2018-05-20</v>
      </c>
      <c r="G808">
        <v>9.4499999999999993</v>
      </c>
      <c r="H808" t="str">
        <f>"2017-06-25"</f>
        <v>2017-06-25</v>
      </c>
      <c r="I808" t="s">
        <v>26</v>
      </c>
      <c r="J808" t="str">
        <f>"2017-06-06"</f>
        <v>2017-06-06</v>
      </c>
      <c r="K808" t="s">
        <v>27</v>
      </c>
      <c r="L808">
        <v>2.26076159</v>
      </c>
      <c r="M808">
        <v>807</v>
      </c>
      <c r="N808" s="1">
        <v>3.1699999999999999E-2</v>
      </c>
      <c r="O808" s="1">
        <v>0.56459999999999999</v>
      </c>
      <c r="P808" s="1">
        <v>-0.17030000000000001</v>
      </c>
      <c r="Q808" s="1">
        <v>1.61E-2</v>
      </c>
      <c r="R808" s="1">
        <v>6.6600000000000006E-2</v>
      </c>
      <c r="S808" s="1">
        <v>5.5899999999999998E-2</v>
      </c>
      <c r="T808" s="1">
        <v>0.24340000000000001</v>
      </c>
      <c r="U808" s="1">
        <v>0.2225</v>
      </c>
    </row>
    <row r="809" spans="1:21" x14ac:dyDescent="0.25">
      <c r="A809" t="s">
        <v>1771</v>
      </c>
      <c r="B809" t="s">
        <v>1772</v>
      </c>
      <c r="C809" t="s">
        <v>37</v>
      </c>
      <c r="D809" t="s">
        <v>38</v>
      </c>
      <c r="E809" t="s">
        <v>39</v>
      </c>
      <c r="F809" t="str">
        <f t="shared" si="15"/>
        <v>2018-05-20</v>
      </c>
      <c r="G809">
        <v>8.2799999999999994</v>
      </c>
      <c r="H809" t="str">
        <f>"2018-05-17"</f>
        <v>2018-05-17</v>
      </c>
      <c r="I809" t="s">
        <v>26</v>
      </c>
      <c r="J809" t="str">
        <f>"2017-05-07"</f>
        <v>2017-05-07</v>
      </c>
      <c r="K809" t="s">
        <v>34</v>
      </c>
      <c r="L809">
        <v>2.2593985000000001</v>
      </c>
      <c r="M809">
        <v>808</v>
      </c>
      <c r="N809" s="1">
        <v>-7.5899999999999995E-2</v>
      </c>
      <c r="O809" s="1">
        <v>0.55640000000000001</v>
      </c>
      <c r="P809" s="1">
        <v>-0.32740000000000002</v>
      </c>
      <c r="Q809" s="1">
        <v>-5.1499999999999997E-2</v>
      </c>
      <c r="R809" s="1">
        <v>-7.5899999999999995E-2</v>
      </c>
      <c r="S809" s="1">
        <v>-0.17610000000000001</v>
      </c>
      <c r="T809" s="1">
        <v>0.21940000000000001</v>
      </c>
      <c r="U809" s="1">
        <v>-0.44690000000000002</v>
      </c>
    </row>
    <row r="810" spans="1:21" x14ac:dyDescent="0.25">
      <c r="A810" t="s">
        <v>1773</v>
      </c>
      <c r="B810" t="s">
        <v>1774</v>
      </c>
      <c r="C810" t="s">
        <v>109</v>
      </c>
      <c r="D810" t="s">
        <v>110</v>
      </c>
      <c r="E810" t="s">
        <v>251</v>
      </c>
      <c r="F810" t="str">
        <f t="shared" si="15"/>
        <v>2018-05-20</v>
      </c>
      <c r="G810">
        <v>42.3</v>
      </c>
      <c r="H810" t="str">
        <f>"2016-03-24"</f>
        <v>2016-03-24</v>
      </c>
      <c r="I810" t="s">
        <v>26</v>
      </c>
      <c r="J810" t="str">
        <f>"2015-09-08"</f>
        <v>2015-09-08</v>
      </c>
      <c r="K810" t="s">
        <v>57</v>
      </c>
      <c r="L810">
        <v>2.2584310900000002</v>
      </c>
      <c r="M810">
        <v>809</v>
      </c>
      <c r="N810" s="1">
        <v>0.27989999999999998</v>
      </c>
      <c r="O810" s="1">
        <v>0.55059999999999998</v>
      </c>
      <c r="P810" s="1">
        <v>-0.1076</v>
      </c>
      <c r="Q810" s="1">
        <v>9.4999999999999998E-3</v>
      </c>
      <c r="R810" s="1">
        <v>2.4199999999999999E-2</v>
      </c>
      <c r="S810" s="1">
        <v>-5.3699999999999998E-2</v>
      </c>
      <c r="T810" s="1">
        <v>2.4199999999999999E-2</v>
      </c>
      <c r="U810" s="1">
        <v>8.1799999999999998E-2</v>
      </c>
    </row>
    <row r="811" spans="1:21" x14ac:dyDescent="0.25">
      <c r="A811" t="s">
        <v>1775</v>
      </c>
      <c r="B811" t="s">
        <v>1776</v>
      </c>
      <c r="C811" t="s">
        <v>109</v>
      </c>
      <c r="D811" t="s">
        <v>156</v>
      </c>
      <c r="E811" t="s">
        <v>284</v>
      </c>
      <c r="F811" t="str">
        <f t="shared" si="15"/>
        <v>2018-05-20</v>
      </c>
      <c r="G811">
        <v>21.16</v>
      </c>
      <c r="H811" t="str">
        <f>"2017-02-01"</f>
        <v>2017-02-01</v>
      </c>
      <c r="I811" t="s">
        <v>26</v>
      </c>
      <c r="J811" t="str">
        <f>"2016-09-28"</f>
        <v>2016-09-28</v>
      </c>
      <c r="K811" t="s">
        <v>27</v>
      </c>
      <c r="L811">
        <v>2.2583638599999998</v>
      </c>
      <c r="M811">
        <v>810</v>
      </c>
      <c r="N811" s="1">
        <v>0.39489999999999997</v>
      </c>
      <c r="O811" s="1">
        <v>0.55020000000000002</v>
      </c>
      <c r="P811" s="1">
        <v>-0.15459999999999999</v>
      </c>
      <c r="Q811" s="1">
        <v>5.0000000000000001E-4</v>
      </c>
      <c r="R811" s="1">
        <v>1.5800000000000002E-2</v>
      </c>
      <c r="S811" s="1">
        <v>-9.1800000000000007E-2</v>
      </c>
      <c r="T811" s="1">
        <v>-0.122</v>
      </c>
      <c r="U811" s="1">
        <v>0.12429999999999999</v>
      </c>
    </row>
    <row r="812" spans="1:21" x14ac:dyDescent="0.25">
      <c r="A812" t="s">
        <v>1777</v>
      </c>
      <c r="B812" t="s">
        <v>1778</v>
      </c>
      <c r="C812" t="s">
        <v>37</v>
      </c>
      <c r="D812" t="s">
        <v>38</v>
      </c>
      <c r="E812" t="s">
        <v>39</v>
      </c>
      <c r="F812" t="str">
        <f t="shared" si="15"/>
        <v>2018-05-20</v>
      </c>
      <c r="G812">
        <v>18.260000000000002</v>
      </c>
      <c r="H812" t="str">
        <f>"2017-06-22"</f>
        <v>2017-06-22</v>
      </c>
      <c r="I812" t="s">
        <v>26</v>
      </c>
      <c r="J812" t="str">
        <f>"2017-05-31"</f>
        <v>2017-05-31</v>
      </c>
      <c r="K812" t="s">
        <v>40</v>
      </c>
      <c r="L812">
        <v>2.2579096000000001</v>
      </c>
      <c r="M812">
        <v>811</v>
      </c>
      <c r="N812" s="1">
        <v>0.23130000000000001</v>
      </c>
      <c r="O812" s="1">
        <v>0.54749999999999999</v>
      </c>
      <c r="P812" s="1">
        <v>-0.13869999999999999</v>
      </c>
      <c r="Q812" s="1">
        <v>-1.83E-2</v>
      </c>
      <c r="R812" s="1">
        <v>-8.1000000000000003E-2</v>
      </c>
      <c r="S812" s="1">
        <v>-3.1800000000000002E-2</v>
      </c>
      <c r="T812" s="1">
        <v>-8.7900000000000006E-2</v>
      </c>
      <c r="U812" s="1">
        <v>0.42770000000000002</v>
      </c>
    </row>
    <row r="813" spans="1:21" x14ac:dyDescent="0.25">
      <c r="A813" t="s">
        <v>1779</v>
      </c>
      <c r="B813" t="s">
        <v>1780</v>
      </c>
      <c r="C813" t="s">
        <v>37</v>
      </c>
      <c r="D813" t="s">
        <v>66</v>
      </c>
      <c r="E813" t="s">
        <v>94</v>
      </c>
      <c r="F813" t="str">
        <f t="shared" si="15"/>
        <v>2018-05-20</v>
      </c>
      <c r="G813">
        <v>15.09</v>
      </c>
      <c r="H813" t="str">
        <f>"2018-01-31"</f>
        <v>2018-01-31</v>
      </c>
      <c r="I813" t="s">
        <v>26</v>
      </c>
      <c r="J813" t="str">
        <f>"2017-12-10"</f>
        <v>2017-12-10</v>
      </c>
      <c r="K813" t="s">
        <v>27</v>
      </c>
      <c r="L813">
        <v>2.2522567699999998</v>
      </c>
      <c r="M813">
        <v>812</v>
      </c>
      <c r="N813" s="1">
        <v>-0.20200000000000001</v>
      </c>
      <c r="O813" s="1">
        <v>0.51349999999999996</v>
      </c>
      <c r="P813" s="1">
        <v>-0.3584</v>
      </c>
      <c r="Q813" s="1">
        <v>-1.24E-2</v>
      </c>
      <c r="R813" s="1">
        <v>1.4800000000000001E-2</v>
      </c>
      <c r="S813" s="1">
        <v>-2.9600000000000001E-2</v>
      </c>
      <c r="T813" s="1">
        <v>-0.23860000000000001</v>
      </c>
      <c r="U813" s="1">
        <v>-0.12720000000000001</v>
      </c>
    </row>
    <row r="814" spans="1:21" x14ac:dyDescent="0.25">
      <c r="A814" t="s">
        <v>1781</v>
      </c>
      <c r="B814" t="s">
        <v>1782</v>
      </c>
      <c r="C814" t="s">
        <v>114</v>
      </c>
      <c r="D814" t="s">
        <v>809</v>
      </c>
      <c r="E814" t="s">
        <v>1783</v>
      </c>
      <c r="F814" t="str">
        <f t="shared" si="15"/>
        <v>2018-05-20</v>
      </c>
      <c r="G814">
        <v>29.49</v>
      </c>
      <c r="H814" t="str">
        <f>"2017-03-05"</f>
        <v>2017-03-05</v>
      </c>
      <c r="I814" t="s">
        <v>26</v>
      </c>
      <c r="J814" t="str">
        <f>"2017-01-26"</f>
        <v>2017-01-26</v>
      </c>
      <c r="K814" t="s">
        <v>40</v>
      </c>
      <c r="L814">
        <v>2.2516641100000001</v>
      </c>
      <c r="M814">
        <v>813</v>
      </c>
      <c r="N814" s="1">
        <v>0.20710000000000001</v>
      </c>
      <c r="O814" s="1">
        <v>0.51</v>
      </c>
      <c r="P814" s="1">
        <v>-0.26619999999999999</v>
      </c>
      <c r="Q814" s="1">
        <v>3.0999999999999999E-3</v>
      </c>
      <c r="R814" s="1">
        <v>4.02E-2</v>
      </c>
      <c r="S814" s="1">
        <v>-2.7000000000000001E-3</v>
      </c>
      <c r="T814" s="1">
        <v>-0.1653</v>
      </c>
      <c r="U814" s="1">
        <v>-9.4000000000000004E-3</v>
      </c>
    </row>
    <row r="815" spans="1:21" x14ac:dyDescent="0.25">
      <c r="A815" t="s">
        <v>1784</v>
      </c>
      <c r="B815" t="s">
        <v>1785</v>
      </c>
      <c r="C815" t="s">
        <v>23</v>
      </c>
      <c r="D815" t="s">
        <v>24</v>
      </c>
      <c r="E815" t="s">
        <v>307</v>
      </c>
      <c r="F815" t="str">
        <f t="shared" si="15"/>
        <v>2018-05-20</v>
      </c>
      <c r="G815">
        <v>16.52</v>
      </c>
      <c r="H815" t="str">
        <f>"2017-09-26"</f>
        <v>2017-09-26</v>
      </c>
      <c r="I815" t="s">
        <v>26</v>
      </c>
      <c r="J815" t="str">
        <f>"2017-08-07"</f>
        <v>2017-08-07</v>
      </c>
      <c r="K815" t="s">
        <v>27</v>
      </c>
      <c r="L815">
        <v>2.2496222399999999</v>
      </c>
      <c r="M815">
        <v>814</v>
      </c>
      <c r="N815" s="1">
        <v>-0.2858</v>
      </c>
      <c r="O815" s="1">
        <v>0.49769999999999998</v>
      </c>
      <c r="P815" s="1">
        <v>-0.38169999999999998</v>
      </c>
      <c r="Q815" s="1">
        <v>1.9099999999999999E-2</v>
      </c>
      <c r="R815" s="1">
        <v>-2.8199999999999999E-2</v>
      </c>
      <c r="S815" s="1">
        <v>-0.2167</v>
      </c>
      <c r="T815" s="1">
        <v>-0.17480000000000001</v>
      </c>
      <c r="U815" s="1">
        <v>0.57479999999999998</v>
      </c>
    </row>
    <row r="816" spans="1:21" x14ac:dyDescent="0.25">
      <c r="A816" t="s">
        <v>1786</v>
      </c>
      <c r="B816" t="s">
        <v>1787</v>
      </c>
      <c r="C816" t="s">
        <v>37</v>
      </c>
      <c r="D816" t="s">
        <v>38</v>
      </c>
      <c r="E816" t="s">
        <v>39</v>
      </c>
      <c r="F816" t="str">
        <f t="shared" si="15"/>
        <v>2018-05-20</v>
      </c>
      <c r="G816">
        <v>17.05</v>
      </c>
      <c r="H816" t="str">
        <f>"2017-09-07"</f>
        <v>2017-09-07</v>
      </c>
      <c r="I816" t="s">
        <v>26</v>
      </c>
      <c r="J816" t="str">
        <f>"2017-07-30"</f>
        <v>2017-07-30</v>
      </c>
      <c r="K816" t="s">
        <v>40</v>
      </c>
      <c r="L816">
        <v>2.2492690099999999</v>
      </c>
      <c r="M816">
        <v>815</v>
      </c>
      <c r="N816" s="1">
        <v>-7.3400000000000007E-2</v>
      </c>
      <c r="O816" s="1">
        <v>0.49559999999999998</v>
      </c>
      <c r="P816" s="1">
        <v>-0.1517</v>
      </c>
      <c r="Q816" s="1">
        <v>2.8999999999999998E-3</v>
      </c>
      <c r="R816" s="1">
        <v>6.5600000000000006E-2</v>
      </c>
      <c r="S816" s="1">
        <v>0.1144</v>
      </c>
      <c r="T816" s="1">
        <v>-4.48E-2</v>
      </c>
      <c r="U816" s="1">
        <v>2.1000000000000001E-2</v>
      </c>
    </row>
    <row r="817" spans="1:21" x14ac:dyDescent="0.25">
      <c r="A817" t="s">
        <v>1788</v>
      </c>
      <c r="B817" t="s">
        <v>1789</v>
      </c>
      <c r="C817" t="s">
        <v>43</v>
      </c>
      <c r="D817" t="s">
        <v>44</v>
      </c>
      <c r="E817" t="s">
        <v>246</v>
      </c>
      <c r="F817" t="str">
        <f t="shared" si="15"/>
        <v>2018-05-20</v>
      </c>
      <c r="G817">
        <v>26.15</v>
      </c>
      <c r="H817" t="str">
        <f>"2017-11-30"</f>
        <v>2017-11-30</v>
      </c>
      <c r="I817" t="s">
        <v>26</v>
      </c>
      <c r="J817" t="str">
        <f>"2017-07-11"</f>
        <v>2017-07-11</v>
      </c>
      <c r="K817" t="s">
        <v>40</v>
      </c>
      <c r="L817">
        <v>2.2490476199999998</v>
      </c>
      <c r="M817">
        <v>816</v>
      </c>
      <c r="N817" s="1">
        <v>0.30099999999999999</v>
      </c>
      <c r="O817" s="1">
        <v>0.49430000000000002</v>
      </c>
      <c r="P817" s="1">
        <v>-0.14119999999999999</v>
      </c>
      <c r="Q817" s="1">
        <v>1.1599999999999999E-2</v>
      </c>
      <c r="R817" s="1">
        <v>5.7999999999999996E-3</v>
      </c>
      <c r="S817" s="1">
        <v>2.75E-2</v>
      </c>
      <c r="T817" s="1">
        <v>-1.8800000000000001E-2</v>
      </c>
      <c r="U817" s="1">
        <v>0.28820000000000001</v>
      </c>
    </row>
    <row r="818" spans="1:21" x14ac:dyDescent="0.25">
      <c r="A818" t="s">
        <v>1790</v>
      </c>
      <c r="B818" t="s">
        <v>1791</v>
      </c>
      <c r="C818" t="s">
        <v>87</v>
      </c>
      <c r="D818" t="s">
        <v>144</v>
      </c>
      <c r="E818" t="s">
        <v>145</v>
      </c>
      <c r="F818" t="str">
        <f t="shared" si="15"/>
        <v>2018-05-20</v>
      </c>
      <c r="G818">
        <v>23</v>
      </c>
      <c r="H818" t="str">
        <f>"2017-11-28"</f>
        <v>2017-11-28</v>
      </c>
      <c r="I818" t="s">
        <v>26</v>
      </c>
      <c r="J818" t="str">
        <f>"2017-09-27"</f>
        <v>2017-09-27</v>
      </c>
      <c r="K818" t="s">
        <v>27</v>
      </c>
      <c r="L818">
        <v>2.24827288</v>
      </c>
      <c r="M818">
        <v>817</v>
      </c>
      <c r="N818" s="1">
        <v>0.1258</v>
      </c>
      <c r="O818" s="1">
        <v>0.48959999999999998</v>
      </c>
      <c r="P818" s="1">
        <v>-0.13139999999999999</v>
      </c>
      <c r="Q818" s="1">
        <v>9.7000000000000003E-3</v>
      </c>
      <c r="R818" s="1">
        <v>3.5099999999999999E-2</v>
      </c>
      <c r="S818" s="1">
        <v>7.4000000000000003E-3</v>
      </c>
      <c r="T818" s="1">
        <v>4.36E-2</v>
      </c>
      <c r="U818" s="1">
        <v>0.1381</v>
      </c>
    </row>
    <row r="819" spans="1:21" x14ac:dyDescent="0.25">
      <c r="A819" t="s">
        <v>1792</v>
      </c>
      <c r="B819" t="s">
        <v>1793</v>
      </c>
      <c r="C819" t="s">
        <v>37</v>
      </c>
      <c r="D819" t="s">
        <v>66</v>
      </c>
      <c r="E819" t="s">
        <v>72</v>
      </c>
      <c r="F819" t="str">
        <f t="shared" si="15"/>
        <v>2018-05-20</v>
      </c>
      <c r="G819">
        <v>37.71</v>
      </c>
      <c r="H819" t="str">
        <f>"2018-02-01"</f>
        <v>2018-02-01</v>
      </c>
      <c r="I819" t="s">
        <v>26</v>
      </c>
      <c r="J819" t="str">
        <f>"2017-01-22"</f>
        <v>2017-01-22</v>
      </c>
      <c r="K819" t="s">
        <v>34</v>
      </c>
      <c r="L819">
        <v>2.24734357</v>
      </c>
      <c r="M819">
        <v>818</v>
      </c>
      <c r="N819" s="1">
        <v>-0.13170000000000001</v>
      </c>
      <c r="O819" s="1">
        <v>0.48409999999999997</v>
      </c>
      <c r="P819" s="1">
        <v>-0.13170000000000001</v>
      </c>
      <c r="Q819" s="1">
        <v>5.5999999999999999E-3</v>
      </c>
      <c r="R819" s="1">
        <v>1.26E-2</v>
      </c>
      <c r="S819" s="1">
        <v>1.67E-2</v>
      </c>
      <c r="T819" s="1">
        <v>2.86E-2</v>
      </c>
      <c r="U819" s="1">
        <v>0.1134</v>
      </c>
    </row>
    <row r="820" spans="1:21" x14ac:dyDescent="0.25">
      <c r="A820" t="s">
        <v>1794</v>
      </c>
      <c r="B820" t="s">
        <v>1795</v>
      </c>
      <c r="C820" t="s">
        <v>100</v>
      </c>
      <c r="D820" t="s">
        <v>101</v>
      </c>
      <c r="E820" t="s">
        <v>102</v>
      </c>
      <c r="F820" t="str">
        <f t="shared" si="15"/>
        <v>2018-05-20</v>
      </c>
      <c r="G820">
        <v>33.450000000000003</v>
      </c>
      <c r="H820" t="str">
        <f>"2018-03-18"</f>
        <v>2018-03-18</v>
      </c>
      <c r="I820" t="s">
        <v>26</v>
      </c>
      <c r="J820" t="str">
        <f>"2018-03-06"</f>
        <v>2018-03-06</v>
      </c>
      <c r="K820" t="s">
        <v>27</v>
      </c>
      <c r="L820">
        <v>2.24613687</v>
      </c>
      <c r="M820">
        <v>819</v>
      </c>
      <c r="N820" s="1">
        <v>-0.13120000000000001</v>
      </c>
      <c r="O820" s="1">
        <v>0.4768</v>
      </c>
      <c r="P820" s="1">
        <v>-0.15529999999999999</v>
      </c>
      <c r="Q820" s="1">
        <v>1.83E-2</v>
      </c>
      <c r="R820" s="1">
        <v>0.10580000000000001</v>
      </c>
      <c r="S820" s="1">
        <v>-0.1197</v>
      </c>
      <c r="T820" s="1">
        <v>0.3221</v>
      </c>
      <c r="U820" s="1">
        <v>-0.25829999999999997</v>
      </c>
    </row>
    <row r="821" spans="1:21" x14ac:dyDescent="0.25">
      <c r="A821" t="s">
        <v>1796</v>
      </c>
      <c r="B821" t="s">
        <v>1797</v>
      </c>
      <c r="C821" t="s">
        <v>109</v>
      </c>
      <c r="D821" t="s">
        <v>110</v>
      </c>
      <c r="E821" t="s">
        <v>732</v>
      </c>
      <c r="F821" t="str">
        <f t="shared" si="15"/>
        <v>2018-05-20</v>
      </c>
      <c r="G821">
        <v>46.49</v>
      </c>
      <c r="H821" t="str">
        <f>"2018-01-24"</f>
        <v>2018-01-24</v>
      </c>
      <c r="I821" t="s">
        <v>26</v>
      </c>
      <c r="J821" t="str">
        <f>"2017-05-08"</f>
        <v>2017-05-08</v>
      </c>
      <c r="K821" t="s">
        <v>57</v>
      </c>
      <c r="L821">
        <v>2.2459788399999998</v>
      </c>
      <c r="M821">
        <v>820</v>
      </c>
      <c r="N821" s="1">
        <v>-1.2999999999999999E-3</v>
      </c>
      <c r="O821" s="1">
        <v>0.47589999999999999</v>
      </c>
      <c r="P821" s="1">
        <v>-0.10780000000000001</v>
      </c>
      <c r="Q821" s="1">
        <v>1.18E-2</v>
      </c>
      <c r="R821" s="1">
        <v>5.0099999999999999E-2</v>
      </c>
      <c r="S821" s="1">
        <v>-8.6599999999999996E-2</v>
      </c>
      <c r="T821" s="1">
        <v>-9.8500000000000004E-2</v>
      </c>
      <c r="U821" s="1">
        <v>2.6499999999999999E-2</v>
      </c>
    </row>
    <row r="822" spans="1:21" x14ac:dyDescent="0.25">
      <c r="A822" t="s">
        <v>1798</v>
      </c>
      <c r="B822" t="s">
        <v>1799</v>
      </c>
      <c r="C822" t="s">
        <v>37</v>
      </c>
      <c r="D822" t="s">
        <v>38</v>
      </c>
      <c r="E822" t="s">
        <v>39</v>
      </c>
      <c r="F822" t="str">
        <f t="shared" si="15"/>
        <v>2018-05-20</v>
      </c>
      <c r="G822">
        <v>63.83</v>
      </c>
      <c r="H822" t="str">
        <f>"2017-10-09"</f>
        <v>2017-10-09</v>
      </c>
      <c r="I822" t="s">
        <v>26</v>
      </c>
      <c r="J822" t="str">
        <f>"2017-09-11"</f>
        <v>2017-09-11</v>
      </c>
      <c r="K822" t="s">
        <v>27</v>
      </c>
      <c r="L822">
        <v>2.2448408099999999</v>
      </c>
      <c r="M822">
        <v>821</v>
      </c>
      <c r="N822" s="1">
        <v>0.19309999999999999</v>
      </c>
      <c r="O822" s="1">
        <v>0.46899999999999997</v>
      </c>
      <c r="P822" s="1">
        <v>-0.1439</v>
      </c>
      <c r="Q822" s="1">
        <v>-9.2999999999999992E-3</v>
      </c>
      <c r="R822" s="1">
        <v>4.0899999999999999E-2</v>
      </c>
      <c r="S822" s="1">
        <v>8.6999999999999994E-2</v>
      </c>
      <c r="T822" s="1">
        <v>0.1091</v>
      </c>
      <c r="U822" s="1">
        <v>0.35780000000000001</v>
      </c>
    </row>
    <row r="823" spans="1:21" x14ac:dyDescent="0.25">
      <c r="A823" t="s">
        <v>1800</v>
      </c>
      <c r="B823" t="s">
        <v>1801</v>
      </c>
      <c r="C823" t="s">
        <v>37</v>
      </c>
      <c r="D823" t="s">
        <v>38</v>
      </c>
      <c r="E823" t="s">
        <v>39</v>
      </c>
      <c r="F823" t="str">
        <f t="shared" si="15"/>
        <v>2018-05-20</v>
      </c>
      <c r="G823">
        <v>7.5</v>
      </c>
      <c r="H823" t="str">
        <f>"2018-02-28"</f>
        <v>2018-02-28</v>
      </c>
      <c r="I823" t="s">
        <v>26</v>
      </c>
      <c r="J823" t="str">
        <f>"2018-02-26"</f>
        <v>2018-02-26</v>
      </c>
      <c r="K823" t="s">
        <v>27</v>
      </c>
      <c r="L823">
        <v>2.2446183999999998</v>
      </c>
      <c r="M823">
        <v>822</v>
      </c>
      <c r="N823" s="1">
        <v>0.12280000000000001</v>
      </c>
      <c r="O823" s="1">
        <v>0.4677</v>
      </c>
      <c r="P823" s="1">
        <v>-0.1114</v>
      </c>
      <c r="Q823" s="1">
        <v>3.73E-2</v>
      </c>
      <c r="R823" s="1">
        <v>8.0999999999999996E-3</v>
      </c>
      <c r="S823" s="1">
        <v>5.7799999999999997E-2</v>
      </c>
      <c r="T823" s="1">
        <v>0.15210000000000001</v>
      </c>
      <c r="U823" s="1">
        <v>7.9100000000000004E-2</v>
      </c>
    </row>
    <row r="824" spans="1:21" x14ac:dyDescent="0.25">
      <c r="A824" t="s">
        <v>1802</v>
      </c>
      <c r="B824" t="s">
        <v>1803</v>
      </c>
      <c r="C824" t="s">
        <v>43</v>
      </c>
      <c r="D824" t="s">
        <v>150</v>
      </c>
      <c r="E824" t="s">
        <v>151</v>
      </c>
      <c r="F824" t="str">
        <f t="shared" si="15"/>
        <v>2018-05-20</v>
      </c>
      <c r="G824">
        <v>46.13</v>
      </c>
      <c r="H824" t="str">
        <f>"2017-10-02"</f>
        <v>2017-10-02</v>
      </c>
      <c r="I824" t="s">
        <v>26</v>
      </c>
      <c r="J824" t="str">
        <f>"2017-08-21"</f>
        <v>2017-08-21</v>
      </c>
      <c r="K824" t="s">
        <v>40</v>
      </c>
      <c r="L824">
        <v>2.2443843999999999</v>
      </c>
      <c r="M824">
        <v>823</v>
      </c>
      <c r="N824" s="1">
        <v>0.15179999999999999</v>
      </c>
      <c r="O824" s="1">
        <v>0.46629999999999999</v>
      </c>
      <c r="P824" s="1">
        <v>-0.15279999999999999</v>
      </c>
      <c r="Q824" s="1">
        <v>2.4199999999999999E-2</v>
      </c>
      <c r="R824" s="1">
        <v>4.1799999999999997E-2</v>
      </c>
      <c r="S824" s="1">
        <v>-7.6300000000000007E-2</v>
      </c>
      <c r="T824" s="1">
        <v>-6.9599999999999995E-2</v>
      </c>
      <c r="U824" s="1">
        <v>0.1966</v>
      </c>
    </row>
    <row r="825" spans="1:21" x14ac:dyDescent="0.25">
      <c r="A825" t="s">
        <v>1804</v>
      </c>
      <c r="B825" t="s">
        <v>1805</v>
      </c>
      <c r="C825" t="s">
        <v>43</v>
      </c>
      <c r="D825" t="s">
        <v>169</v>
      </c>
      <c r="E825" t="s">
        <v>904</v>
      </c>
      <c r="F825" t="str">
        <f t="shared" si="15"/>
        <v>2018-05-20</v>
      </c>
      <c r="G825">
        <v>6.11</v>
      </c>
      <c r="H825" t="str">
        <f>"2018-01-03"</f>
        <v>2018-01-03</v>
      </c>
      <c r="I825" t="s">
        <v>26</v>
      </c>
      <c r="J825" t="str">
        <f>"2017-09-25"</f>
        <v>2017-09-25</v>
      </c>
      <c r="K825" t="s">
        <v>40</v>
      </c>
      <c r="L825">
        <v>2.2430389800000001</v>
      </c>
      <c r="M825">
        <v>824</v>
      </c>
      <c r="N825" s="1">
        <v>-8.5300000000000001E-2</v>
      </c>
      <c r="O825" s="1">
        <v>0.4582</v>
      </c>
      <c r="P825" s="1">
        <v>-0.1041</v>
      </c>
      <c r="Q825" s="1">
        <v>3.56E-2</v>
      </c>
      <c r="R825" s="1">
        <v>3.3799999999999997E-2</v>
      </c>
      <c r="S825" s="1">
        <v>-2.24E-2</v>
      </c>
      <c r="T825" s="1">
        <v>3.7400000000000003E-2</v>
      </c>
      <c r="U825" s="1">
        <v>0.1638</v>
      </c>
    </row>
    <row r="826" spans="1:21" x14ac:dyDescent="0.25">
      <c r="A826" t="s">
        <v>1806</v>
      </c>
      <c r="B826" t="s">
        <v>1807</v>
      </c>
      <c r="C826" t="s">
        <v>37</v>
      </c>
      <c r="D826" t="s">
        <v>38</v>
      </c>
      <c r="E826" t="s">
        <v>39</v>
      </c>
      <c r="F826" t="str">
        <f t="shared" si="15"/>
        <v>2018-05-20</v>
      </c>
      <c r="G826">
        <v>73.09</v>
      </c>
      <c r="H826" t="str">
        <f>"2018-04-10"</f>
        <v>2018-04-10</v>
      </c>
      <c r="I826" t="s">
        <v>26</v>
      </c>
      <c r="J826" t="str">
        <f>"2018-03-20"</f>
        <v>2018-03-20</v>
      </c>
      <c r="K826" t="s">
        <v>27</v>
      </c>
      <c r="L826">
        <v>2.2425177500000002</v>
      </c>
      <c r="M826">
        <v>825</v>
      </c>
      <c r="N826" s="1">
        <v>-3.7699999999999997E-2</v>
      </c>
      <c r="O826" s="1">
        <v>0.4551</v>
      </c>
      <c r="P826" s="1">
        <v>-0.1026</v>
      </c>
      <c r="Q826" s="1">
        <v>-4.7199999999999999E-2</v>
      </c>
      <c r="R826" s="1">
        <v>-6.93E-2</v>
      </c>
      <c r="S826" s="1">
        <v>-6.2100000000000002E-2</v>
      </c>
      <c r="T826" s="1">
        <v>0.22140000000000001</v>
      </c>
      <c r="U826" s="1">
        <v>0.3503</v>
      </c>
    </row>
    <row r="827" spans="1:21" x14ac:dyDescent="0.25">
      <c r="A827" t="s">
        <v>1808</v>
      </c>
      <c r="B827" t="s">
        <v>1809</v>
      </c>
      <c r="C827" t="s">
        <v>114</v>
      </c>
      <c r="D827" t="s">
        <v>809</v>
      </c>
      <c r="E827" t="s">
        <v>1783</v>
      </c>
      <c r="F827" t="str">
        <f t="shared" si="15"/>
        <v>2018-05-20</v>
      </c>
      <c r="G827">
        <v>33.299999999999997</v>
      </c>
      <c r="H827" t="str">
        <f>"2016-04-12"</f>
        <v>2016-04-12</v>
      </c>
      <c r="I827" t="s">
        <v>26</v>
      </c>
      <c r="J827" t="str">
        <f>"2016-03-16"</f>
        <v>2016-03-16</v>
      </c>
      <c r="K827" t="s">
        <v>27</v>
      </c>
      <c r="L827">
        <v>2.2421465999999999</v>
      </c>
      <c r="M827">
        <v>826</v>
      </c>
      <c r="N827" s="1">
        <v>0.1152</v>
      </c>
      <c r="O827" s="1">
        <v>0.45290000000000002</v>
      </c>
      <c r="P827" s="1">
        <v>-0.1976</v>
      </c>
      <c r="Q827" s="1">
        <v>1.5E-3</v>
      </c>
      <c r="R827" s="1">
        <v>3.9E-2</v>
      </c>
      <c r="S827" s="1">
        <v>4.8800000000000003E-2</v>
      </c>
      <c r="T827" s="1">
        <v>-0.1167</v>
      </c>
      <c r="U827" s="1">
        <v>4.5499999999999999E-2</v>
      </c>
    </row>
    <row r="828" spans="1:21" x14ac:dyDescent="0.25">
      <c r="A828" t="s">
        <v>1810</v>
      </c>
      <c r="B828" t="s">
        <v>1811</v>
      </c>
      <c r="C828" t="s">
        <v>23</v>
      </c>
      <c r="D828" t="s">
        <v>411</v>
      </c>
      <c r="E828" t="s">
        <v>412</v>
      </c>
      <c r="F828" t="str">
        <f t="shared" si="15"/>
        <v>2018-05-20</v>
      </c>
      <c r="G828">
        <v>30.2</v>
      </c>
      <c r="H828" t="str">
        <f>"2018-01-18"</f>
        <v>2018-01-18</v>
      </c>
      <c r="I828" t="s">
        <v>26</v>
      </c>
      <c r="J828" t="str">
        <f>"2017-12-07"</f>
        <v>2017-12-07</v>
      </c>
      <c r="K828" t="s">
        <v>27</v>
      </c>
      <c r="L828">
        <v>2.2408293499999998</v>
      </c>
      <c r="M828">
        <v>827</v>
      </c>
      <c r="N828" s="1">
        <v>-0.12590000000000001</v>
      </c>
      <c r="O828" s="1">
        <v>0.44500000000000001</v>
      </c>
      <c r="P828" s="1">
        <v>-0.1726</v>
      </c>
      <c r="Q828" s="1">
        <v>1.5100000000000001E-2</v>
      </c>
      <c r="R828" s="1">
        <v>6.1499999999999999E-2</v>
      </c>
      <c r="S828" s="1">
        <v>-0.1065</v>
      </c>
      <c r="T828" s="1">
        <v>-8.2100000000000006E-2</v>
      </c>
      <c r="U828" s="1">
        <v>-0.2021</v>
      </c>
    </row>
    <row r="829" spans="1:21" x14ac:dyDescent="0.25">
      <c r="A829" t="s">
        <v>1812</v>
      </c>
      <c r="B829" t="s">
        <v>1813</v>
      </c>
      <c r="C829" t="s">
        <v>100</v>
      </c>
      <c r="D829" t="s">
        <v>199</v>
      </c>
      <c r="E829" t="s">
        <v>200</v>
      </c>
      <c r="F829" t="str">
        <f t="shared" si="15"/>
        <v>2018-05-20</v>
      </c>
      <c r="G829">
        <v>19.03</v>
      </c>
      <c r="H829" t="str">
        <f>"2017-11-05"</f>
        <v>2017-11-05</v>
      </c>
      <c r="I829" t="s">
        <v>26</v>
      </c>
      <c r="J829" t="str">
        <f>"2017-08-10"</f>
        <v>2017-08-10</v>
      </c>
      <c r="K829" t="s">
        <v>40</v>
      </c>
      <c r="L829">
        <v>2.2395518600000002</v>
      </c>
      <c r="M829">
        <v>828</v>
      </c>
      <c r="N829" s="1">
        <v>0.12870000000000001</v>
      </c>
      <c r="O829" s="1">
        <v>0.43730000000000002</v>
      </c>
      <c r="P829" s="1">
        <v>-0.14699999999999999</v>
      </c>
      <c r="Q829" s="1">
        <v>-1.35E-2</v>
      </c>
      <c r="R829" s="1">
        <v>-9.4000000000000004E-3</v>
      </c>
      <c r="S829" s="1">
        <v>-0.14660000000000001</v>
      </c>
      <c r="T829" s="1">
        <v>-4.9500000000000002E-2</v>
      </c>
      <c r="U829" s="1">
        <v>0.44600000000000001</v>
      </c>
    </row>
    <row r="830" spans="1:21" x14ac:dyDescent="0.25">
      <c r="A830" t="s">
        <v>1814</v>
      </c>
      <c r="B830" t="s">
        <v>1815</v>
      </c>
      <c r="C830" t="s">
        <v>43</v>
      </c>
      <c r="D830" t="s">
        <v>150</v>
      </c>
      <c r="E830" t="s">
        <v>408</v>
      </c>
      <c r="F830" t="str">
        <f t="shared" si="15"/>
        <v>2018-05-20</v>
      </c>
      <c r="G830">
        <v>22.15</v>
      </c>
      <c r="H830" t="str">
        <f>"2017-06-06"</f>
        <v>2017-06-06</v>
      </c>
      <c r="I830" t="s">
        <v>26</v>
      </c>
      <c r="J830" t="str">
        <f>"2017-06-05"</f>
        <v>2017-06-05</v>
      </c>
      <c r="K830" t="s">
        <v>40</v>
      </c>
      <c r="L830">
        <v>2.2394077000000001</v>
      </c>
      <c r="M830">
        <v>829</v>
      </c>
      <c r="N830" s="1">
        <v>0.39750000000000002</v>
      </c>
      <c r="O830" s="1">
        <v>0.43640000000000001</v>
      </c>
      <c r="P830" s="1">
        <v>-0.24990000000000001</v>
      </c>
      <c r="Q830" s="1">
        <v>5.8999999999999999E-3</v>
      </c>
      <c r="R830" s="1">
        <v>4.9299999999999997E-2</v>
      </c>
      <c r="S830" s="1">
        <v>3.5999999999999997E-2</v>
      </c>
      <c r="T830" s="1">
        <v>-0.1358</v>
      </c>
      <c r="U830" s="1">
        <v>0.3775</v>
      </c>
    </row>
    <row r="831" spans="1:21" x14ac:dyDescent="0.25">
      <c r="A831" t="s">
        <v>1816</v>
      </c>
      <c r="B831" t="s">
        <v>1817</v>
      </c>
      <c r="C831" t="s">
        <v>109</v>
      </c>
      <c r="D831" t="s">
        <v>156</v>
      </c>
      <c r="E831" t="s">
        <v>284</v>
      </c>
      <c r="F831" t="str">
        <f t="shared" si="15"/>
        <v>2018-05-20</v>
      </c>
      <c r="G831">
        <v>61.25</v>
      </c>
      <c r="H831" t="str">
        <f>"2017-11-09"</f>
        <v>2017-11-09</v>
      </c>
      <c r="I831" t="s">
        <v>26</v>
      </c>
      <c r="J831" t="str">
        <f>"2017-09-10"</f>
        <v>2017-09-10</v>
      </c>
      <c r="K831" t="s">
        <v>27</v>
      </c>
      <c r="L831">
        <v>2.2390710399999998</v>
      </c>
      <c r="M831">
        <v>830</v>
      </c>
      <c r="N831" s="1">
        <v>0.2374</v>
      </c>
      <c r="O831" s="1">
        <v>0.43440000000000001</v>
      </c>
      <c r="P831" s="1">
        <v>-0.13669999999999999</v>
      </c>
      <c r="Q831" s="1">
        <v>1.9099999999999999E-2</v>
      </c>
      <c r="R831" s="1">
        <v>9.0800000000000006E-2</v>
      </c>
      <c r="S831" s="1">
        <v>-4.8999999999999998E-3</v>
      </c>
      <c r="T831" s="1">
        <v>2.4199999999999999E-2</v>
      </c>
      <c r="U831" s="1">
        <v>0.42109999999999997</v>
      </c>
    </row>
    <row r="832" spans="1:21" x14ac:dyDescent="0.25">
      <c r="A832" t="s">
        <v>1818</v>
      </c>
      <c r="B832" t="s">
        <v>1819</v>
      </c>
      <c r="C832" t="s">
        <v>87</v>
      </c>
      <c r="D832" t="s">
        <v>88</v>
      </c>
      <c r="E832" t="s">
        <v>89</v>
      </c>
      <c r="F832" t="str">
        <f t="shared" si="15"/>
        <v>2018-05-20</v>
      </c>
      <c r="G832">
        <v>29.12</v>
      </c>
      <c r="H832" t="str">
        <f>"2018-01-18"</f>
        <v>2018-01-18</v>
      </c>
      <c r="I832" t="s">
        <v>26</v>
      </c>
      <c r="J832" t="str">
        <f>"2017-12-26"</f>
        <v>2017-12-26</v>
      </c>
      <c r="K832" t="s">
        <v>27</v>
      </c>
      <c r="L832">
        <v>2.23884514</v>
      </c>
      <c r="M832">
        <v>831</v>
      </c>
      <c r="N832" s="1">
        <v>-9.8199999999999996E-2</v>
      </c>
      <c r="O832" s="1">
        <v>0.43309999999999998</v>
      </c>
      <c r="P832" s="1">
        <v>-0.1245</v>
      </c>
      <c r="Q832" s="1">
        <v>-1.0500000000000001E-2</v>
      </c>
      <c r="R832" s="1">
        <v>1.7100000000000001E-2</v>
      </c>
      <c r="S832" s="1">
        <v>-0.1103</v>
      </c>
      <c r="T832" s="1">
        <v>8.6999999999999994E-3</v>
      </c>
      <c r="U832" s="1">
        <v>3.9600000000000003E-2</v>
      </c>
    </row>
    <row r="833" spans="1:21" x14ac:dyDescent="0.25">
      <c r="A833" t="s">
        <v>1820</v>
      </c>
      <c r="B833" t="s">
        <v>1821</v>
      </c>
      <c r="C833" t="s">
        <v>43</v>
      </c>
      <c r="D833" t="s">
        <v>374</v>
      </c>
      <c r="E833" t="s">
        <v>378</v>
      </c>
      <c r="F833" t="str">
        <f t="shared" si="15"/>
        <v>2018-05-20</v>
      </c>
      <c r="G833">
        <v>36</v>
      </c>
      <c r="H833" t="str">
        <f>"2017-11-01"</f>
        <v>2017-11-01</v>
      </c>
      <c r="I833" t="s">
        <v>26</v>
      </c>
      <c r="J833" t="str">
        <f>"2017-10-05"</f>
        <v>2017-10-05</v>
      </c>
      <c r="K833" t="s">
        <v>27</v>
      </c>
      <c r="L833">
        <v>2.2387584600000001</v>
      </c>
      <c r="M833">
        <v>832</v>
      </c>
      <c r="N833" s="1">
        <v>5.1700000000000003E-2</v>
      </c>
      <c r="O833" s="1">
        <v>0.43259999999999998</v>
      </c>
      <c r="P833" s="1">
        <v>-0.2399</v>
      </c>
      <c r="Q833" s="1">
        <v>3.8999999999999998E-3</v>
      </c>
      <c r="R833" s="1">
        <v>1.84E-2</v>
      </c>
      <c r="S833" s="1">
        <v>-6.2700000000000006E-2</v>
      </c>
      <c r="T833" s="1">
        <v>-0.1527</v>
      </c>
      <c r="U833" s="1">
        <v>0.19089999999999999</v>
      </c>
    </row>
    <row r="834" spans="1:21" x14ac:dyDescent="0.25">
      <c r="A834" t="s">
        <v>1822</v>
      </c>
      <c r="B834" t="s">
        <v>1823</v>
      </c>
      <c r="C834" t="s">
        <v>23</v>
      </c>
      <c r="D834" t="s">
        <v>411</v>
      </c>
      <c r="E834" t="s">
        <v>412</v>
      </c>
      <c r="F834" t="str">
        <f t="shared" si="15"/>
        <v>2018-05-20</v>
      </c>
      <c r="G834">
        <v>46.96</v>
      </c>
      <c r="H834" t="str">
        <f>"2017-12-03"</f>
        <v>2017-12-03</v>
      </c>
      <c r="I834" t="s">
        <v>26</v>
      </c>
      <c r="J834" t="str">
        <f>"2017-09-20"</f>
        <v>2017-09-20</v>
      </c>
      <c r="K834" t="s">
        <v>27</v>
      </c>
      <c r="L834">
        <v>2.2386906600000001</v>
      </c>
      <c r="M834">
        <v>833</v>
      </c>
      <c r="N834" s="1">
        <v>-1.7600000000000001E-2</v>
      </c>
      <c r="O834" s="1">
        <v>0.43209999999999998</v>
      </c>
      <c r="P834" s="1">
        <v>-0.10539999999999999</v>
      </c>
      <c r="Q834" s="1">
        <v>6.8999999999999999E-3</v>
      </c>
      <c r="R834" s="1">
        <v>4.1000000000000002E-2</v>
      </c>
      <c r="S834" s="1">
        <v>7.4099999999999999E-2</v>
      </c>
      <c r="T834" s="1">
        <v>0.08</v>
      </c>
      <c r="U834" s="1">
        <v>0.1638</v>
      </c>
    </row>
    <row r="835" spans="1:21" x14ac:dyDescent="0.25">
      <c r="A835" t="s">
        <v>1824</v>
      </c>
      <c r="B835" t="s">
        <v>1825</v>
      </c>
      <c r="C835" t="s">
        <v>23</v>
      </c>
      <c r="D835" t="s">
        <v>52</v>
      </c>
      <c r="E835" t="s">
        <v>56</v>
      </c>
      <c r="F835" t="str">
        <f t="shared" si="15"/>
        <v>2018-05-20</v>
      </c>
      <c r="G835">
        <v>56.95</v>
      </c>
      <c r="H835" t="str">
        <f>"2017-12-11"</f>
        <v>2017-12-11</v>
      </c>
      <c r="I835" t="s">
        <v>26</v>
      </c>
      <c r="J835" t="str">
        <f>"2017-09-21"</f>
        <v>2017-09-21</v>
      </c>
      <c r="K835" t="s">
        <v>27</v>
      </c>
      <c r="L835">
        <v>2.23788638</v>
      </c>
      <c r="M835">
        <v>834</v>
      </c>
      <c r="N835" s="1">
        <v>7.1499999999999994E-2</v>
      </c>
      <c r="O835" s="1">
        <v>0.42730000000000001</v>
      </c>
      <c r="P835" s="1">
        <v>-0.1115</v>
      </c>
      <c r="Q835" s="1">
        <v>1.52E-2</v>
      </c>
      <c r="R835" s="1">
        <v>3.1699999999999999E-2</v>
      </c>
      <c r="S835" s="1">
        <v>4.4999999999999998E-2</v>
      </c>
      <c r="T835" s="1">
        <v>9.5200000000000007E-2</v>
      </c>
      <c r="U835" s="1">
        <v>0.1069</v>
      </c>
    </row>
    <row r="836" spans="1:21" x14ac:dyDescent="0.25">
      <c r="A836" t="s">
        <v>1826</v>
      </c>
      <c r="B836" t="s">
        <v>1827</v>
      </c>
      <c r="C836" t="s">
        <v>109</v>
      </c>
      <c r="D836" t="s">
        <v>156</v>
      </c>
      <c r="E836" t="s">
        <v>277</v>
      </c>
      <c r="F836" t="str">
        <f t="shared" si="15"/>
        <v>2018-05-20</v>
      </c>
      <c r="G836">
        <v>6.53</v>
      </c>
      <c r="H836" t="str">
        <f>"2018-03-15"</f>
        <v>2018-03-15</v>
      </c>
      <c r="I836" t="s">
        <v>26</v>
      </c>
      <c r="J836" t="str">
        <f>"2018-03-07"</f>
        <v>2018-03-07</v>
      </c>
      <c r="K836" t="s">
        <v>27</v>
      </c>
      <c r="L836">
        <v>2.2376273699999998</v>
      </c>
      <c r="M836">
        <v>835</v>
      </c>
      <c r="N836" s="1">
        <v>-7.2400000000000006E-2</v>
      </c>
      <c r="O836" s="1">
        <v>0.42580000000000001</v>
      </c>
      <c r="P836" s="1">
        <v>-0.153</v>
      </c>
      <c r="Q836" s="1">
        <v>4.5999999999999999E-3</v>
      </c>
      <c r="R836" s="1">
        <v>7.22E-2</v>
      </c>
      <c r="S836" s="1">
        <v>0.1012</v>
      </c>
      <c r="T836" s="1">
        <v>7.9299999999999995E-2</v>
      </c>
      <c r="U836" s="1">
        <v>-0.28560000000000002</v>
      </c>
    </row>
    <row r="837" spans="1:21" x14ac:dyDescent="0.25">
      <c r="A837" t="s">
        <v>1828</v>
      </c>
      <c r="B837" t="s">
        <v>1829</v>
      </c>
      <c r="C837" t="s">
        <v>43</v>
      </c>
      <c r="D837" t="s">
        <v>119</v>
      </c>
      <c r="E837" t="s">
        <v>120</v>
      </c>
      <c r="F837" t="str">
        <f t="shared" si="15"/>
        <v>2018-05-20</v>
      </c>
      <c r="G837">
        <v>43.75</v>
      </c>
      <c r="H837" t="str">
        <f>"2016-11-17"</f>
        <v>2016-11-17</v>
      </c>
      <c r="I837" t="s">
        <v>26</v>
      </c>
      <c r="J837" t="str">
        <f>"2016-08-28"</f>
        <v>2016-08-28</v>
      </c>
      <c r="K837" t="s">
        <v>40</v>
      </c>
      <c r="L837">
        <v>2.23751357</v>
      </c>
      <c r="M837">
        <v>836</v>
      </c>
      <c r="N837" s="1">
        <v>0.25719999999999998</v>
      </c>
      <c r="O837" s="1">
        <v>0.42509999999999998</v>
      </c>
      <c r="P837" s="1">
        <v>-0.15210000000000001</v>
      </c>
      <c r="Q837" s="1">
        <v>2.2200000000000001E-2</v>
      </c>
      <c r="R837" s="1">
        <v>1.04E-2</v>
      </c>
      <c r="S837" s="1">
        <v>1.1599999999999999E-2</v>
      </c>
      <c r="T837" s="1">
        <v>-0.13789999999999999</v>
      </c>
      <c r="U837" s="1">
        <v>0.13489999999999999</v>
      </c>
    </row>
    <row r="838" spans="1:21" x14ac:dyDescent="0.25">
      <c r="A838" t="s">
        <v>1830</v>
      </c>
      <c r="B838" t="s">
        <v>1831</v>
      </c>
      <c r="C838" t="s">
        <v>37</v>
      </c>
      <c r="D838" t="s">
        <v>38</v>
      </c>
      <c r="E838" t="s">
        <v>39</v>
      </c>
      <c r="F838" t="str">
        <f t="shared" si="15"/>
        <v>2018-05-20</v>
      </c>
      <c r="G838">
        <v>21.75</v>
      </c>
      <c r="H838" t="str">
        <f>"2017-12-13"</f>
        <v>2017-12-13</v>
      </c>
      <c r="I838" t="s">
        <v>26</v>
      </c>
      <c r="J838" t="str">
        <f>"2017-07-12"</f>
        <v>2017-07-12</v>
      </c>
      <c r="K838" t="s">
        <v>57</v>
      </c>
      <c r="L838">
        <v>2.23677335</v>
      </c>
      <c r="M838">
        <v>837</v>
      </c>
      <c r="N838" s="1">
        <v>0.13159999999999999</v>
      </c>
      <c r="O838" s="1">
        <v>0.42059999999999997</v>
      </c>
      <c r="P838" s="1">
        <v>-0.32990000000000003</v>
      </c>
      <c r="Q838" s="1">
        <v>0</v>
      </c>
      <c r="R838" s="1">
        <v>7.4000000000000003E-3</v>
      </c>
      <c r="S838" s="1">
        <v>-6.2899999999999998E-2</v>
      </c>
      <c r="T838" s="1">
        <v>-0.11509999999999999</v>
      </c>
      <c r="U838" s="1">
        <v>0.1376</v>
      </c>
    </row>
    <row r="839" spans="1:21" x14ac:dyDescent="0.25">
      <c r="A839" t="s">
        <v>1832</v>
      </c>
      <c r="B839" t="s">
        <v>1833</v>
      </c>
      <c r="C839" t="s">
        <v>23</v>
      </c>
      <c r="D839" t="s">
        <v>52</v>
      </c>
      <c r="E839" t="s">
        <v>53</v>
      </c>
      <c r="F839" t="str">
        <f t="shared" si="15"/>
        <v>2018-05-20</v>
      </c>
      <c r="G839">
        <v>98.24</v>
      </c>
      <c r="H839" t="str">
        <f>"2016-10-12"</f>
        <v>2016-10-12</v>
      </c>
      <c r="I839" t="s">
        <v>26</v>
      </c>
      <c r="J839" t="str">
        <f>"2016-09-14"</f>
        <v>2016-09-14</v>
      </c>
      <c r="K839" t="s">
        <v>27</v>
      </c>
      <c r="L839">
        <v>2.2365063300000001</v>
      </c>
      <c r="M839">
        <v>838</v>
      </c>
      <c r="N839" s="1">
        <v>1.9599999999999999E-2</v>
      </c>
      <c r="O839" s="1">
        <v>0.41899999999999998</v>
      </c>
      <c r="P839" s="1">
        <v>-0.2238</v>
      </c>
      <c r="Q839" s="1">
        <v>1.32E-2</v>
      </c>
      <c r="R839" s="1">
        <v>1.66E-2</v>
      </c>
      <c r="S839" s="1">
        <v>-2.1000000000000001E-2</v>
      </c>
      <c r="T839" s="1">
        <v>-0.1124</v>
      </c>
      <c r="U839" s="1">
        <v>8.2299999999999998E-2</v>
      </c>
    </row>
    <row r="840" spans="1:21" x14ac:dyDescent="0.25">
      <c r="A840" t="s">
        <v>1834</v>
      </c>
      <c r="B840" t="s">
        <v>1835</v>
      </c>
      <c r="C840" t="s">
        <v>30</v>
      </c>
      <c r="D840" t="s">
        <v>48</v>
      </c>
      <c r="E840" t="s">
        <v>387</v>
      </c>
      <c r="F840" t="str">
        <f t="shared" si="15"/>
        <v>2018-05-20</v>
      </c>
      <c r="G840">
        <v>11.51</v>
      </c>
      <c r="H840" t="str">
        <f>"2017-09-27"</f>
        <v>2017-09-27</v>
      </c>
      <c r="I840" t="s">
        <v>26</v>
      </c>
      <c r="J840" t="str">
        <f>"2017-06-26"</f>
        <v>2017-06-26</v>
      </c>
      <c r="K840" t="s">
        <v>27</v>
      </c>
      <c r="L840">
        <v>2.23610256</v>
      </c>
      <c r="M840">
        <v>839</v>
      </c>
      <c r="N840" s="1">
        <v>0.15679999999999999</v>
      </c>
      <c r="O840" s="1">
        <v>0.41660000000000003</v>
      </c>
      <c r="P840" s="1">
        <v>-0.13</v>
      </c>
      <c r="Q840" s="1">
        <v>-6.8999999999999999E-3</v>
      </c>
      <c r="R840" s="1">
        <v>-4.3E-3</v>
      </c>
      <c r="S840" s="1">
        <v>0.189</v>
      </c>
      <c r="T840" s="1">
        <v>0.12509999999999999</v>
      </c>
      <c r="U840" s="1">
        <v>0.21029999999999999</v>
      </c>
    </row>
    <row r="841" spans="1:21" x14ac:dyDescent="0.25">
      <c r="A841" t="s">
        <v>1836</v>
      </c>
      <c r="B841" t="s">
        <v>1837</v>
      </c>
      <c r="C841" t="s">
        <v>43</v>
      </c>
      <c r="D841" t="s">
        <v>1342</v>
      </c>
      <c r="E841" t="s">
        <v>1343</v>
      </c>
      <c r="F841" t="str">
        <f t="shared" si="15"/>
        <v>2018-05-20</v>
      </c>
      <c r="G841">
        <v>36.1</v>
      </c>
      <c r="H841" t="str">
        <f>"2017-09-18"</f>
        <v>2017-09-18</v>
      </c>
      <c r="I841" t="s">
        <v>26</v>
      </c>
      <c r="J841" t="str">
        <f>"2017-07-11"</f>
        <v>2017-07-11</v>
      </c>
      <c r="K841" t="s">
        <v>40</v>
      </c>
      <c r="L841">
        <v>2.2353015599999999</v>
      </c>
      <c r="M841">
        <v>840</v>
      </c>
      <c r="N841" s="1">
        <v>0.11550000000000001</v>
      </c>
      <c r="O841" s="1">
        <v>0.4118</v>
      </c>
      <c r="P841" s="1">
        <v>-0.23519999999999999</v>
      </c>
      <c r="Q841" s="1">
        <v>1.55E-2</v>
      </c>
      <c r="R841" s="1">
        <v>0.03</v>
      </c>
      <c r="S841" s="1">
        <v>-9.4100000000000003E-2</v>
      </c>
      <c r="T841" s="1">
        <v>-0.1343</v>
      </c>
      <c r="U841" s="1">
        <v>0.3614</v>
      </c>
    </row>
    <row r="842" spans="1:21" x14ac:dyDescent="0.25">
      <c r="A842" t="s">
        <v>1838</v>
      </c>
      <c r="B842" t="s">
        <v>1839</v>
      </c>
      <c r="C842" t="s">
        <v>43</v>
      </c>
      <c r="D842" t="s">
        <v>119</v>
      </c>
      <c r="E842" t="s">
        <v>120</v>
      </c>
      <c r="F842" t="str">
        <f t="shared" si="15"/>
        <v>2018-05-20</v>
      </c>
      <c r="G842">
        <v>16.3</v>
      </c>
      <c r="H842" t="str">
        <f>"2018-03-11"</f>
        <v>2018-03-11</v>
      </c>
      <c r="I842" t="s">
        <v>26</v>
      </c>
      <c r="J842" t="str">
        <f>"2018-03-05"</f>
        <v>2018-03-05</v>
      </c>
      <c r="K842" t="s">
        <v>27</v>
      </c>
      <c r="L842">
        <v>2.2347012199999998</v>
      </c>
      <c r="M842">
        <v>841</v>
      </c>
      <c r="N842" s="1">
        <v>-0.11169999999999999</v>
      </c>
      <c r="O842" s="1">
        <v>0.40820000000000001</v>
      </c>
      <c r="P842" s="1">
        <v>-0.19109999999999999</v>
      </c>
      <c r="Q842" s="1">
        <v>9.2999999999999992E-3</v>
      </c>
      <c r="R842" s="1">
        <v>-3.2599999999999997E-2</v>
      </c>
      <c r="S842" s="1">
        <v>-9.1000000000000004E-3</v>
      </c>
      <c r="T842" s="1">
        <v>-4.3999999999999997E-2</v>
      </c>
      <c r="U842" s="1">
        <v>-0.2591</v>
      </c>
    </row>
    <row r="843" spans="1:21" x14ac:dyDescent="0.25">
      <c r="A843" t="s">
        <v>1840</v>
      </c>
      <c r="B843" t="s">
        <v>1841</v>
      </c>
      <c r="C843" t="s">
        <v>37</v>
      </c>
      <c r="D843" t="s">
        <v>38</v>
      </c>
      <c r="E843" t="s">
        <v>97</v>
      </c>
      <c r="F843" t="str">
        <f t="shared" si="15"/>
        <v>2018-05-20</v>
      </c>
      <c r="G843">
        <v>16.024999999999999</v>
      </c>
      <c r="H843" t="str">
        <f>"2018-03-04"</f>
        <v>2018-03-04</v>
      </c>
      <c r="I843" t="s">
        <v>26</v>
      </c>
      <c r="J843" t="str">
        <f>"2018-01-16"</f>
        <v>2018-01-16</v>
      </c>
      <c r="K843" t="s">
        <v>40</v>
      </c>
      <c r="L843">
        <v>2.2332605499999998</v>
      </c>
      <c r="M843">
        <v>842</v>
      </c>
      <c r="N843" s="1">
        <v>3.39E-2</v>
      </c>
      <c r="O843" s="1">
        <v>0.39960000000000001</v>
      </c>
      <c r="P843" s="1">
        <v>-0.25290000000000001</v>
      </c>
      <c r="Q843" s="1">
        <v>-0.151</v>
      </c>
      <c r="R843" s="1">
        <v>-0.23330000000000001</v>
      </c>
      <c r="S843" s="1">
        <v>-0.1988</v>
      </c>
      <c r="T843" s="1">
        <v>0.1406</v>
      </c>
      <c r="U843" s="1">
        <v>1.6933</v>
      </c>
    </row>
    <row r="844" spans="1:21" x14ac:dyDescent="0.25">
      <c r="A844" t="s">
        <v>1842</v>
      </c>
      <c r="B844" t="s">
        <v>1843</v>
      </c>
      <c r="C844" t="s">
        <v>37</v>
      </c>
      <c r="D844" t="s">
        <v>38</v>
      </c>
      <c r="E844" t="s">
        <v>39</v>
      </c>
      <c r="F844" t="str">
        <f t="shared" si="15"/>
        <v>2018-05-20</v>
      </c>
      <c r="G844">
        <v>2.76</v>
      </c>
      <c r="H844" t="str">
        <f>"2017-06-28"</f>
        <v>2017-06-28</v>
      </c>
      <c r="I844" t="s">
        <v>26</v>
      </c>
      <c r="J844" t="str">
        <f>"2017-05-28"</f>
        <v>2017-05-28</v>
      </c>
      <c r="K844" t="s">
        <v>27</v>
      </c>
      <c r="L844">
        <v>2.23232323</v>
      </c>
      <c r="M844">
        <v>843</v>
      </c>
      <c r="N844" s="1">
        <v>6.5600000000000006E-2</v>
      </c>
      <c r="O844" s="1">
        <v>0.39389999999999997</v>
      </c>
      <c r="P844" s="1">
        <v>-0.2137</v>
      </c>
      <c r="Q844" s="1">
        <v>-3.5999999999999999E-3</v>
      </c>
      <c r="R844" s="1">
        <v>-1.0800000000000001E-2</v>
      </c>
      <c r="S844" s="1">
        <v>-5.8000000000000003E-2</v>
      </c>
      <c r="T844" s="1">
        <v>7.8100000000000003E-2</v>
      </c>
      <c r="U844" s="1">
        <v>0.17449999999999999</v>
      </c>
    </row>
    <row r="845" spans="1:21" x14ac:dyDescent="0.25">
      <c r="A845" t="s">
        <v>1844</v>
      </c>
      <c r="B845" t="s">
        <v>1845</v>
      </c>
      <c r="C845" t="s">
        <v>37</v>
      </c>
      <c r="D845" t="s">
        <v>38</v>
      </c>
      <c r="E845" t="s">
        <v>97</v>
      </c>
      <c r="F845" t="str">
        <f t="shared" ref="F845:F908" si="16">"2018-05-20"</f>
        <v>2018-05-20</v>
      </c>
      <c r="G845">
        <v>14.47</v>
      </c>
      <c r="H845" t="str">
        <f>"2017-03-19"</f>
        <v>2017-03-19</v>
      </c>
      <c r="I845" t="s">
        <v>26</v>
      </c>
      <c r="J845" t="str">
        <f>"2017-02-13"</f>
        <v>2017-02-13</v>
      </c>
      <c r="K845" t="s">
        <v>27</v>
      </c>
      <c r="L845">
        <v>2.2316682700000001</v>
      </c>
      <c r="M845">
        <v>844</v>
      </c>
      <c r="N845" s="1">
        <v>0.1174</v>
      </c>
      <c r="O845" s="1">
        <v>0.39</v>
      </c>
      <c r="P845" s="1">
        <v>-0.1774</v>
      </c>
      <c r="Q845" s="1">
        <v>-8.2000000000000007E-3</v>
      </c>
      <c r="R845" s="1">
        <v>-1.6299999999999999E-2</v>
      </c>
      <c r="S845" s="1">
        <v>-9.2799999999999994E-2</v>
      </c>
      <c r="T845" s="1">
        <v>-9.1700000000000004E-2</v>
      </c>
      <c r="U845" s="1">
        <v>0.1978</v>
      </c>
    </row>
    <row r="846" spans="1:21" x14ac:dyDescent="0.25">
      <c r="A846" t="s">
        <v>1846</v>
      </c>
      <c r="B846" t="s">
        <v>1847</v>
      </c>
      <c r="C846" t="s">
        <v>43</v>
      </c>
      <c r="D846" t="s">
        <v>193</v>
      </c>
      <c r="E846" t="s">
        <v>194</v>
      </c>
      <c r="F846" t="str">
        <f t="shared" si="16"/>
        <v>2018-05-20</v>
      </c>
      <c r="G846">
        <v>25.86</v>
      </c>
      <c r="H846" t="str">
        <f>"2016-12-06"</f>
        <v>2016-12-06</v>
      </c>
      <c r="I846" t="s">
        <v>26</v>
      </c>
      <c r="J846" t="str">
        <f>"2016-11-13"</f>
        <v>2016-11-13</v>
      </c>
      <c r="K846" t="s">
        <v>27</v>
      </c>
      <c r="L846">
        <v>2.23097535</v>
      </c>
      <c r="M846">
        <v>845</v>
      </c>
      <c r="N846" s="1">
        <v>0.1004</v>
      </c>
      <c r="O846" s="1">
        <v>0.38590000000000002</v>
      </c>
      <c r="P846" s="1">
        <v>-0.1293</v>
      </c>
      <c r="Q846" s="1">
        <v>2.7799999999999998E-2</v>
      </c>
      <c r="R846" s="1">
        <v>3.56E-2</v>
      </c>
      <c r="S846" s="1">
        <v>-3.0700000000000002E-2</v>
      </c>
      <c r="T846" s="1">
        <v>8.5199999999999998E-2</v>
      </c>
      <c r="U846" s="1">
        <v>0.14779999999999999</v>
      </c>
    </row>
    <row r="847" spans="1:21" x14ac:dyDescent="0.25">
      <c r="A847" t="s">
        <v>1848</v>
      </c>
      <c r="B847" t="s">
        <v>1849</v>
      </c>
      <c r="C847" t="s">
        <v>23</v>
      </c>
      <c r="D847" t="s">
        <v>52</v>
      </c>
      <c r="E847" t="s">
        <v>53</v>
      </c>
      <c r="F847" t="str">
        <f t="shared" si="16"/>
        <v>2018-05-20</v>
      </c>
      <c r="G847">
        <v>22</v>
      </c>
      <c r="H847" t="str">
        <f>"2016-10-18"</f>
        <v>2016-10-18</v>
      </c>
      <c r="I847" t="s">
        <v>26</v>
      </c>
      <c r="J847" t="str">
        <f>"2016-07-25"</f>
        <v>2016-07-25</v>
      </c>
      <c r="K847" t="s">
        <v>27</v>
      </c>
      <c r="L847">
        <v>2.2304630200000002</v>
      </c>
      <c r="M847">
        <v>846</v>
      </c>
      <c r="N847" s="1">
        <v>0.16089999999999999</v>
      </c>
      <c r="O847" s="1">
        <v>0.38279999999999997</v>
      </c>
      <c r="P847" s="1">
        <v>-0.1522</v>
      </c>
      <c r="Q847" s="1">
        <v>1.38E-2</v>
      </c>
      <c r="R847" s="1">
        <v>6.2799999999999995E-2</v>
      </c>
      <c r="S847" s="1">
        <v>0.1139</v>
      </c>
      <c r="T847" s="1">
        <v>8.3699999999999997E-2</v>
      </c>
      <c r="U847" s="1">
        <v>0.17960000000000001</v>
      </c>
    </row>
    <row r="848" spans="1:21" x14ac:dyDescent="0.25">
      <c r="A848" t="s">
        <v>1850</v>
      </c>
      <c r="B848" t="s">
        <v>1851</v>
      </c>
      <c r="C848" t="s">
        <v>23</v>
      </c>
      <c r="D848" t="s">
        <v>24</v>
      </c>
      <c r="E848" t="s">
        <v>747</v>
      </c>
      <c r="F848" t="str">
        <f t="shared" si="16"/>
        <v>2018-05-20</v>
      </c>
      <c r="G848">
        <v>159.1</v>
      </c>
      <c r="H848" t="str">
        <f>"2017-12-21"</f>
        <v>2017-12-21</v>
      </c>
      <c r="I848" t="s">
        <v>26</v>
      </c>
      <c r="J848" t="str">
        <f>"2017-08-15"</f>
        <v>2017-08-15</v>
      </c>
      <c r="K848" t="s">
        <v>57</v>
      </c>
      <c r="L848">
        <v>2.23027935</v>
      </c>
      <c r="M848">
        <v>847</v>
      </c>
      <c r="N848" s="1">
        <v>-8.0999999999999996E-3</v>
      </c>
      <c r="O848" s="1">
        <v>0.38169999999999998</v>
      </c>
      <c r="P848" s="1">
        <v>-0.11409999999999999</v>
      </c>
      <c r="Q848" s="1">
        <v>-1.55E-2</v>
      </c>
      <c r="R848" s="1">
        <v>-3.8E-3</v>
      </c>
      <c r="S848" s="1">
        <v>0.1099</v>
      </c>
      <c r="T848" s="1">
        <v>-7.0699999999999999E-2</v>
      </c>
      <c r="U848" s="1">
        <v>0.1188</v>
      </c>
    </row>
    <row r="849" spans="1:21" x14ac:dyDescent="0.25">
      <c r="A849" t="s">
        <v>1852</v>
      </c>
      <c r="B849" t="s">
        <v>1853</v>
      </c>
      <c r="C849" t="s">
        <v>100</v>
      </c>
      <c r="D849" t="s">
        <v>199</v>
      </c>
      <c r="E849" t="s">
        <v>200</v>
      </c>
      <c r="F849" t="str">
        <f t="shared" si="16"/>
        <v>2018-05-20</v>
      </c>
      <c r="G849">
        <v>7.04</v>
      </c>
      <c r="H849" t="str">
        <f>"2017-12-19"</f>
        <v>2017-12-19</v>
      </c>
      <c r="I849" t="s">
        <v>26</v>
      </c>
      <c r="J849" t="str">
        <f>"2017-11-05"</f>
        <v>2017-11-05</v>
      </c>
      <c r="K849" t="s">
        <v>40</v>
      </c>
      <c r="L849">
        <v>2.2300653600000002</v>
      </c>
      <c r="M849">
        <v>848</v>
      </c>
      <c r="N849" s="1">
        <v>-4.7399999999999998E-2</v>
      </c>
      <c r="O849" s="1">
        <v>0.38040000000000002</v>
      </c>
      <c r="P849" s="1">
        <v>-0.14560000000000001</v>
      </c>
      <c r="Q849" s="1">
        <v>-1.4E-3</v>
      </c>
      <c r="R849" s="1">
        <v>1.29E-2</v>
      </c>
      <c r="S849" s="1">
        <v>-2.4899999999999999E-2</v>
      </c>
      <c r="T849" s="1">
        <v>-0.1111</v>
      </c>
      <c r="U849" s="1">
        <v>-3.0300000000000001E-2</v>
      </c>
    </row>
    <row r="850" spans="1:21" x14ac:dyDescent="0.25">
      <c r="A850" t="s">
        <v>1854</v>
      </c>
      <c r="B850" t="s">
        <v>1855</v>
      </c>
      <c r="C850" t="s">
        <v>518</v>
      </c>
      <c r="D850" t="s">
        <v>519</v>
      </c>
      <c r="E850" t="s">
        <v>520</v>
      </c>
      <c r="F850" t="str">
        <f t="shared" si="16"/>
        <v>2018-05-20</v>
      </c>
      <c r="G850">
        <v>4</v>
      </c>
      <c r="H850" t="str">
        <f>"2018-05-10"</f>
        <v>2018-05-10</v>
      </c>
      <c r="I850" t="s">
        <v>26</v>
      </c>
      <c r="J850" t="str">
        <f>"2018-02-06"</f>
        <v>2018-02-06</v>
      </c>
      <c r="K850" t="s">
        <v>40</v>
      </c>
      <c r="L850">
        <v>2.22988506</v>
      </c>
      <c r="M850">
        <v>849</v>
      </c>
      <c r="N850" s="1">
        <v>-0.1111</v>
      </c>
      <c r="O850" s="1">
        <v>0.37930000000000003</v>
      </c>
      <c r="P850" s="1">
        <v>-0.1111</v>
      </c>
      <c r="Q850" s="1">
        <v>0</v>
      </c>
      <c r="R850" s="1">
        <v>-9.0899999999999995E-2</v>
      </c>
      <c r="S850" s="1">
        <v>1.2699999999999999E-2</v>
      </c>
      <c r="T850" s="1">
        <v>0.3115</v>
      </c>
      <c r="U850" s="1">
        <v>0.33329999999999999</v>
      </c>
    </row>
    <row r="851" spans="1:21" x14ac:dyDescent="0.25">
      <c r="A851" t="s">
        <v>1856</v>
      </c>
      <c r="B851" t="s">
        <v>1857</v>
      </c>
      <c r="C851" t="s">
        <v>43</v>
      </c>
      <c r="D851" t="s">
        <v>169</v>
      </c>
      <c r="E851" t="s">
        <v>904</v>
      </c>
      <c r="F851" t="str">
        <f t="shared" si="16"/>
        <v>2018-05-20</v>
      </c>
      <c r="G851">
        <v>5.62</v>
      </c>
      <c r="H851" t="str">
        <f>"2018-01-21"</f>
        <v>2018-01-21</v>
      </c>
      <c r="I851" t="s">
        <v>26</v>
      </c>
      <c r="J851" t="str">
        <f>"2015-10-28"</f>
        <v>2015-10-28</v>
      </c>
      <c r="K851" t="s">
        <v>57</v>
      </c>
      <c r="L851">
        <v>2.2278994299999999</v>
      </c>
      <c r="M851">
        <v>850</v>
      </c>
      <c r="N851" s="1">
        <v>0.1263</v>
      </c>
      <c r="O851" s="1">
        <v>0.3674</v>
      </c>
      <c r="P851" s="1">
        <v>-0.38779999999999998</v>
      </c>
      <c r="Q851" s="1">
        <v>2.18E-2</v>
      </c>
      <c r="R851" s="1">
        <v>-2.0899999999999998E-2</v>
      </c>
      <c r="S851" s="1">
        <v>5.2400000000000002E-2</v>
      </c>
      <c r="T851" s="1">
        <v>0.14230000000000001</v>
      </c>
      <c r="U851" s="1">
        <v>0.1757</v>
      </c>
    </row>
    <row r="852" spans="1:21" x14ac:dyDescent="0.25">
      <c r="A852" t="s">
        <v>1858</v>
      </c>
      <c r="B852" t="s">
        <v>1859</v>
      </c>
      <c r="C852" t="s">
        <v>100</v>
      </c>
      <c r="D852" t="s">
        <v>199</v>
      </c>
      <c r="E852" t="s">
        <v>200</v>
      </c>
      <c r="F852" t="str">
        <f t="shared" si="16"/>
        <v>2018-05-20</v>
      </c>
      <c r="G852">
        <v>18.11</v>
      </c>
      <c r="H852" t="str">
        <f>"2017-07-10"</f>
        <v>2017-07-10</v>
      </c>
      <c r="I852" t="s">
        <v>26</v>
      </c>
      <c r="J852" t="str">
        <f>"2017-05-03"</f>
        <v>2017-05-03</v>
      </c>
      <c r="K852" t="s">
        <v>40</v>
      </c>
      <c r="L852">
        <v>2.2277987399999999</v>
      </c>
      <c r="M852">
        <v>851</v>
      </c>
      <c r="N852" s="1">
        <v>0.10970000000000001</v>
      </c>
      <c r="O852" s="1">
        <v>0.36680000000000001</v>
      </c>
      <c r="P852" s="1">
        <v>-0.33950000000000002</v>
      </c>
      <c r="Q852" s="1">
        <v>-1.5800000000000002E-2</v>
      </c>
      <c r="R852" s="1">
        <v>4.4400000000000002E-2</v>
      </c>
      <c r="S852" s="1">
        <v>-8.72E-2</v>
      </c>
      <c r="T852" s="1">
        <v>-0.1217</v>
      </c>
      <c r="U852" s="1">
        <v>-2.2000000000000001E-3</v>
      </c>
    </row>
    <row r="853" spans="1:21" x14ac:dyDescent="0.25">
      <c r="A853" t="s">
        <v>1860</v>
      </c>
      <c r="B853" t="s">
        <v>1861</v>
      </c>
      <c r="C853" t="s">
        <v>37</v>
      </c>
      <c r="D853" t="s">
        <v>38</v>
      </c>
      <c r="E853" t="s">
        <v>97</v>
      </c>
      <c r="F853" t="str">
        <f t="shared" si="16"/>
        <v>2018-05-20</v>
      </c>
      <c r="G853">
        <v>32.630000000000003</v>
      </c>
      <c r="H853" t="str">
        <f>"2018-01-25"</f>
        <v>2018-01-25</v>
      </c>
      <c r="I853" t="s">
        <v>26</v>
      </c>
      <c r="J853" t="str">
        <f>"2017-12-12"</f>
        <v>2017-12-12</v>
      </c>
      <c r="K853" t="s">
        <v>40</v>
      </c>
      <c r="L853">
        <v>2.2274501600000001</v>
      </c>
      <c r="M853">
        <v>852</v>
      </c>
      <c r="N853" s="1">
        <v>-0.1198</v>
      </c>
      <c r="O853" s="1">
        <v>0.36470000000000002</v>
      </c>
      <c r="P853" s="1">
        <v>-0.16850000000000001</v>
      </c>
      <c r="Q853" s="1">
        <v>-9.4000000000000004E-3</v>
      </c>
      <c r="R853" s="1">
        <v>5.6300000000000003E-2</v>
      </c>
      <c r="S853" s="1">
        <v>7.8700000000000006E-2</v>
      </c>
      <c r="T853" s="1">
        <v>3.3999999999999998E-3</v>
      </c>
      <c r="U853" s="1">
        <v>-3.1800000000000002E-2</v>
      </c>
    </row>
    <row r="854" spans="1:21" x14ac:dyDescent="0.25">
      <c r="A854" t="s">
        <v>1862</v>
      </c>
      <c r="B854" t="s">
        <v>1863</v>
      </c>
      <c r="C854" t="s">
        <v>30</v>
      </c>
      <c r="D854" t="s">
        <v>482</v>
      </c>
      <c r="E854" t="s">
        <v>482</v>
      </c>
      <c r="F854" t="str">
        <f t="shared" si="16"/>
        <v>2018-05-20</v>
      </c>
      <c r="G854">
        <v>20.36</v>
      </c>
      <c r="H854" t="str">
        <f>"2017-01-05"</f>
        <v>2017-01-05</v>
      </c>
      <c r="I854" t="s">
        <v>26</v>
      </c>
      <c r="J854" t="str">
        <f>"2016-11-22"</f>
        <v>2016-11-22</v>
      </c>
      <c r="K854" t="s">
        <v>27</v>
      </c>
      <c r="L854">
        <v>2.2262222199999999</v>
      </c>
      <c r="M854">
        <v>853</v>
      </c>
      <c r="N854" s="1">
        <v>6.0999999999999999E-2</v>
      </c>
      <c r="O854" s="1">
        <v>0.35730000000000001</v>
      </c>
      <c r="P854" s="1">
        <v>-0.22819999999999999</v>
      </c>
      <c r="Q854" s="1">
        <v>0</v>
      </c>
      <c r="R854" s="1">
        <v>2.2599999999999999E-2</v>
      </c>
      <c r="S854" s="1">
        <v>-9.7500000000000003E-2</v>
      </c>
      <c r="T854" s="1">
        <v>-0.13100000000000001</v>
      </c>
      <c r="U854" s="1">
        <v>2E-3</v>
      </c>
    </row>
    <row r="855" spans="1:21" x14ac:dyDescent="0.25">
      <c r="A855" t="s">
        <v>1864</v>
      </c>
      <c r="B855" t="s">
        <v>1865</v>
      </c>
      <c r="C855" t="s">
        <v>114</v>
      </c>
      <c r="D855" t="s">
        <v>225</v>
      </c>
      <c r="E855" t="s">
        <v>226</v>
      </c>
      <c r="F855" t="str">
        <f t="shared" si="16"/>
        <v>2018-05-20</v>
      </c>
      <c r="G855">
        <v>23.34</v>
      </c>
      <c r="H855" t="str">
        <f>"2017-05-16"</f>
        <v>2017-05-16</v>
      </c>
      <c r="I855" t="s">
        <v>26</v>
      </c>
      <c r="J855" t="str">
        <f>"2017-04-19"</f>
        <v>2017-04-19</v>
      </c>
      <c r="K855" t="s">
        <v>27</v>
      </c>
      <c r="L855">
        <v>2.2252460900000002</v>
      </c>
      <c r="M855">
        <v>854</v>
      </c>
      <c r="N855" s="1">
        <v>0.2356</v>
      </c>
      <c r="O855" s="1">
        <v>0.35149999999999998</v>
      </c>
      <c r="P855" s="1">
        <v>-0.17380000000000001</v>
      </c>
      <c r="Q855" s="1">
        <v>6.0000000000000001E-3</v>
      </c>
      <c r="R855" s="1">
        <v>1.6999999999999999E-3</v>
      </c>
      <c r="S855" s="1">
        <v>-0.1142</v>
      </c>
      <c r="T855" s="1">
        <v>-0.1166</v>
      </c>
      <c r="U855" s="1">
        <v>0.25419999999999998</v>
      </c>
    </row>
    <row r="856" spans="1:21" x14ac:dyDescent="0.25">
      <c r="A856" t="s">
        <v>1866</v>
      </c>
      <c r="B856" t="s">
        <v>1867</v>
      </c>
      <c r="C856" t="s">
        <v>30</v>
      </c>
      <c r="D856" t="s">
        <v>347</v>
      </c>
      <c r="E856" t="s">
        <v>523</v>
      </c>
      <c r="F856" t="str">
        <f t="shared" si="16"/>
        <v>2018-05-20</v>
      </c>
      <c r="G856">
        <v>8.7799999999999994</v>
      </c>
      <c r="H856" t="str">
        <f>"2018-04-16"</f>
        <v>2018-04-16</v>
      </c>
      <c r="I856" t="s">
        <v>26</v>
      </c>
      <c r="J856" t="str">
        <f>"2018-04-05"</f>
        <v>2018-04-05</v>
      </c>
      <c r="K856" t="s">
        <v>27</v>
      </c>
      <c r="L856">
        <v>2.2247823900000001</v>
      </c>
      <c r="M856">
        <v>855</v>
      </c>
      <c r="N856" s="1">
        <v>-4.36E-2</v>
      </c>
      <c r="O856" s="1">
        <v>0.34870000000000001</v>
      </c>
      <c r="P856" s="1">
        <v>-0.1908</v>
      </c>
      <c r="Q856" s="1">
        <v>1.8599999999999998E-2</v>
      </c>
      <c r="R856" s="1">
        <v>-8.9999999999999993E-3</v>
      </c>
      <c r="S856" s="1">
        <v>-7.9000000000000008E-3</v>
      </c>
      <c r="T856" s="1">
        <v>7.1999999999999995E-2</v>
      </c>
      <c r="U856" s="1">
        <v>9.7500000000000003E-2</v>
      </c>
    </row>
    <row r="857" spans="1:21" x14ac:dyDescent="0.25">
      <c r="A857" t="s">
        <v>1868</v>
      </c>
      <c r="B857" t="s">
        <v>1869</v>
      </c>
      <c r="C857" t="s">
        <v>23</v>
      </c>
      <c r="D857" t="s">
        <v>24</v>
      </c>
      <c r="E857" t="s">
        <v>494</v>
      </c>
      <c r="F857" t="str">
        <f t="shared" si="16"/>
        <v>2018-05-20</v>
      </c>
      <c r="G857">
        <v>14.93</v>
      </c>
      <c r="H857" t="str">
        <f>"2017-09-25"</f>
        <v>2017-09-25</v>
      </c>
      <c r="I857" t="s">
        <v>26</v>
      </c>
      <c r="J857" t="str">
        <f>"2017-05-16"</f>
        <v>2017-05-16</v>
      </c>
      <c r="K857" t="s">
        <v>40</v>
      </c>
      <c r="L857">
        <v>2.2247816899999999</v>
      </c>
      <c r="M857">
        <v>856</v>
      </c>
      <c r="N857" s="1">
        <v>0.2228</v>
      </c>
      <c r="O857" s="1">
        <v>0.34870000000000001</v>
      </c>
      <c r="P857" s="1">
        <v>-0.14729999999999999</v>
      </c>
      <c r="Q857" s="1">
        <v>8.0999999999999996E-3</v>
      </c>
      <c r="R857" s="1">
        <v>-1.9099999999999999E-2</v>
      </c>
      <c r="S857" s="1">
        <v>-9.9000000000000005E-2</v>
      </c>
      <c r="T857" s="1">
        <v>-6.0000000000000001E-3</v>
      </c>
      <c r="U857" s="1">
        <v>0.30959999999999999</v>
      </c>
    </row>
    <row r="858" spans="1:21" x14ac:dyDescent="0.25">
      <c r="A858" t="s">
        <v>1870</v>
      </c>
      <c r="B858" t="s">
        <v>1871</v>
      </c>
      <c r="C858" t="s">
        <v>37</v>
      </c>
      <c r="D858" t="s">
        <v>38</v>
      </c>
      <c r="E858" t="s">
        <v>39</v>
      </c>
      <c r="F858" t="str">
        <f t="shared" si="16"/>
        <v>2018-05-20</v>
      </c>
      <c r="G858">
        <v>4.3</v>
      </c>
      <c r="H858" t="str">
        <f>"2018-03-29"</f>
        <v>2018-03-29</v>
      </c>
      <c r="I858" t="s">
        <v>26</v>
      </c>
      <c r="J858" t="str">
        <f>"2018-01-25"</f>
        <v>2018-01-25</v>
      </c>
      <c r="K858" t="s">
        <v>27</v>
      </c>
      <c r="L858">
        <v>2.2239583299999999</v>
      </c>
      <c r="M858">
        <v>857</v>
      </c>
      <c r="N858" s="1">
        <v>-0.1963</v>
      </c>
      <c r="O858" s="1">
        <v>0.34379999999999999</v>
      </c>
      <c r="P858" s="1">
        <v>-0.22939999999999999</v>
      </c>
      <c r="Q858" s="1">
        <v>7.0000000000000001E-3</v>
      </c>
      <c r="R858" s="1">
        <v>-2.0500000000000001E-2</v>
      </c>
      <c r="S858" s="1">
        <v>-0.10970000000000001</v>
      </c>
      <c r="T858" s="1">
        <v>-0.1079</v>
      </c>
      <c r="U858" s="1">
        <v>-0.49170000000000003</v>
      </c>
    </row>
    <row r="859" spans="1:21" x14ac:dyDescent="0.25">
      <c r="A859" t="s">
        <v>1872</v>
      </c>
      <c r="B859" t="s">
        <v>1873</v>
      </c>
      <c r="C859" t="s">
        <v>87</v>
      </c>
      <c r="D859" t="s">
        <v>144</v>
      </c>
      <c r="E859" t="s">
        <v>145</v>
      </c>
      <c r="F859" t="str">
        <f t="shared" si="16"/>
        <v>2018-05-20</v>
      </c>
      <c r="G859">
        <v>48.6</v>
      </c>
      <c r="H859" t="str">
        <f>"2018-01-23"</f>
        <v>2018-01-23</v>
      </c>
      <c r="I859" t="s">
        <v>26</v>
      </c>
      <c r="J859" t="str">
        <f>"2017-11-27"</f>
        <v>2017-11-27</v>
      </c>
      <c r="K859" t="s">
        <v>27</v>
      </c>
      <c r="L859">
        <v>2.2237569100000001</v>
      </c>
      <c r="M859">
        <v>858</v>
      </c>
      <c r="N859" s="1">
        <v>-0.1227</v>
      </c>
      <c r="O859" s="1">
        <v>0.34250000000000003</v>
      </c>
      <c r="P859" s="1">
        <v>-0.13750000000000001</v>
      </c>
      <c r="Q859" s="1">
        <v>-2.0999999999999999E-3</v>
      </c>
      <c r="R859" s="1">
        <v>8.3599999999999994E-2</v>
      </c>
      <c r="S859" s="1">
        <v>8.1199999999999994E-2</v>
      </c>
      <c r="T859" s="1">
        <v>3.4000000000000002E-2</v>
      </c>
      <c r="U859" s="1">
        <v>-8.7300000000000003E-2</v>
      </c>
    </row>
    <row r="860" spans="1:21" x14ac:dyDescent="0.25">
      <c r="A860" t="s">
        <v>1874</v>
      </c>
      <c r="B860" t="s">
        <v>1875</v>
      </c>
      <c r="C860" t="s">
        <v>30</v>
      </c>
      <c r="D860" t="s">
        <v>48</v>
      </c>
      <c r="E860" t="s">
        <v>485</v>
      </c>
      <c r="F860" t="str">
        <f t="shared" si="16"/>
        <v>2018-05-20</v>
      </c>
      <c r="G860">
        <v>8.15</v>
      </c>
      <c r="H860" t="str">
        <f>"2017-10-29"</f>
        <v>2017-10-29</v>
      </c>
      <c r="I860" t="s">
        <v>26</v>
      </c>
      <c r="J860" t="str">
        <f>"2017-08-06"</f>
        <v>2017-08-06</v>
      </c>
      <c r="K860" t="s">
        <v>27</v>
      </c>
      <c r="L860">
        <v>2.22304324</v>
      </c>
      <c r="M860">
        <v>859</v>
      </c>
      <c r="N860" s="1">
        <v>0.10879999999999999</v>
      </c>
      <c r="O860" s="1">
        <v>0.33829999999999999</v>
      </c>
      <c r="P860" s="1">
        <v>-0.185</v>
      </c>
      <c r="Q860" s="1">
        <v>7.4000000000000003E-3</v>
      </c>
      <c r="R860" s="1">
        <v>0.02</v>
      </c>
      <c r="S860" s="1">
        <v>1.37E-2</v>
      </c>
      <c r="T860" s="1">
        <v>0.1447</v>
      </c>
      <c r="U860" s="1">
        <v>0.35610000000000003</v>
      </c>
    </row>
    <row r="861" spans="1:21" x14ac:dyDescent="0.25">
      <c r="A861" t="s">
        <v>1876</v>
      </c>
      <c r="B861" t="s">
        <v>1877</v>
      </c>
      <c r="C861" t="s">
        <v>83</v>
      </c>
      <c r="D861" t="s">
        <v>84</v>
      </c>
      <c r="E861" t="s">
        <v>84</v>
      </c>
      <c r="F861" t="str">
        <f t="shared" si="16"/>
        <v>2018-05-20</v>
      </c>
      <c r="G861">
        <v>31.4</v>
      </c>
      <c r="H861" t="str">
        <f>"2017-01-04"</f>
        <v>2017-01-04</v>
      </c>
      <c r="I861" t="s">
        <v>26</v>
      </c>
      <c r="J861" t="str">
        <f>"2016-08-15"</f>
        <v>2016-08-15</v>
      </c>
      <c r="K861" t="s">
        <v>40</v>
      </c>
      <c r="L861">
        <v>2.2222222199999999</v>
      </c>
      <c r="M861">
        <v>860</v>
      </c>
      <c r="N861" s="1">
        <v>4.6699999999999998E-2</v>
      </c>
      <c r="O861" s="1">
        <v>0.33329999999999999</v>
      </c>
      <c r="P861" s="1">
        <v>-0.21890000000000001</v>
      </c>
      <c r="Q861" s="1">
        <v>6.4000000000000003E-3</v>
      </c>
      <c r="R861" s="1">
        <v>1.1299999999999999E-2</v>
      </c>
      <c r="S861" s="1">
        <v>-0.1865</v>
      </c>
      <c r="T861" s="1">
        <v>-6.13E-2</v>
      </c>
      <c r="U861" s="1">
        <v>-2.64E-2</v>
      </c>
    </row>
    <row r="862" spans="1:21" x14ac:dyDescent="0.25">
      <c r="A862" t="s">
        <v>1878</v>
      </c>
      <c r="B862" t="s">
        <v>1879</v>
      </c>
      <c r="C862" t="s">
        <v>43</v>
      </c>
      <c r="D862" t="s">
        <v>169</v>
      </c>
      <c r="E862" t="s">
        <v>904</v>
      </c>
      <c r="F862" t="str">
        <f t="shared" si="16"/>
        <v>2018-05-20</v>
      </c>
      <c r="G862">
        <v>7.7</v>
      </c>
      <c r="H862" t="str">
        <f>"2017-08-20"</f>
        <v>2017-08-20</v>
      </c>
      <c r="I862" t="s">
        <v>26</v>
      </c>
      <c r="J862" t="str">
        <f>"2017-05-03"</f>
        <v>2017-05-03</v>
      </c>
      <c r="K862" t="s">
        <v>40</v>
      </c>
      <c r="L862">
        <v>2.2212643700000001</v>
      </c>
      <c r="M862">
        <v>861</v>
      </c>
      <c r="N862" s="1">
        <v>1.9900000000000001E-2</v>
      </c>
      <c r="O862" s="1">
        <v>0.3276</v>
      </c>
      <c r="P862" s="1">
        <v>-0.1149</v>
      </c>
      <c r="Q862" s="1">
        <v>1.9900000000000001E-2</v>
      </c>
      <c r="R862" s="1">
        <v>-1.2800000000000001E-2</v>
      </c>
      <c r="S862" s="1">
        <v>-1.2800000000000001E-2</v>
      </c>
      <c r="T862" s="1">
        <v>-3.7499999999999999E-2</v>
      </c>
      <c r="U862" s="1">
        <v>0.2419</v>
      </c>
    </row>
    <row r="863" spans="1:21" x14ac:dyDescent="0.25">
      <c r="A863" t="s">
        <v>1880</v>
      </c>
      <c r="B863" t="s">
        <v>1881</v>
      </c>
      <c r="C863" t="s">
        <v>30</v>
      </c>
      <c r="D863" t="s">
        <v>31</v>
      </c>
      <c r="E863" t="s">
        <v>31</v>
      </c>
      <c r="F863" t="str">
        <f t="shared" si="16"/>
        <v>2018-05-20</v>
      </c>
      <c r="G863">
        <v>16.399999999999999</v>
      </c>
      <c r="H863" t="str">
        <f>"2016-04-10"</f>
        <v>2016-04-10</v>
      </c>
      <c r="I863" t="s">
        <v>26</v>
      </c>
      <c r="J863" t="str">
        <f>"2016-01-11"</f>
        <v>2016-01-11</v>
      </c>
      <c r="K863" t="s">
        <v>40</v>
      </c>
      <c r="L863">
        <v>2.21972133</v>
      </c>
      <c r="M863">
        <v>862</v>
      </c>
      <c r="N863" s="1">
        <v>0.21659999999999999</v>
      </c>
      <c r="O863" s="1">
        <v>0.31830000000000003</v>
      </c>
      <c r="P863" s="1">
        <v>-0.1368</v>
      </c>
      <c r="Q863" s="1">
        <v>3.0999999999999999E-3</v>
      </c>
      <c r="R863" s="1">
        <v>1.8599999999999998E-2</v>
      </c>
      <c r="S863" s="1">
        <v>2.5000000000000001E-2</v>
      </c>
      <c r="T863" s="1">
        <v>5.1299999999999998E-2</v>
      </c>
      <c r="U863" s="1">
        <v>0.1195</v>
      </c>
    </row>
    <row r="864" spans="1:21" x14ac:dyDescent="0.25">
      <c r="A864" t="s">
        <v>1882</v>
      </c>
      <c r="B864" t="s">
        <v>1883</v>
      </c>
      <c r="C864" t="s">
        <v>43</v>
      </c>
      <c r="D864" t="s">
        <v>44</v>
      </c>
      <c r="E864" t="s">
        <v>45</v>
      </c>
      <c r="F864" t="str">
        <f t="shared" si="16"/>
        <v>2018-05-20</v>
      </c>
      <c r="G864">
        <v>25.65</v>
      </c>
      <c r="H864" t="str">
        <f>"2017-11-06"</f>
        <v>2017-11-06</v>
      </c>
      <c r="I864" t="s">
        <v>26</v>
      </c>
      <c r="J864" t="str">
        <f>"2017-08-14"</f>
        <v>2017-08-14</v>
      </c>
      <c r="K864" t="s">
        <v>40</v>
      </c>
      <c r="L864">
        <v>2.2186700799999999</v>
      </c>
      <c r="M864">
        <v>863</v>
      </c>
      <c r="N864" s="1">
        <v>-6.5600000000000006E-2</v>
      </c>
      <c r="O864" s="1">
        <v>0.312</v>
      </c>
      <c r="P864" s="1">
        <v>-0.1246</v>
      </c>
      <c r="Q864" s="1">
        <v>2E-3</v>
      </c>
      <c r="R864" s="1">
        <v>4.48E-2</v>
      </c>
      <c r="S864" s="1">
        <v>-0.05</v>
      </c>
      <c r="T864" s="1">
        <v>-8.8800000000000004E-2</v>
      </c>
      <c r="U864" s="1">
        <v>-2.1000000000000001E-2</v>
      </c>
    </row>
    <row r="865" spans="1:21" x14ac:dyDescent="0.25">
      <c r="A865" t="s">
        <v>1884</v>
      </c>
      <c r="B865" t="s">
        <v>1885</v>
      </c>
      <c r="C865" t="s">
        <v>100</v>
      </c>
      <c r="D865" t="s">
        <v>1034</v>
      </c>
      <c r="E865" t="s">
        <v>1035</v>
      </c>
      <c r="F865" t="str">
        <f t="shared" si="16"/>
        <v>2018-05-20</v>
      </c>
      <c r="G865">
        <v>79.81</v>
      </c>
      <c r="H865" t="str">
        <f>"2017-10-19"</f>
        <v>2017-10-19</v>
      </c>
      <c r="I865" t="s">
        <v>26</v>
      </c>
      <c r="J865" t="str">
        <f>"2016-10-06"</f>
        <v>2016-10-06</v>
      </c>
      <c r="K865" t="s">
        <v>34</v>
      </c>
      <c r="L865">
        <v>2.2183464700000002</v>
      </c>
      <c r="M865">
        <v>864</v>
      </c>
      <c r="N865" s="1">
        <v>6.4000000000000001E-2</v>
      </c>
      <c r="O865" s="1">
        <v>0.31009999999999999</v>
      </c>
      <c r="P865" s="1">
        <v>-0.20749999999999999</v>
      </c>
      <c r="Q865" s="1">
        <v>8.3000000000000001E-3</v>
      </c>
      <c r="R865" s="1">
        <v>2.7699999999999999E-2</v>
      </c>
      <c r="S865" s="1">
        <v>-0.19259999999999999</v>
      </c>
      <c r="T865" s="1">
        <v>-0.1956</v>
      </c>
      <c r="U865" s="1">
        <v>0.1106</v>
      </c>
    </row>
    <row r="866" spans="1:21" x14ac:dyDescent="0.25">
      <c r="A866" t="s">
        <v>1886</v>
      </c>
      <c r="B866" t="s">
        <v>1887</v>
      </c>
      <c r="C866" t="s">
        <v>87</v>
      </c>
      <c r="D866" t="s">
        <v>88</v>
      </c>
      <c r="E866" t="s">
        <v>89</v>
      </c>
      <c r="F866" t="str">
        <f t="shared" si="16"/>
        <v>2018-05-20</v>
      </c>
      <c r="G866">
        <v>2.91</v>
      </c>
      <c r="H866" t="str">
        <f>"2018-01-21"</f>
        <v>2018-01-21</v>
      </c>
      <c r="I866" t="s">
        <v>26</v>
      </c>
      <c r="J866" t="str">
        <f>"2017-12-21"</f>
        <v>2017-12-21</v>
      </c>
      <c r="K866" t="s">
        <v>27</v>
      </c>
      <c r="L866">
        <v>2.21748879</v>
      </c>
      <c r="M866">
        <v>865</v>
      </c>
      <c r="N866" s="1">
        <v>-0.19170000000000001</v>
      </c>
      <c r="O866" s="1">
        <v>0.3049</v>
      </c>
      <c r="P866" s="1">
        <v>-0.25950000000000001</v>
      </c>
      <c r="Q866" s="1">
        <v>5.8200000000000002E-2</v>
      </c>
      <c r="R866" s="1">
        <v>0.1023</v>
      </c>
      <c r="S866" s="1">
        <v>5.8200000000000002E-2</v>
      </c>
      <c r="T866" s="1">
        <v>-0.1046</v>
      </c>
      <c r="U866" s="1">
        <v>-1.3599999999999999E-2</v>
      </c>
    </row>
    <row r="867" spans="1:21" x14ac:dyDescent="0.25">
      <c r="A867" t="s">
        <v>1888</v>
      </c>
      <c r="B867" t="s">
        <v>1889</v>
      </c>
      <c r="C867" t="s">
        <v>109</v>
      </c>
      <c r="D867" t="s">
        <v>110</v>
      </c>
      <c r="E867" t="s">
        <v>111</v>
      </c>
      <c r="F867" t="str">
        <f t="shared" si="16"/>
        <v>2018-05-20</v>
      </c>
      <c r="G867">
        <v>73.7</v>
      </c>
      <c r="H867" t="str">
        <f>"2017-09-28"</f>
        <v>2017-09-28</v>
      </c>
      <c r="I867" t="s">
        <v>26</v>
      </c>
      <c r="J867" t="str">
        <f>"2017-08-08"</f>
        <v>2017-08-08</v>
      </c>
      <c r="K867" t="s">
        <v>27</v>
      </c>
      <c r="L867">
        <v>2.2166372700000001</v>
      </c>
      <c r="M867">
        <v>866</v>
      </c>
      <c r="N867" s="1">
        <v>0.14180000000000001</v>
      </c>
      <c r="O867" s="1">
        <v>0.29980000000000001</v>
      </c>
      <c r="P867" s="1">
        <v>-0.15190000000000001</v>
      </c>
      <c r="Q867" s="1">
        <v>-8.0999999999999996E-3</v>
      </c>
      <c r="R867" s="1">
        <v>-5.0299999999999997E-2</v>
      </c>
      <c r="S867" s="1">
        <v>-5.6300000000000003E-2</v>
      </c>
      <c r="T867" s="1">
        <v>-0.13139999999999999</v>
      </c>
      <c r="U867" s="1">
        <v>0.38009999999999999</v>
      </c>
    </row>
    <row r="868" spans="1:21" x14ac:dyDescent="0.25">
      <c r="A868" t="s">
        <v>1890</v>
      </c>
      <c r="B868" t="s">
        <v>1891</v>
      </c>
      <c r="C868" t="s">
        <v>43</v>
      </c>
      <c r="D868" t="s">
        <v>119</v>
      </c>
      <c r="E868" t="s">
        <v>205</v>
      </c>
      <c r="F868" t="str">
        <f t="shared" si="16"/>
        <v>2018-05-20</v>
      </c>
      <c r="G868">
        <v>48.9</v>
      </c>
      <c r="H868" t="str">
        <f>"2017-09-17"</f>
        <v>2017-09-17</v>
      </c>
      <c r="I868" t="s">
        <v>26</v>
      </c>
      <c r="J868" t="str">
        <f>"2017-05-18"</f>
        <v>2017-05-18</v>
      </c>
      <c r="K868" t="s">
        <v>40</v>
      </c>
      <c r="L868">
        <v>2.21618037</v>
      </c>
      <c r="M868">
        <v>867</v>
      </c>
      <c r="N868" s="1">
        <v>0.1026</v>
      </c>
      <c r="O868" s="1">
        <v>0.29709999999999998</v>
      </c>
      <c r="P868" s="1">
        <v>-0.15690000000000001</v>
      </c>
      <c r="Q868" s="1">
        <v>1.03E-2</v>
      </c>
      <c r="R868" s="1">
        <v>4.1500000000000002E-2</v>
      </c>
      <c r="S868" s="1">
        <v>-0.1244</v>
      </c>
      <c r="T868" s="1">
        <v>-8.8499999999999995E-2</v>
      </c>
      <c r="U868" s="1">
        <v>0.1797</v>
      </c>
    </row>
    <row r="869" spans="1:21" x14ac:dyDescent="0.25">
      <c r="A869" t="s">
        <v>1892</v>
      </c>
      <c r="B869" t="s">
        <v>1893</v>
      </c>
      <c r="C869" t="s">
        <v>23</v>
      </c>
      <c r="D869" t="s">
        <v>24</v>
      </c>
      <c r="E869" t="s">
        <v>494</v>
      </c>
      <c r="F869" t="str">
        <f t="shared" si="16"/>
        <v>2018-05-20</v>
      </c>
      <c r="G869">
        <v>21.42</v>
      </c>
      <c r="H869" t="str">
        <f>"2017-12-05"</f>
        <v>2017-12-05</v>
      </c>
      <c r="I869" t="s">
        <v>26</v>
      </c>
      <c r="J869" t="str">
        <f>"2017-11-20"</f>
        <v>2017-11-20</v>
      </c>
      <c r="K869" t="s">
        <v>27</v>
      </c>
      <c r="L869">
        <v>2.2159709599999999</v>
      </c>
      <c r="M869">
        <v>868</v>
      </c>
      <c r="N869" s="1">
        <v>-4.4600000000000001E-2</v>
      </c>
      <c r="O869" s="1">
        <v>0.29580000000000001</v>
      </c>
      <c r="P869" s="1">
        <v>-0.1363</v>
      </c>
      <c r="Q869" s="1">
        <v>4.7000000000000002E-3</v>
      </c>
      <c r="R869" s="1">
        <v>-3.5099999999999999E-2</v>
      </c>
      <c r="S869" s="1">
        <v>-9.4700000000000006E-2</v>
      </c>
      <c r="T869" s="1">
        <v>-9.7699999999999995E-2</v>
      </c>
      <c r="U869" s="1">
        <v>5.7799999999999997E-2</v>
      </c>
    </row>
    <row r="870" spans="1:21" x14ac:dyDescent="0.25">
      <c r="A870" t="s">
        <v>1894</v>
      </c>
      <c r="B870" t="s">
        <v>1895</v>
      </c>
      <c r="C870" t="s">
        <v>23</v>
      </c>
      <c r="D870" t="s">
        <v>52</v>
      </c>
      <c r="E870" t="s">
        <v>139</v>
      </c>
      <c r="F870" t="str">
        <f t="shared" si="16"/>
        <v>2018-05-20</v>
      </c>
      <c r="G870">
        <v>5.7</v>
      </c>
      <c r="H870" t="str">
        <f>"2018-03-04"</f>
        <v>2018-03-04</v>
      </c>
      <c r="I870" t="s">
        <v>26</v>
      </c>
      <c r="J870" t="str">
        <f>"2018-02-27"</f>
        <v>2018-02-27</v>
      </c>
      <c r="K870" t="s">
        <v>27</v>
      </c>
      <c r="L870">
        <v>2.2159090899999998</v>
      </c>
      <c r="M870">
        <v>869</v>
      </c>
      <c r="N870" s="1">
        <v>-0.1739</v>
      </c>
      <c r="O870" s="1">
        <v>0.29549999999999998</v>
      </c>
      <c r="P870" s="1">
        <v>-0.22969999999999999</v>
      </c>
      <c r="Q870" s="1">
        <v>1.7899999999999999E-2</v>
      </c>
      <c r="R870" s="1">
        <v>2.7E-2</v>
      </c>
      <c r="S870" s="1">
        <v>-8.0600000000000005E-2</v>
      </c>
      <c r="T870" s="1">
        <v>-0.19719999999999999</v>
      </c>
      <c r="U870" s="1">
        <v>-0.13639999999999999</v>
      </c>
    </row>
    <row r="871" spans="1:21" x14ac:dyDescent="0.25">
      <c r="A871" t="s">
        <v>1896</v>
      </c>
      <c r="B871" t="s">
        <v>1897</v>
      </c>
      <c r="C871" t="s">
        <v>83</v>
      </c>
      <c r="D871" t="s">
        <v>84</v>
      </c>
      <c r="E871" t="s">
        <v>84</v>
      </c>
      <c r="F871" t="str">
        <f t="shared" si="16"/>
        <v>2018-05-20</v>
      </c>
      <c r="G871">
        <v>27.95</v>
      </c>
      <c r="H871" t="str">
        <f>"2017-06-29"</f>
        <v>2017-06-29</v>
      </c>
      <c r="I871" t="s">
        <v>26</v>
      </c>
      <c r="J871" t="str">
        <f>"2017-05-10"</f>
        <v>2017-05-10</v>
      </c>
      <c r="K871" t="s">
        <v>57</v>
      </c>
      <c r="L871">
        <v>2.2151655099999998</v>
      </c>
      <c r="M871">
        <v>870</v>
      </c>
      <c r="N871" s="1">
        <v>0.19189999999999999</v>
      </c>
      <c r="O871" s="1">
        <v>0.29099999999999998</v>
      </c>
      <c r="P871" s="1">
        <v>-0.2787</v>
      </c>
      <c r="Q871" s="1">
        <v>2.1899999999999999E-2</v>
      </c>
      <c r="R871" s="1">
        <v>-8.8999999999999999E-3</v>
      </c>
      <c r="S871" s="1">
        <v>-9.98E-2</v>
      </c>
      <c r="T871" s="1">
        <v>-0.15049999999999999</v>
      </c>
      <c r="U871" s="1">
        <v>0.2286</v>
      </c>
    </row>
    <row r="872" spans="1:21" x14ac:dyDescent="0.25">
      <c r="A872" t="s">
        <v>1898</v>
      </c>
      <c r="B872" t="s">
        <v>1899</v>
      </c>
      <c r="C872" t="s">
        <v>30</v>
      </c>
      <c r="D872" t="s">
        <v>347</v>
      </c>
      <c r="E872" t="s">
        <v>532</v>
      </c>
      <c r="F872" t="str">
        <f t="shared" si="16"/>
        <v>2018-05-20</v>
      </c>
      <c r="G872">
        <v>13.5</v>
      </c>
      <c r="H872" t="str">
        <f>"2016-08-04"</f>
        <v>2016-08-04</v>
      </c>
      <c r="I872" t="s">
        <v>26</v>
      </c>
      <c r="J872" t="str">
        <f>"2016-07-14"</f>
        <v>2016-07-14</v>
      </c>
      <c r="K872" t="s">
        <v>27</v>
      </c>
      <c r="L872">
        <v>2.2146946600000001</v>
      </c>
      <c r="M872">
        <v>871</v>
      </c>
      <c r="N872" s="1">
        <v>6.9699999999999998E-2</v>
      </c>
      <c r="O872" s="1">
        <v>0.28820000000000001</v>
      </c>
      <c r="P872" s="1">
        <v>-0.2059</v>
      </c>
      <c r="Q872" s="1">
        <v>7.4999999999999997E-3</v>
      </c>
      <c r="R872" s="1">
        <v>5.0599999999999999E-2</v>
      </c>
      <c r="S872" s="1">
        <v>-7.4000000000000003E-3</v>
      </c>
      <c r="T872" s="1">
        <v>-4.5900000000000003E-2</v>
      </c>
      <c r="U872" s="1">
        <v>9.3100000000000002E-2</v>
      </c>
    </row>
    <row r="873" spans="1:21" x14ac:dyDescent="0.25">
      <c r="A873" t="s">
        <v>1900</v>
      </c>
      <c r="B873" t="s">
        <v>1901</v>
      </c>
      <c r="C873" t="s">
        <v>37</v>
      </c>
      <c r="D873" t="s">
        <v>66</v>
      </c>
      <c r="E873" t="s">
        <v>72</v>
      </c>
      <c r="F873" t="str">
        <f t="shared" si="16"/>
        <v>2018-05-20</v>
      </c>
      <c r="G873">
        <v>7.04</v>
      </c>
      <c r="H873" t="str">
        <f>"2018-05-07"</f>
        <v>2018-05-07</v>
      </c>
      <c r="I873" t="s">
        <v>27</v>
      </c>
      <c r="J873" t="str">
        <f>"2017-09-07"</f>
        <v>2017-09-07</v>
      </c>
      <c r="K873" t="s">
        <v>57</v>
      </c>
      <c r="L873">
        <v>1.3079615</v>
      </c>
      <c r="M873">
        <v>872</v>
      </c>
      <c r="N873" s="1">
        <v>-3.1600000000000003E-2</v>
      </c>
      <c r="O873" s="1">
        <v>0.8478</v>
      </c>
      <c r="P873" s="1">
        <v>-3.1600000000000003E-2</v>
      </c>
      <c r="Q873" s="1">
        <v>1.29E-2</v>
      </c>
      <c r="R873" s="1">
        <v>5.7099999999999998E-2</v>
      </c>
      <c r="S873" s="1">
        <v>0.13730000000000001</v>
      </c>
      <c r="T873" s="1">
        <v>0.55410000000000004</v>
      </c>
      <c r="U873" s="1">
        <v>-0.46710000000000002</v>
      </c>
    </row>
    <row r="874" spans="1:21" x14ac:dyDescent="0.25">
      <c r="A874" t="s">
        <v>1902</v>
      </c>
      <c r="B874" t="s">
        <v>1903</v>
      </c>
      <c r="C874" t="s">
        <v>37</v>
      </c>
      <c r="D874" t="s">
        <v>38</v>
      </c>
      <c r="E874" t="s">
        <v>39</v>
      </c>
      <c r="F874" t="str">
        <f t="shared" si="16"/>
        <v>2018-05-20</v>
      </c>
      <c r="G874">
        <v>11.71</v>
      </c>
      <c r="H874" t="str">
        <f>"2018-05-20"</f>
        <v>2018-05-20</v>
      </c>
      <c r="I874" t="s">
        <v>27</v>
      </c>
      <c r="J874" t="str">
        <f>"2017-07-30"</f>
        <v>2017-07-30</v>
      </c>
      <c r="K874" t="s">
        <v>57</v>
      </c>
      <c r="L874">
        <v>1.3078338599999999</v>
      </c>
      <c r="M874">
        <v>873</v>
      </c>
      <c r="N874" s="1">
        <v>-3.6200000000000003E-2</v>
      </c>
      <c r="O874" s="1">
        <v>0.84699999999999998</v>
      </c>
      <c r="P874" s="1">
        <v>-3.6200000000000003E-2</v>
      </c>
      <c r="Q874" s="1">
        <v>-3.6200000000000003E-2</v>
      </c>
      <c r="R874" s="1">
        <v>5.0200000000000002E-2</v>
      </c>
      <c r="S874" s="1">
        <v>0.2954</v>
      </c>
      <c r="T874" s="1">
        <v>0.71950000000000003</v>
      </c>
      <c r="U874" s="1">
        <v>-0.3392</v>
      </c>
    </row>
    <row r="875" spans="1:21" x14ac:dyDescent="0.25">
      <c r="A875" t="s">
        <v>1904</v>
      </c>
      <c r="B875" t="s">
        <v>1905</v>
      </c>
      <c r="C875" t="s">
        <v>23</v>
      </c>
      <c r="D875" t="s">
        <v>52</v>
      </c>
      <c r="E875" t="s">
        <v>53</v>
      </c>
      <c r="F875" t="str">
        <f t="shared" si="16"/>
        <v>2018-05-20</v>
      </c>
      <c r="G875">
        <v>2.4900000000000002</v>
      </c>
      <c r="H875" t="str">
        <f>"2018-05-17"</f>
        <v>2018-05-17</v>
      </c>
      <c r="I875" t="s">
        <v>27</v>
      </c>
      <c r="J875" t="str">
        <f>"2017-02-27"</f>
        <v>2017-02-27</v>
      </c>
      <c r="K875" t="s">
        <v>57</v>
      </c>
      <c r="L875">
        <v>1.3074074099999999</v>
      </c>
      <c r="M875">
        <v>874</v>
      </c>
      <c r="N875" s="1">
        <v>0.1116</v>
      </c>
      <c r="O875" s="1">
        <v>0.84440000000000004</v>
      </c>
      <c r="P875" s="1">
        <v>0</v>
      </c>
      <c r="Q875" s="1">
        <v>2.8899999999999999E-2</v>
      </c>
      <c r="R875" s="1">
        <v>0.2266</v>
      </c>
      <c r="S875" s="1">
        <v>0.58599999999999997</v>
      </c>
      <c r="T875" s="1">
        <v>0.76600000000000001</v>
      </c>
      <c r="U875" s="1">
        <v>2.47E-2</v>
      </c>
    </row>
    <row r="876" spans="1:21" x14ac:dyDescent="0.25">
      <c r="A876" t="s">
        <v>1906</v>
      </c>
      <c r="B876" t="s">
        <v>1907</v>
      </c>
      <c r="C876" t="s">
        <v>23</v>
      </c>
      <c r="D876" t="s">
        <v>52</v>
      </c>
      <c r="E876" t="s">
        <v>53</v>
      </c>
      <c r="F876" t="str">
        <f t="shared" si="16"/>
        <v>2018-05-20</v>
      </c>
      <c r="G876">
        <v>12.8</v>
      </c>
      <c r="H876" t="str">
        <f>"2018-04-17"</f>
        <v>2018-04-17</v>
      </c>
      <c r="I876" t="s">
        <v>27</v>
      </c>
      <c r="J876" t="str">
        <f>"2017-08-06"</f>
        <v>2017-08-06</v>
      </c>
      <c r="K876" t="s">
        <v>57</v>
      </c>
      <c r="L876">
        <v>1.30260047</v>
      </c>
      <c r="M876">
        <v>875</v>
      </c>
      <c r="N876" s="1">
        <v>0.29949999999999999</v>
      </c>
      <c r="O876" s="1">
        <v>0.81559999999999999</v>
      </c>
      <c r="P876" s="1">
        <v>-1.1599999999999999E-2</v>
      </c>
      <c r="Q876" s="1">
        <v>1.5900000000000001E-2</v>
      </c>
      <c r="R876" s="1">
        <v>6.6699999999999995E-2</v>
      </c>
      <c r="S876" s="1">
        <v>0.2427</v>
      </c>
      <c r="T876" s="1">
        <v>0.67320000000000002</v>
      </c>
      <c r="U876" s="1">
        <v>-0.33679999999999999</v>
      </c>
    </row>
    <row r="877" spans="1:21" x14ac:dyDescent="0.25">
      <c r="A877" t="s">
        <v>1908</v>
      </c>
      <c r="B877" t="s">
        <v>1909</v>
      </c>
      <c r="C877" t="s">
        <v>37</v>
      </c>
      <c r="D877" t="s">
        <v>38</v>
      </c>
      <c r="E877" t="s">
        <v>97</v>
      </c>
      <c r="F877" t="str">
        <f t="shared" si="16"/>
        <v>2018-05-20</v>
      </c>
      <c r="G877">
        <v>101.39</v>
      </c>
      <c r="H877" t="str">
        <f>"2018-05-10"</f>
        <v>2018-05-10</v>
      </c>
      <c r="I877" t="s">
        <v>27</v>
      </c>
      <c r="J877" t="str">
        <f>"2018-01-16"</f>
        <v>2018-01-16</v>
      </c>
      <c r="K877" t="s">
        <v>57</v>
      </c>
      <c r="L877">
        <v>1.28955335</v>
      </c>
      <c r="M877">
        <v>876</v>
      </c>
      <c r="N877" s="1">
        <v>9.6199999999999994E-2</v>
      </c>
      <c r="O877" s="1">
        <v>0.73729999999999996</v>
      </c>
      <c r="P877" s="1">
        <v>-1.0200000000000001E-2</v>
      </c>
      <c r="Q877" s="1">
        <v>-7.9000000000000008E-3</v>
      </c>
      <c r="R877" s="1">
        <v>7.3700000000000002E-2</v>
      </c>
      <c r="S877" s="1">
        <v>0.25869999999999999</v>
      </c>
      <c r="T877" s="1">
        <v>0.65810000000000002</v>
      </c>
      <c r="U877" s="1">
        <v>5.2400000000000002E-2</v>
      </c>
    </row>
    <row r="878" spans="1:21" x14ac:dyDescent="0.25">
      <c r="A878" t="s">
        <v>1910</v>
      </c>
      <c r="B878" t="s">
        <v>1911</v>
      </c>
      <c r="C878" t="s">
        <v>43</v>
      </c>
      <c r="D878" t="s">
        <v>119</v>
      </c>
      <c r="E878" t="s">
        <v>120</v>
      </c>
      <c r="F878" t="str">
        <f t="shared" si="16"/>
        <v>2018-05-20</v>
      </c>
      <c r="G878">
        <v>1.73</v>
      </c>
      <c r="H878" t="str">
        <f>"2018-05-14"</f>
        <v>2018-05-14</v>
      </c>
      <c r="I878" t="s">
        <v>27</v>
      </c>
      <c r="J878" t="str">
        <f>"2018-01-17"</f>
        <v>2018-01-17</v>
      </c>
      <c r="K878" t="s">
        <v>57</v>
      </c>
      <c r="L878">
        <v>1.2799352799999999</v>
      </c>
      <c r="M878">
        <v>877</v>
      </c>
      <c r="N878" s="1">
        <v>0.2014</v>
      </c>
      <c r="O878" s="1">
        <v>0.67959999999999998</v>
      </c>
      <c r="P878" s="1">
        <v>0</v>
      </c>
      <c r="Q878" s="1">
        <v>6.13E-2</v>
      </c>
      <c r="R878" s="1">
        <v>0.2014</v>
      </c>
      <c r="S878" s="1">
        <v>0.25359999999999999</v>
      </c>
      <c r="T878" s="1">
        <v>0.46610000000000001</v>
      </c>
      <c r="U878" s="1">
        <v>-0.1762</v>
      </c>
    </row>
    <row r="879" spans="1:21" x14ac:dyDescent="0.25">
      <c r="A879" t="s">
        <v>1912</v>
      </c>
      <c r="B879" t="s">
        <v>1913</v>
      </c>
      <c r="C879" t="s">
        <v>23</v>
      </c>
      <c r="D879" t="s">
        <v>173</v>
      </c>
      <c r="E879" t="s">
        <v>212</v>
      </c>
      <c r="F879" t="str">
        <f t="shared" si="16"/>
        <v>2018-05-20</v>
      </c>
      <c r="G879">
        <v>2.4700000000000002</v>
      </c>
      <c r="H879" t="str">
        <f>"2018-05-02"</f>
        <v>2018-05-02</v>
      </c>
      <c r="I879" t="s">
        <v>27</v>
      </c>
      <c r="J879" t="str">
        <f>"2017-05-03"</f>
        <v>2017-05-03</v>
      </c>
      <c r="K879" t="s">
        <v>57</v>
      </c>
      <c r="L879">
        <v>1.2762863499999999</v>
      </c>
      <c r="M879">
        <v>878</v>
      </c>
      <c r="N879" s="1">
        <v>1.6500000000000001E-2</v>
      </c>
      <c r="O879" s="1">
        <v>0.65769999999999995</v>
      </c>
      <c r="P879" s="1">
        <v>-8.0000000000000002E-3</v>
      </c>
      <c r="Q879" s="1">
        <v>-8.0000000000000002E-3</v>
      </c>
      <c r="R879" s="1">
        <v>0.1651</v>
      </c>
      <c r="S879" s="1">
        <v>0.14349999999999999</v>
      </c>
      <c r="T879" s="1">
        <v>0.31380000000000002</v>
      </c>
      <c r="U879" s="1">
        <v>-0.51759999999999995</v>
      </c>
    </row>
    <row r="880" spans="1:21" x14ac:dyDescent="0.25">
      <c r="A880" t="s">
        <v>1914</v>
      </c>
      <c r="B880" t="s">
        <v>1915</v>
      </c>
      <c r="C880" t="s">
        <v>87</v>
      </c>
      <c r="D880" t="s">
        <v>144</v>
      </c>
      <c r="E880" t="s">
        <v>145</v>
      </c>
      <c r="F880" t="str">
        <f t="shared" si="16"/>
        <v>2018-05-20</v>
      </c>
      <c r="G880">
        <v>11.19</v>
      </c>
      <c r="H880" t="str">
        <f>"2018-04-30"</f>
        <v>2018-04-30</v>
      </c>
      <c r="I880" t="s">
        <v>27</v>
      </c>
      <c r="J880" t="str">
        <f>"2018-04-05"</f>
        <v>2018-04-05</v>
      </c>
      <c r="K880" t="s">
        <v>57</v>
      </c>
      <c r="L880">
        <v>1.2597493</v>
      </c>
      <c r="M880">
        <v>879</v>
      </c>
      <c r="N880" s="1">
        <v>0.26579999999999998</v>
      </c>
      <c r="O880" s="1">
        <v>0.5585</v>
      </c>
      <c r="P880" s="1">
        <v>-1.67E-2</v>
      </c>
      <c r="Q880" s="1">
        <v>2.75E-2</v>
      </c>
      <c r="R880" s="1">
        <v>6.1699999999999998E-2</v>
      </c>
      <c r="S880" s="1">
        <v>0.37809999999999999</v>
      </c>
      <c r="T880" s="1">
        <v>0.48209999999999997</v>
      </c>
      <c r="U880" s="1">
        <v>0.2833</v>
      </c>
    </row>
    <row r="881" spans="1:21" x14ac:dyDescent="0.25">
      <c r="A881" t="s">
        <v>1916</v>
      </c>
      <c r="B881" t="s">
        <v>1917</v>
      </c>
      <c r="C881" t="s">
        <v>43</v>
      </c>
      <c r="D881" t="s">
        <v>119</v>
      </c>
      <c r="E881" t="s">
        <v>205</v>
      </c>
      <c r="F881" t="str">
        <f t="shared" si="16"/>
        <v>2018-05-20</v>
      </c>
      <c r="G881">
        <v>36.99</v>
      </c>
      <c r="H881" t="str">
        <f>"2018-03-11"</f>
        <v>2018-03-11</v>
      </c>
      <c r="I881" t="s">
        <v>27</v>
      </c>
      <c r="J881" t="str">
        <f>"2017-10-03"</f>
        <v>2017-10-03</v>
      </c>
      <c r="K881" t="s">
        <v>57</v>
      </c>
      <c r="L881">
        <v>1.25634096</v>
      </c>
      <c r="M881">
        <v>880</v>
      </c>
      <c r="N881" s="1">
        <v>9.3100000000000002E-2</v>
      </c>
      <c r="O881" s="1">
        <v>0.53800000000000003</v>
      </c>
      <c r="P881" s="1">
        <v>0</v>
      </c>
      <c r="Q881" s="1">
        <v>1.37E-2</v>
      </c>
      <c r="R881" s="1">
        <v>2.52E-2</v>
      </c>
      <c r="S881" s="1">
        <v>0.24129999999999999</v>
      </c>
      <c r="T881" s="1">
        <v>0.24460000000000001</v>
      </c>
      <c r="U881" s="1">
        <v>5.7000000000000002E-3</v>
      </c>
    </row>
    <row r="882" spans="1:21" x14ac:dyDescent="0.25">
      <c r="A882" t="s">
        <v>1918</v>
      </c>
      <c r="B882" t="s">
        <v>1919</v>
      </c>
      <c r="C882" t="s">
        <v>87</v>
      </c>
      <c r="D882" t="s">
        <v>88</v>
      </c>
      <c r="E882" t="s">
        <v>89</v>
      </c>
      <c r="F882" t="str">
        <f t="shared" si="16"/>
        <v>2018-05-20</v>
      </c>
      <c r="G882">
        <v>4.7300000000000004</v>
      </c>
      <c r="H882" t="str">
        <f>"2018-05-14"</f>
        <v>2018-05-14</v>
      </c>
      <c r="I882" t="s">
        <v>27</v>
      </c>
      <c r="J882" t="str">
        <f>"2018-03-29"</f>
        <v>2018-03-29</v>
      </c>
      <c r="K882" t="s">
        <v>57</v>
      </c>
      <c r="L882">
        <v>1.2479035599999999</v>
      </c>
      <c r="M882">
        <v>881</v>
      </c>
      <c r="N882" s="1">
        <v>0.1077</v>
      </c>
      <c r="O882" s="1">
        <v>0.4874</v>
      </c>
      <c r="P882" s="1">
        <v>0</v>
      </c>
      <c r="Q882" s="1">
        <v>6.2899999999999998E-2</v>
      </c>
      <c r="R882" s="1">
        <v>0.1077</v>
      </c>
      <c r="S882" s="1">
        <v>0.28179999999999999</v>
      </c>
      <c r="T882" s="1">
        <v>0.43769999999999998</v>
      </c>
      <c r="U882" s="1">
        <v>-0.3357</v>
      </c>
    </row>
    <row r="883" spans="1:21" x14ac:dyDescent="0.25">
      <c r="A883" t="s">
        <v>1920</v>
      </c>
      <c r="B883" t="s">
        <v>1921</v>
      </c>
      <c r="C883" t="s">
        <v>87</v>
      </c>
      <c r="D883" t="s">
        <v>144</v>
      </c>
      <c r="E883" t="s">
        <v>145</v>
      </c>
      <c r="F883" t="str">
        <f t="shared" si="16"/>
        <v>2018-05-20</v>
      </c>
      <c r="G883">
        <v>12.3</v>
      </c>
      <c r="H883" t="str">
        <f>"2018-04-18"</f>
        <v>2018-04-18</v>
      </c>
      <c r="I883" t="s">
        <v>27</v>
      </c>
      <c r="J883" t="str">
        <f>"2017-12-17"</f>
        <v>2017-12-17</v>
      </c>
      <c r="K883" t="s">
        <v>57</v>
      </c>
      <c r="L883">
        <v>1.2455089800000001</v>
      </c>
      <c r="M883">
        <v>882</v>
      </c>
      <c r="N883" s="1">
        <v>0.15490000000000001</v>
      </c>
      <c r="O883" s="1">
        <v>0.47310000000000002</v>
      </c>
      <c r="P883" s="1">
        <v>0</v>
      </c>
      <c r="Q883" s="1">
        <v>2.93E-2</v>
      </c>
      <c r="R883" s="1">
        <v>4.24E-2</v>
      </c>
      <c r="S883" s="1">
        <v>0.16589999999999999</v>
      </c>
      <c r="T883" s="1">
        <v>0.22389999999999999</v>
      </c>
      <c r="U883" s="1">
        <v>0.1182</v>
      </c>
    </row>
    <row r="884" spans="1:21" x14ac:dyDescent="0.25">
      <c r="A884" t="s">
        <v>1922</v>
      </c>
      <c r="B884" t="s">
        <v>1923</v>
      </c>
      <c r="C884" t="s">
        <v>37</v>
      </c>
      <c r="D884" t="s">
        <v>38</v>
      </c>
      <c r="E884" t="s">
        <v>39</v>
      </c>
      <c r="F884" t="str">
        <f t="shared" si="16"/>
        <v>2018-05-20</v>
      </c>
      <c r="G884">
        <v>31.85</v>
      </c>
      <c r="H884" t="str">
        <f>"2018-05-02"</f>
        <v>2018-05-02</v>
      </c>
      <c r="I884" t="s">
        <v>27</v>
      </c>
      <c r="J884" t="str">
        <f>"2018-04-16"</f>
        <v>2018-04-16</v>
      </c>
      <c r="K884" t="s">
        <v>57</v>
      </c>
      <c r="L884">
        <v>1.24161736</v>
      </c>
      <c r="M884">
        <v>883</v>
      </c>
      <c r="N884" s="1">
        <v>0.1318</v>
      </c>
      <c r="O884" s="1">
        <v>0.44969999999999999</v>
      </c>
      <c r="P884" s="1">
        <v>-8.6999999999999994E-3</v>
      </c>
      <c r="Q884" s="1">
        <v>9.4999999999999998E-3</v>
      </c>
      <c r="R884" s="1">
        <v>7.9000000000000008E-3</v>
      </c>
      <c r="S884" s="1">
        <v>0.25440000000000002</v>
      </c>
      <c r="T884" s="1">
        <v>0.25990000000000002</v>
      </c>
      <c r="U884" s="1">
        <v>0.27860000000000001</v>
      </c>
    </row>
    <row r="885" spans="1:21" x14ac:dyDescent="0.25">
      <c r="A885" t="s">
        <v>1924</v>
      </c>
      <c r="B885" t="s">
        <v>1925</v>
      </c>
      <c r="C885" t="s">
        <v>37</v>
      </c>
      <c r="D885" t="s">
        <v>38</v>
      </c>
      <c r="E885" t="s">
        <v>39</v>
      </c>
      <c r="F885" t="str">
        <f t="shared" si="16"/>
        <v>2018-05-20</v>
      </c>
      <c r="G885">
        <v>4.1749999999999998</v>
      </c>
      <c r="H885" t="str">
        <f>"2018-05-10"</f>
        <v>2018-05-10</v>
      </c>
      <c r="I885" t="s">
        <v>27</v>
      </c>
      <c r="J885" t="str">
        <f>"2017-12-24"</f>
        <v>2017-12-24</v>
      </c>
      <c r="K885" t="s">
        <v>57</v>
      </c>
      <c r="L885">
        <v>1.23994253</v>
      </c>
      <c r="M885">
        <v>884</v>
      </c>
      <c r="N885" s="1">
        <v>0.1133</v>
      </c>
      <c r="O885" s="1">
        <v>0.43969999999999998</v>
      </c>
      <c r="P885" s="1">
        <v>-6.1800000000000001E-2</v>
      </c>
      <c r="Q885" s="1">
        <v>-1.7600000000000001E-2</v>
      </c>
      <c r="R885" s="1">
        <v>5.7000000000000002E-2</v>
      </c>
      <c r="S885" s="1">
        <v>0.21010000000000001</v>
      </c>
      <c r="T885" s="1">
        <v>0.28460000000000002</v>
      </c>
      <c r="U885" s="1">
        <v>-0.45419999999999999</v>
      </c>
    </row>
    <row r="886" spans="1:21" x14ac:dyDescent="0.25">
      <c r="A886" t="s">
        <v>1926</v>
      </c>
      <c r="B886" t="s">
        <v>1927</v>
      </c>
      <c r="C886" t="s">
        <v>37</v>
      </c>
      <c r="D886" t="s">
        <v>38</v>
      </c>
      <c r="E886" t="s">
        <v>39</v>
      </c>
      <c r="F886" t="str">
        <f t="shared" si="16"/>
        <v>2018-05-20</v>
      </c>
      <c r="G886">
        <v>5.34</v>
      </c>
      <c r="H886" t="str">
        <f>"2018-05-08"</f>
        <v>2018-05-08</v>
      </c>
      <c r="I886" t="s">
        <v>27</v>
      </c>
      <c r="J886" t="str">
        <f>"2018-02-08"</f>
        <v>2018-02-08</v>
      </c>
      <c r="K886" t="s">
        <v>57</v>
      </c>
      <c r="L886">
        <v>1.2392473100000001</v>
      </c>
      <c r="M886">
        <v>885</v>
      </c>
      <c r="N886" s="1">
        <v>-1.9E-3</v>
      </c>
      <c r="O886" s="1">
        <v>0.4355</v>
      </c>
      <c r="P886" s="1">
        <v>-4.1300000000000003E-2</v>
      </c>
      <c r="Q886" s="1">
        <v>0</v>
      </c>
      <c r="R886" s="1">
        <v>-1.29E-2</v>
      </c>
      <c r="S886" s="1">
        <v>5.5300000000000002E-2</v>
      </c>
      <c r="T886" s="1">
        <v>0.30880000000000002</v>
      </c>
      <c r="U886" s="1">
        <v>-9.0300000000000005E-2</v>
      </c>
    </row>
    <row r="887" spans="1:21" x14ac:dyDescent="0.25">
      <c r="A887" t="s">
        <v>1928</v>
      </c>
      <c r="B887" t="s">
        <v>1929</v>
      </c>
      <c r="C887" t="s">
        <v>87</v>
      </c>
      <c r="D887" t="s">
        <v>144</v>
      </c>
      <c r="E887" t="s">
        <v>145</v>
      </c>
      <c r="F887" t="str">
        <f t="shared" si="16"/>
        <v>2018-05-20</v>
      </c>
      <c r="G887">
        <v>15.45</v>
      </c>
      <c r="H887" t="str">
        <f>"2018-05-06"</f>
        <v>2018-05-06</v>
      </c>
      <c r="I887" t="s">
        <v>27</v>
      </c>
      <c r="J887" t="str">
        <f>"2018-04-05"</f>
        <v>2018-04-05</v>
      </c>
      <c r="K887" t="s">
        <v>57</v>
      </c>
      <c r="L887">
        <v>1.2340909099999999</v>
      </c>
      <c r="M887">
        <v>886</v>
      </c>
      <c r="N887" s="1">
        <v>0.1115</v>
      </c>
      <c r="O887" s="1">
        <v>0.40450000000000003</v>
      </c>
      <c r="P887" s="1">
        <v>-6.4000000000000003E-3</v>
      </c>
      <c r="Q887" s="1">
        <v>3.2000000000000002E-3</v>
      </c>
      <c r="R887" s="1">
        <v>8.0399999999999999E-2</v>
      </c>
      <c r="S887" s="1">
        <v>0.27160000000000001</v>
      </c>
      <c r="T887" s="1">
        <v>0.26119999999999999</v>
      </c>
      <c r="U887" s="1">
        <v>-9.1200000000000003E-2</v>
      </c>
    </row>
    <row r="888" spans="1:21" x14ac:dyDescent="0.25">
      <c r="A888" t="s">
        <v>1930</v>
      </c>
      <c r="B888" t="s">
        <v>1931</v>
      </c>
      <c r="C888" t="s">
        <v>23</v>
      </c>
      <c r="D888" t="s">
        <v>411</v>
      </c>
      <c r="E888" t="s">
        <v>412</v>
      </c>
      <c r="F888" t="str">
        <f t="shared" si="16"/>
        <v>2018-05-20</v>
      </c>
      <c r="G888">
        <v>20.260000000000002</v>
      </c>
      <c r="H888" t="str">
        <f>"2018-03-12"</f>
        <v>2018-03-12</v>
      </c>
      <c r="I888" t="s">
        <v>27</v>
      </c>
      <c r="J888" t="str">
        <f>"2017-08-13"</f>
        <v>2017-08-13</v>
      </c>
      <c r="K888" t="s">
        <v>57</v>
      </c>
      <c r="L888">
        <v>1.2329538900000001</v>
      </c>
      <c r="M888">
        <v>887</v>
      </c>
      <c r="N888" s="1">
        <v>8.2299999999999998E-2</v>
      </c>
      <c r="O888" s="1">
        <v>0.3977</v>
      </c>
      <c r="P888" s="1">
        <v>-5.6800000000000003E-2</v>
      </c>
      <c r="Q888" s="1">
        <v>-4.8999999999999998E-3</v>
      </c>
      <c r="R888" s="1">
        <v>3.0000000000000001E-3</v>
      </c>
      <c r="S888" s="1">
        <v>8.2799999999999999E-2</v>
      </c>
      <c r="T888" s="1">
        <v>0.1779</v>
      </c>
      <c r="U888" s="1">
        <v>-0.28589999999999999</v>
      </c>
    </row>
    <row r="889" spans="1:21" x14ac:dyDescent="0.25">
      <c r="A889" t="s">
        <v>1932</v>
      </c>
      <c r="B889" t="s">
        <v>1933</v>
      </c>
      <c r="C889" t="s">
        <v>100</v>
      </c>
      <c r="D889" t="s">
        <v>1034</v>
      </c>
      <c r="E889" t="s">
        <v>1382</v>
      </c>
      <c r="F889" t="str">
        <f t="shared" si="16"/>
        <v>2018-05-20</v>
      </c>
      <c r="G889">
        <v>33.65</v>
      </c>
      <c r="H889" t="str">
        <f>"2018-05-07"</f>
        <v>2018-05-07</v>
      </c>
      <c r="I889" t="s">
        <v>27</v>
      </c>
      <c r="J889" t="str">
        <f>"2018-03-26"</f>
        <v>2018-03-26</v>
      </c>
      <c r="K889" t="s">
        <v>57</v>
      </c>
      <c r="L889">
        <v>1.2323253199999999</v>
      </c>
      <c r="M889">
        <v>888</v>
      </c>
      <c r="N889" s="1">
        <v>7.5399999999999995E-2</v>
      </c>
      <c r="O889" s="1">
        <v>0.39400000000000002</v>
      </c>
      <c r="P889" s="1">
        <v>0</v>
      </c>
      <c r="Q889" s="1">
        <v>7.1999999999999998E-3</v>
      </c>
      <c r="R889" s="1">
        <v>4.02E-2</v>
      </c>
      <c r="S889" s="1">
        <v>0.22009999999999999</v>
      </c>
      <c r="T889" s="1">
        <v>0.25840000000000002</v>
      </c>
      <c r="U889" s="1">
        <v>-0.1321</v>
      </c>
    </row>
    <row r="890" spans="1:21" x14ac:dyDescent="0.25">
      <c r="A890" t="s">
        <v>1934</v>
      </c>
      <c r="B890" t="s">
        <v>1935</v>
      </c>
      <c r="C890" t="s">
        <v>109</v>
      </c>
      <c r="D890" t="s">
        <v>156</v>
      </c>
      <c r="E890" t="s">
        <v>157</v>
      </c>
      <c r="F890" t="str">
        <f t="shared" si="16"/>
        <v>2018-05-20</v>
      </c>
      <c r="G890">
        <v>23.85</v>
      </c>
      <c r="H890" t="str">
        <f>"2018-05-07"</f>
        <v>2018-05-07</v>
      </c>
      <c r="I890" t="s">
        <v>27</v>
      </c>
      <c r="J890" t="str">
        <f>"2018-04-12"</f>
        <v>2018-04-12</v>
      </c>
      <c r="K890" t="s">
        <v>57</v>
      </c>
      <c r="L890">
        <v>1.22910663</v>
      </c>
      <c r="M890">
        <v>889</v>
      </c>
      <c r="N890" s="1">
        <v>3.4700000000000002E-2</v>
      </c>
      <c r="O890" s="1">
        <v>0.37459999999999999</v>
      </c>
      <c r="P890" s="1">
        <v>-6.3E-3</v>
      </c>
      <c r="Q890" s="1">
        <v>8.5000000000000006E-3</v>
      </c>
      <c r="R890" s="1">
        <v>1.06E-2</v>
      </c>
      <c r="S890" s="1">
        <v>0.37069999999999997</v>
      </c>
      <c r="T890" s="1">
        <v>0.26190000000000002</v>
      </c>
      <c r="U890" s="1">
        <v>-2.0500000000000001E-2</v>
      </c>
    </row>
    <row r="891" spans="1:21" x14ac:dyDescent="0.25">
      <c r="A891" t="s">
        <v>1936</v>
      </c>
      <c r="B891" t="s">
        <v>1937</v>
      </c>
      <c r="C891" t="s">
        <v>100</v>
      </c>
      <c r="D891" t="s">
        <v>217</v>
      </c>
      <c r="E891" t="s">
        <v>762</v>
      </c>
      <c r="F891" t="str">
        <f t="shared" si="16"/>
        <v>2018-05-20</v>
      </c>
      <c r="G891">
        <v>12.15</v>
      </c>
      <c r="H891" t="str">
        <f>"2018-04-19"</f>
        <v>2018-04-19</v>
      </c>
      <c r="I891" t="s">
        <v>27</v>
      </c>
      <c r="J891" t="str">
        <f>"2018-04-11"</f>
        <v>2018-04-11</v>
      </c>
      <c r="K891" t="s">
        <v>57</v>
      </c>
      <c r="L891">
        <v>1.2288135600000001</v>
      </c>
      <c r="M891">
        <v>890</v>
      </c>
      <c r="N891" s="1">
        <v>0.1739</v>
      </c>
      <c r="O891" s="1">
        <v>0.37290000000000001</v>
      </c>
      <c r="P891" s="1">
        <v>0</v>
      </c>
      <c r="Q891" s="1">
        <v>0</v>
      </c>
      <c r="R891" s="1">
        <v>4.2900000000000001E-2</v>
      </c>
      <c r="S891" s="1">
        <v>0.215</v>
      </c>
      <c r="T891" s="1">
        <v>0.1096</v>
      </c>
      <c r="U891" s="1">
        <v>0.3135</v>
      </c>
    </row>
    <row r="892" spans="1:21" x14ac:dyDescent="0.25">
      <c r="A892" t="s">
        <v>1938</v>
      </c>
      <c r="B892" t="s">
        <v>1939</v>
      </c>
      <c r="C892" t="s">
        <v>37</v>
      </c>
      <c r="D892" t="s">
        <v>66</v>
      </c>
      <c r="E892" t="s">
        <v>72</v>
      </c>
      <c r="F892" t="str">
        <f t="shared" si="16"/>
        <v>2018-05-20</v>
      </c>
      <c r="G892">
        <v>5.18</v>
      </c>
      <c r="H892" t="str">
        <f>"2018-05-10"</f>
        <v>2018-05-10</v>
      </c>
      <c r="I892" t="s">
        <v>27</v>
      </c>
      <c r="J892" t="str">
        <f>"2018-01-31"</f>
        <v>2018-01-31</v>
      </c>
      <c r="K892" t="s">
        <v>57</v>
      </c>
      <c r="L892">
        <v>1.22779244</v>
      </c>
      <c r="M892">
        <v>891</v>
      </c>
      <c r="N892" s="1">
        <v>9.5100000000000004E-2</v>
      </c>
      <c r="O892" s="1">
        <v>0.36680000000000001</v>
      </c>
      <c r="P892" s="1">
        <v>0</v>
      </c>
      <c r="Q892" s="1">
        <v>4.4400000000000002E-2</v>
      </c>
      <c r="R892" s="1">
        <v>7.9200000000000007E-2</v>
      </c>
      <c r="S892" s="1">
        <v>0.25269999999999998</v>
      </c>
      <c r="T892" s="1">
        <v>0.20469999999999999</v>
      </c>
      <c r="U892" s="1">
        <v>0.13600000000000001</v>
      </c>
    </row>
    <row r="893" spans="1:21" x14ac:dyDescent="0.25">
      <c r="A893" t="s">
        <v>1940</v>
      </c>
      <c r="B893" t="s">
        <v>1941</v>
      </c>
      <c r="C893" t="s">
        <v>109</v>
      </c>
      <c r="D893" t="s">
        <v>156</v>
      </c>
      <c r="E893" t="s">
        <v>277</v>
      </c>
      <c r="F893" t="str">
        <f t="shared" si="16"/>
        <v>2018-05-20</v>
      </c>
      <c r="G893">
        <v>33.380000000000003</v>
      </c>
      <c r="H893" t="str">
        <f>"2018-05-21"</f>
        <v>2018-05-21</v>
      </c>
      <c r="I893" t="s">
        <v>27</v>
      </c>
      <c r="J893" t="str">
        <f>"2018-02-05"</f>
        <v>2018-02-05</v>
      </c>
      <c r="K893" t="s">
        <v>57</v>
      </c>
      <c r="L893">
        <v>1.2276323</v>
      </c>
      <c r="M893">
        <v>892</v>
      </c>
      <c r="N893" s="1">
        <v>0</v>
      </c>
      <c r="O893" s="1">
        <v>0.36580000000000001</v>
      </c>
      <c r="P893" s="1">
        <v>-1.15E-2</v>
      </c>
      <c r="Q893" s="1">
        <v>1.2699999999999999E-2</v>
      </c>
      <c r="R893" s="1">
        <v>1.34E-2</v>
      </c>
      <c r="S893" s="1">
        <v>9.9500000000000005E-2</v>
      </c>
      <c r="T893" s="1">
        <v>0.1704</v>
      </c>
      <c r="U893" s="1">
        <v>-0.18859999999999999</v>
      </c>
    </row>
    <row r="894" spans="1:21" x14ac:dyDescent="0.25">
      <c r="A894" t="s">
        <v>1942</v>
      </c>
      <c r="B894" t="s">
        <v>1943</v>
      </c>
      <c r="C894" t="s">
        <v>109</v>
      </c>
      <c r="D894" t="s">
        <v>110</v>
      </c>
      <c r="E894" t="s">
        <v>111</v>
      </c>
      <c r="F894" t="str">
        <f t="shared" si="16"/>
        <v>2018-05-20</v>
      </c>
      <c r="G894">
        <v>10.84</v>
      </c>
      <c r="H894" t="str">
        <f>"2018-04-29"</f>
        <v>2018-04-29</v>
      </c>
      <c r="I894" t="s">
        <v>27</v>
      </c>
      <c r="J894" t="str">
        <f>"2017-12-10"</f>
        <v>2017-12-10</v>
      </c>
      <c r="K894" t="s">
        <v>57</v>
      </c>
      <c r="L894">
        <v>1.2261159800000001</v>
      </c>
      <c r="M894">
        <v>893</v>
      </c>
      <c r="N894" s="1">
        <v>8.9999999999999998E-4</v>
      </c>
      <c r="O894" s="1">
        <v>0.35670000000000002</v>
      </c>
      <c r="P894" s="1">
        <v>-4.3200000000000002E-2</v>
      </c>
      <c r="Q894" s="1">
        <v>4.5999999999999999E-3</v>
      </c>
      <c r="R894" s="1">
        <v>1.03E-2</v>
      </c>
      <c r="S894" s="1">
        <v>1.9800000000000002E-2</v>
      </c>
      <c r="T894" s="1">
        <v>7.3800000000000004E-2</v>
      </c>
      <c r="U894" s="1">
        <v>-1.09E-2</v>
      </c>
    </row>
    <row r="895" spans="1:21" x14ac:dyDescent="0.25">
      <c r="A895" t="s">
        <v>1944</v>
      </c>
      <c r="B895" t="s">
        <v>1945</v>
      </c>
      <c r="C895" t="s">
        <v>43</v>
      </c>
      <c r="D895" t="s">
        <v>374</v>
      </c>
      <c r="E895" t="s">
        <v>375</v>
      </c>
      <c r="F895" t="str">
        <f t="shared" si="16"/>
        <v>2018-05-20</v>
      </c>
      <c r="G895">
        <v>30.2</v>
      </c>
      <c r="H895" t="str">
        <f>"2018-05-07"</f>
        <v>2018-05-07</v>
      </c>
      <c r="I895" t="s">
        <v>27</v>
      </c>
      <c r="J895" t="str">
        <f>"2018-01-07"</f>
        <v>2018-01-07</v>
      </c>
      <c r="K895" t="s">
        <v>57</v>
      </c>
      <c r="L895">
        <v>1.2258112800000001</v>
      </c>
      <c r="M895">
        <v>894</v>
      </c>
      <c r="N895" s="1">
        <v>5.3400000000000003E-2</v>
      </c>
      <c r="O895" s="1">
        <v>0.35489999999999999</v>
      </c>
      <c r="P895" s="1">
        <v>0</v>
      </c>
      <c r="Q895" s="1">
        <v>9.4000000000000004E-3</v>
      </c>
      <c r="R895" s="1">
        <v>1.3100000000000001E-2</v>
      </c>
      <c r="S895" s="1">
        <v>0.1235</v>
      </c>
      <c r="T895" s="1">
        <v>0.11559999999999999</v>
      </c>
      <c r="U895" s="1">
        <v>0.1148</v>
      </c>
    </row>
    <row r="896" spans="1:21" x14ac:dyDescent="0.25">
      <c r="A896" t="s">
        <v>1946</v>
      </c>
      <c r="B896" t="s">
        <v>1947</v>
      </c>
      <c r="C896" t="s">
        <v>518</v>
      </c>
      <c r="D896" t="s">
        <v>573</v>
      </c>
      <c r="E896" t="s">
        <v>1559</v>
      </c>
      <c r="F896" t="str">
        <f t="shared" si="16"/>
        <v>2018-05-20</v>
      </c>
      <c r="G896">
        <v>5.24</v>
      </c>
      <c r="H896" t="str">
        <f>"2018-04-26"</f>
        <v>2018-04-26</v>
      </c>
      <c r="I896" t="s">
        <v>27</v>
      </c>
      <c r="J896" t="str">
        <f>"2017-12-06"</f>
        <v>2017-12-06</v>
      </c>
      <c r="K896" t="s">
        <v>57</v>
      </c>
      <c r="L896">
        <v>1.22508591</v>
      </c>
      <c r="M896">
        <v>895</v>
      </c>
      <c r="N896" s="1">
        <v>0.22720000000000001</v>
      </c>
      <c r="O896" s="1">
        <v>0.35049999999999998</v>
      </c>
      <c r="P896" s="1">
        <v>-1.6899999999999998E-2</v>
      </c>
      <c r="Q896" s="1">
        <v>-1.1299999999999999E-2</v>
      </c>
      <c r="R896" s="1">
        <v>3.56E-2</v>
      </c>
      <c r="S896" s="1">
        <v>0.26569999999999999</v>
      </c>
      <c r="T896" s="1">
        <v>0.15670000000000001</v>
      </c>
      <c r="U896" s="1">
        <v>-0.30320000000000003</v>
      </c>
    </row>
    <row r="897" spans="1:21" x14ac:dyDescent="0.25">
      <c r="A897" t="s">
        <v>1948</v>
      </c>
      <c r="B897" t="s">
        <v>1949</v>
      </c>
      <c r="C897" t="s">
        <v>23</v>
      </c>
      <c r="D897" t="s">
        <v>52</v>
      </c>
      <c r="E897" t="s">
        <v>53</v>
      </c>
      <c r="F897" t="str">
        <f t="shared" si="16"/>
        <v>2018-05-20</v>
      </c>
      <c r="G897">
        <v>3.65</v>
      </c>
      <c r="H897" t="str">
        <f>"2018-05-02"</f>
        <v>2018-05-02</v>
      </c>
      <c r="I897" t="s">
        <v>27</v>
      </c>
      <c r="J897" t="str">
        <f>"2018-01-09"</f>
        <v>2018-01-09</v>
      </c>
      <c r="K897" t="s">
        <v>57</v>
      </c>
      <c r="L897">
        <v>1.22365196</v>
      </c>
      <c r="M897">
        <v>896</v>
      </c>
      <c r="N897" s="1">
        <v>2.24E-2</v>
      </c>
      <c r="O897" s="1">
        <v>0.34189999999999998</v>
      </c>
      <c r="P897" s="1">
        <v>-2.7000000000000001E-3</v>
      </c>
      <c r="Q897" s="1">
        <v>-2.7000000000000001E-3</v>
      </c>
      <c r="R897" s="1">
        <v>1.67E-2</v>
      </c>
      <c r="S897" s="1">
        <v>2.24E-2</v>
      </c>
      <c r="T897" s="1">
        <v>0.25430000000000003</v>
      </c>
      <c r="U897" s="1">
        <v>-0.12889999999999999</v>
      </c>
    </row>
    <row r="898" spans="1:21" x14ac:dyDescent="0.25">
      <c r="A898" t="s">
        <v>1950</v>
      </c>
      <c r="B898" t="s">
        <v>1951</v>
      </c>
      <c r="C898" t="s">
        <v>109</v>
      </c>
      <c r="D898" t="s">
        <v>156</v>
      </c>
      <c r="E898" t="s">
        <v>277</v>
      </c>
      <c r="F898" t="str">
        <f t="shared" si="16"/>
        <v>2018-05-20</v>
      </c>
      <c r="G898">
        <v>15.05</v>
      </c>
      <c r="H898" t="str">
        <f>"2018-03-11"</f>
        <v>2018-03-11</v>
      </c>
      <c r="I898" t="s">
        <v>27</v>
      </c>
      <c r="J898" t="str">
        <f>"2017-11-09"</f>
        <v>2017-11-09</v>
      </c>
      <c r="K898" t="s">
        <v>57</v>
      </c>
      <c r="L898">
        <v>1.22158422</v>
      </c>
      <c r="M898">
        <v>897</v>
      </c>
      <c r="N898" s="1">
        <v>-1.7000000000000001E-2</v>
      </c>
      <c r="O898" s="1">
        <v>0.32950000000000002</v>
      </c>
      <c r="P898" s="1">
        <v>-3.6499999999999998E-2</v>
      </c>
      <c r="Q898" s="1">
        <v>-1.44E-2</v>
      </c>
      <c r="R898" s="1">
        <v>5.2400000000000002E-2</v>
      </c>
      <c r="S898" s="1">
        <v>0.15679999999999999</v>
      </c>
      <c r="T898" s="1">
        <v>3.9399999999999998E-2</v>
      </c>
      <c r="U898" s="1">
        <v>-0.28770000000000001</v>
      </c>
    </row>
    <row r="899" spans="1:21" x14ac:dyDescent="0.25">
      <c r="A899" t="s">
        <v>1952</v>
      </c>
      <c r="B899" t="s">
        <v>1953</v>
      </c>
      <c r="C899" t="s">
        <v>30</v>
      </c>
      <c r="D899" t="s">
        <v>48</v>
      </c>
      <c r="E899" t="s">
        <v>505</v>
      </c>
      <c r="F899" t="str">
        <f t="shared" si="16"/>
        <v>2018-05-20</v>
      </c>
      <c r="G899">
        <v>8.6199999999999992</v>
      </c>
      <c r="H899" t="str">
        <f>"2018-05-06"</f>
        <v>2018-05-06</v>
      </c>
      <c r="I899" t="s">
        <v>27</v>
      </c>
      <c r="J899" t="str">
        <f>"2018-02-07"</f>
        <v>2018-02-07</v>
      </c>
      <c r="K899" t="s">
        <v>57</v>
      </c>
      <c r="L899">
        <v>1.2210256399999999</v>
      </c>
      <c r="M899">
        <v>898</v>
      </c>
      <c r="N899" s="1">
        <v>2.9899999999999999E-2</v>
      </c>
      <c r="O899" s="1">
        <v>0.32619999999999999</v>
      </c>
      <c r="P899" s="1">
        <v>-3.5000000000000001E-3</v>
      </c>
      <c r="Q899" s="1">
        <v>2.86E-2</v>
      </c>
      <c r="R899" s="1">
        <v>1.6500000000000001E-2</v>
      </c>
      <c r="S899" s="1">
        <v>0.1065</v>
      </c>
      <c r="T899" s="1">
        <v>0.20730000000000001</v>
      </c>
      <c r="U899" s="1">
        <v>-0.10489999999999999</v>
      </c>
    </row>
    <row r="900" spans="1:21" x14ac:dyDescent="0.25">
      <c r="A900" t="s">
        <v>1954</v>
      </c>
      <c r="B900" t="s">
        <v>1955</v>
      </c>
      <c r="C900" t="s">
        <v>43</v>
      </c>
      <c r="D900" t="s">
        <v>193</v>
      </c>
      <c r="E900" t="s">
        <v>239</v>
      </c>
      <c r="F900" t="str">
        <f t="shared" si="16"/>
        <v>2018-05-20</v>
      </c>
      <c r="G900">
        <v>23.25</v>
      </c>
      <c r="H900" t="str">
        <f>"2018-04-18"</f>
        <v>2018-04-18</v>
      </c>
      <c r="I900" t="s">
        <v>27</v>
      </c>
      <c r="J900" t="str">
        <f>"2018-01-31"</f>
        <v>2018-01-31</v>
      </c>
      <c r="K900" t="s">
        <v>57</v>
      </c>
      <c r="L900">
        <v>1.22079772</v>
      </c>
      <c r="M900">
        <v>899</v>
      </c>
      <c r="N900" s="1">
        <v>0.12590000000000001</v>
      </c>
      <c r="O900" s="1">
        <v>0.32479999999999998</v>
      </c>
      <c r="P900" s="1">
        <v>-4.3E-3</v>
      </c>
      <c r="Q900" s="1">
        <v>-4.3E-3</v>
      </c>
      <c r="R900" s="1">
        <v>4.7300000000000002E-2</v>
      </c>
      <c r="S900" s="1">
        <v>0.12859999999999999</v>
      </c>
      <c r="T900" s="1">
        <v>0.14249999999999999</v>
      </c>
      <c r="U900" s="1">
        <v>4.9700000000000001E-2</v>
      </c>
    </row>
    <row r="901" spans="1:21" x14ac:dyDescent="0.25">
      <c r="A901" t="s">
        <v>1956</v>
      </c>
      <c r="B901" t="s">
        <v>1957</v>
      </c>
      <c r="C901" t="s">
        <v>114</v>
      </c>
      <c r="D901" t="s">
        <v>254</v>
      </c>
      <c r="E901" t="s">
        <v>255</v>
      </c>
      <c r="F901" t="str">
        <f t="shared" si="16"/>
        <v>2018-05-20</v>
      </c>
      <c r="G901">
        <v>15.4</v>
      </c>
      <c r="H901" t="str">
        <f>"2018-04-23"</f>
        <v>2018-04-23</v>
      </c>
      <c r="I901" t="s">
        <v>27</v>
      </c>
      <c r="J901" t="str">
        <f>"2017-09-18"</f>
        <v>2017-09-18</v>
      </c>
      <c r="K901" t="s">
        <v>57</v>
      </c>
      <c r="L901">
        <v>1.2203147400000001</v>
      </c>
      <c r="M901">
        <v>900</v>
      </c>
      <c r="N901" s="1">
        <v>2.6700000000000002E-2</v>
      </c>
      <c r="O901" s="1">
        <v>0.32190000000000002</v>
      </c>
      <c r="P901" s="1">
        <v>-8.8800000000000004E-2</v>
      </c>
      <c r="Q901" s="1">
        <v>-2.8400000000000002E-2</v>
      </c>
      <c r="R901" s="1">
        <v>-1.6E-2</v>
      </c>
      <c r="S901" s="1">
        <v>2.6700000000000002E-2</v>
      </c>
      <c r="T901" s="1">
        <v>0.2571</v>
      </c>
      <c r="U901" s="1">
        <v>-0.158</v>
      </c>
    </row>
    <row r="902" spans="1:21" x14ac:dyDescent="0.25">
      <c r="A902" t="s">
        <v>1958</v>
      </c>
      <c r="B902" t="s">
        <v>1959</v>
      </c>
      <c r="C902" t="s">
        <v>109</v>
      </c>
      <c r="D902" t="s">
        <v>156</v>
      </c>
      <c r="E902" t="s">
        <v>284</v>
      </c>
      <c r="F902" t="str">
        <f t="shared" si="16"/>
        <v>2018-05-20</v>
      </c>
      <c r="G902">
        <v>33.21</v>
      </c>
      <c r="H902" t="str">
        <f>"2018-05-06"</f>
        <v>2018-05-06</v>
      </c>
      <c r="I902" t="s">
        <v>27</v>
      </c>
      <c r="J902" t="str">
        <f>"2017-11-08"</f>
        <v>2017-11-08</v>
      </c>
      <c r="K902" t="s">
        <v>57</v>
      </c>
      <c r="L902">
        <v>1.2164646100000001</v>
      </c>
      <c r="M902">
        <v>901</v>
      </c>
      <c r="N902" s="1">
        <v>0.13339999999999999</v>
      </c>
      <c r="O902" s="1">
        <v>0.29880000000000001</v>
      </c>
      <c r="P902" s="1">
        <v>-3.04E-2</v>
      </c>
      <c r="Q902" s="1">
        <v>6.4000000000000003E-3</v>
      </c>
      <c r="R902" s="1">
        <v>-3.04E-2</v>
      </c>
      <c r="S902" s="1">
        <v>0.2059</v>
      </c>
      <c r="T902" s="1">
        <v>-0.13850000000000001</v>
      </c>
      <c r="U902" s="1">
        <v>-0.32019999999999998</v>
      </c>
    </row>
    <row r="903" spans="1:21" x14ac:dyDescent="0.25">
      <c r="A903" t="s">
        <v>1960</v>
      </c>
      <c r="B903" t="s">
        <v>1961</v>
      </c>
      <c r="C903" t="s">
        <v>37</v>
      </c>
      <c r="D903" t="s">
        <v>66</v>
      </c>
      <c r="E903" t="s">
        <v>72</v>
      </c>
      <c r="F903" t="str">
        <f t="shared" si="16"/>
        <v>2018-05-20</v>
      </c>
      <c r="G903">
        <v>24.9</v>
      </c>
      <c r="H903" t="str">
        <f>"2018-05-20"</f>
        <v>2018-05-20</v>
      </c>
      <c r="I903" t="s">
        <v>27</v>
      </c>
      <c r="J903" t="str">
        <f>"2017-12-17"</f>
        <v>2017-12-17</v>
      </c>
      <c r="K903" t="s">
        <v>57</v>
      </c>
      <c r="L903">
        <v>1.2158086299999999</v>
      </c>
      <c r="M903">
        <v>902</v>
      </c>
      <c r="N903" s="1">
        <v>4.0000000000000001E-3</v>
      </c>
      <c r="O903" s="1">
        <v>0.2949</v>
      </c>
      <c r="P903" s="1">
        <v>0</v>
      </c>
      <c r="Q903" s="1">
        <v>4.0000000000000001E-3</v>
      </c>
      <c r="R903" s="1">
        <v>5.1999999999999998E-2</v>
      </c>
      <c r="S903" s="1">
        <v>0.28349999999999997</v>
      </c>
      <c r="T903" s="1">
        <v>0.20169999999999999</v>
      </c>
      <c r="U903" s="1">
        <v>-0.1008</v>
      </c>
    </row>
    <row r="904" spans="1:21" x14ac:dyDescent="0.25">
      <c r="A904" t="s">
        <v>1962</v>
      </c>
      <c r="B904" t="s">
        <v>1963</v>
      </c>
      <c r="C904" t="s">
        <v>30</v>
      </c>
      <c r="D904" t="s">
        <v>48</v>
      </c>
      <c r="E904" t="s">
        <v>485</v>
      </c>
      <c r="F904" t="str">
        <f t="shared" si="16"/>
        <v>2018-05-20</v>
      </c>
      <c r="G904">
        <v>15.5</v>
      </c>
      <c r="H904" t="str">
        <f>"2018-04-12"</f>
        <v>2018-04-12</v>
      </c>
      <c r="I904" t="s">
        <v>27</v>
      </c>
      <c r="J904" t="str">
        <f>"2017-12-18"</f>
        <v>2017-12-18</v>
      </c>
      <c r="K904" t="s">
        <v>57</v>
      </c>
      <c r="L904">
        <v>1.2152777800000001</v>
      </c>
      <c r="M904">
        <v>903</v>
      </c>
      <c r="N904" s="1">
        <v>3.6799999999999999E-2</v>
      </c>
      <c r="O904" s="1">
        <v>0.29170000000000001</v>
      </c>
      <c r="P904" s="1">
        <v>-2.52E-2</v>
      </c>
      <c r="Q904" s="1">
        <v>0</v>
      </c>
      <c r="R904" s="1">
        <v>-1.5900000000000001E-2</v>
      </c>
      <c r="S904" s="1">
        <v>1.6400000000000001E-2</v>
      </c>
      <c r="T904" s="1">
        <v>6.1600000000000002E-2</v>
      </c>
      <c r="U904" s="1">
        <v>6.1600000000000002E-2</v>
      </c>
    </row>
    <row r="905" spans="1:21" x14ac:dyDescent="0.25">
      <c r="A905" t="s">
        <v>1964</v>
      </c>
      <c r="B905" t="s">
        <v>1965</v>
      </c>
      <c r="C905" t="s">
        <v>83</v>
      </c>
      <c r="D905" t="s">
        <v>342</v>
      </c>
      <c r="E905" t="s">
        <v>342</v>
      </c>
      <c r="F905" t="str">
        <f t="shared" si="16"/>
        <v>2018-05-20</v>
      </c>
      <c r="G905">
        <v>9.6</v>
      </c>
      <c r="H905" t="str">
        <f>"2018-04-18"</f>
        <v>2018-04-18</v>
      </c>
      <c r="I905" t="s">
        <v>27</v>
      </c>
      <c r="J905" t="str">
        <f>"2016-09-06"</f>
        <v>2016-09-06</v>
      </c>
      <c r="K905" t="s">
        <v>57</v>
      </c>
      <c r="L905">
        <v>1.2476780199999999</v>
      </c>
      <c r="M905">
        <v>904</v>
      </c>
      <c r="N905" s="1">
        <v>7.1400000000000005E-2</v>
      </c>
      <c r="O905" s="1">
        <v>0.48609999999999998</v>
      </c>
      <c r="P905" s="1">
        <v>-0.15340000000000001</v>
      </c>
      <c r="Q905" s="1">
        <v>3.56E-2</v>
      </c>
      <c r="R905" s="1">
        <v>3.9E-2</v>
      </c>
      <c r="S905" s="1">
        <v>0.1525</v>
      </c>
      <c r="T905" s="1">
        <v>3.9E-2</v>
      </c>
      <c r="U905" s="1">
        <v>-0.56459999999999999</v>
      </c>
    </row>
    <row r="906" spans="1:21" x14ac:dyDescent="0.25">
      <c r="A906" t="s">
        <v>1966</v>
      </c>
      <c r="B906" t="s">
        <v>1967</v>
      </c>
      <c r="C906" t="s">
        <v>43</v>
      </c>
      <c r="D906" t="s">
        <v>119</v>
      </c>
      <c r="E906" t="s">
        <v>120</v>
      </c>
      <c r="F906" t="str">
        <f t="shared" si="16"/>
        <v>2018-05-20</v>
      </c>
      <c r="G906">
        <v>16.574999999999999</v>
      </c>
      <c r="H906" t="str">
        <f>"2018-02-26"</f>
        <v>2018-02-26</v>
      </c>
      <c r="I906" t="s">
        <v>27</v>
      </c>
      <c r="J906" t="str">
        <f>"2017-10-03"</f>
        <v>2017-10-03</v>
      </c>
      <c r="K906" t="s">
        <v>57</v>
      </c>
      <c r="L906">
        <v>1.23214286</v>
      </c>
      <c r="M906">
        <v>905</v>
      </c>
      <c r="N906" s="1">
        <v>-0.14119999999999999</v>
      </c>
      <c r="O906" s="1">
        <v>0.39290000000000003</v>
      </c>
      <c r="P906" s="1">
        <v>-0.18149999999999999</v>
      </c>
      <c r="Q906" s="1">
        <v>1.2200000000000001E-2</v>
      </c>
      <c r="R906" s="1">
        <v>4.4999999999999997E-3</v>
      </c>
      <c r="S906" s="1">
        <v>-7.4999999999999997E-3</v>
      </c>
      <c r="T906" s="1">
        <v>-0.14119999999999999</v>
      </c>
      <c r="U906" s="1">
        <v>-0.47549999999999998</v>
      </c>
    </row>
    <row r="907" spans="1:21" x14ac:dyDescent="0.25">
      <c r="A907" t="s">
        <v>1968</v>
      </c>
      <c r="B907" t="s">
        <v>1969</v>
      </c>
      <c r="C907" t="s">
        <v>37</v>
      </c>
      <c r="D907" t="s">
        <v>38</v>
      </c>
      <c r="E907" t="s">
        <v>39</v>
      </c>
      <c r="F907" t="str">
        <f t="shared" si="16"/>
        <v>2018-05-20</v>
      </c>
      <c r="G907">
        <v>3.66</v>
      </c>
      <c r="H907" t="str">
        <f>"2018-03-08"</f>
        <v>2018-03-08</v>
      </c>
      <c r="I907" t="s">
        <v>27</v>
      </c>
      <c r="J907" t="str">
        <f>"2017-11-28"</f>
        <v>2017-11-28</v>
      </c>
      <c r="K907" t="s">
        <v>57</v>
      </c>
      <c r="L907">
        <v>1.2301886799999999</v>
      </c>
      <c r="M907">
        <v>906</v>
      </c>
      <c r="N907" s="1">
        <v>-8.7300000000000003E-2</v>
      </c>
      <c r="O907" s="1">
        <v>0.38109999999999999</v>
      </c>
      <c r="P907" s="1">
        <v>-0.1348</v>
      </c>
      <c r="Q907" s="1">
        <v>-1.0800000000000001E-2</v>
      </c>
      <c r="R907" s="1">
        <v>1.95E-2</v>
      </c>
      <c r="S907" s="1">
        <v>8.3000000000000001E-3</v>
      </c>
      <c r="T907" s="1">
        <v>7.3300000000000004E-2</v>
      </c>
      <c r="U907" s="1">
        <v>-0.1181</v>
      </c>
    </row>
    <row r="908" spans="1:21" x14ac:dyDescent="0.25">
      <c r="A908" t="s">
        <v>1970</v>
      </c>
      <c r="B908" t="s">
        <v>1971</v>
      </c>
      <c r="C908" t="s">
        <v>43</v>
      </c>
      <c r="D908" t="s">
        <v>44</v>
      </c>
      <c r="E908" t="s">
        <v>246</v>
      </c>
      <c r="F908" t="str">
        <f t="shared" si="16"/>
        <v>2018-05-20</v>
      </c>
      <c r="G908">
        <v>26.92</v>
      </c>
      <c r="H908" t="str">
        <f>"2018-03-11"</f>
        <v>2018-03-11</v>
      </c>
      <c r="I908" t="s">
        <v>27</v>
      </c>
      <c r="J908" t="str">
        <f>"2017-12-28"</f>
        <v>2017-12-28</v>
      </c>
      <c r="K908" t="s">
        <v>57</v>
      </c>
      <c r="L908">
        <v>1.2290284199999999</v>
      </c>
      <c r="M908">
        <v>907</v>
      </c>
      <c r="N908" s="1">
        <v>1.43E-2</v>
      </c>
      <c r="O908" s="1">
        <v>0.37419999999999998</v>
      </c>
      <c r="P908" s="1">
        <v>-0.1182</v>
      </c>
      <c r="Q908" s="1">
        <v>4.0000000000000002E-4</v>
      </c>
      <c r="R908" s="1">
        <v>6.7000000000000002E-3</v>
      </c>
      <c r="S908" s="1">
        <v>-0.10539999999999999</v>
      </c>
      <c r="T908" s="1">
        <v>0.2492</v>
      </c>
      <c r="U908" s="1">
        <v>-0.16500000000000001</v>
      </c>
    </row>
    <row r="909" spans="1:21" x14ac:dyDescent="0.25">
      <c r="A909" t="s">
        <v>1972</v>
      </c>
      <c r="B909" t="s">
        <v>1973</v>
      </c>
      <c r="C909" t="s">
        <v>37</v>
      </c>
      <c r="D909" t="s">
        <v>38</v>
      </c>
      <c r="E909" t="s">
        <v>39</v>
      </c>
      <c r="F909" t="str">
        <f t="shared" ref="F909:F972" si="17">"2018-05-20"</f>
        <v>2018-05-20</v>
      </c>
      <c r="G909">
        <v>11.42</v>
      </c>
      <c r="H909" t="str">
        <f>"2018-04-18"</f>
        <v>2018-04-18</v>
      </c>
      <c r="I909" t="s">
        <v>27</v>
      </c>
      <c r="J909" t="str">
        <f>"2017-12-24"</f>
        <v>2017-12-24</v>
      </c>
      <c r="K909" t="s">
        <v>57</v>
      </c>
      <c r="L909">
        <v>1.2241853199999999</v>
      </c>
      <c r="M909">
        <v>908</v>
      </c>
      <c r="N909" s="1">
        <v>-0.1195</v>
      </c>
      <c r="O909" s="1">
        <v>0.34510000000000002</v>
      </c>
      <c r="P909" s="1">
        <v>-0.1236</v>
      </c>
      <c r="Q909" s="1">
        <v>-6.3200000000000006E-2</v>
      </c>
      <c r="R909" s="1">
        <v>-2.3099999999999999E-2</v>
      </c>
      <c r="S909" s="1">
        <v>-6.0100000000000001E-2</v>
      </c>
      <c r="T909" s="1">
        <v>0.26190000000000002</v>
      </c>
      <c r="U909" s="1">
        <v>-0.1802</v>
      </c>
    </row>
    <row r="910" spans="1:21" x14ac:dyDescent="0.25">
      <c r="A910" t="s">
        <v>1974</v>
      </c>
      <c r="B910" t="s">
        <v>1975</v>
      </c>
      <c r="C910" t="s">
        <v>114</v>
      </c>
      <c r="D910" t="s">
        <v>225</v>
      </c>
      <c r="E910" t="s">
        <v>226</v>
      </c>
      <c r="F910" t="str">
        <f t="shared" si="17"/>
        <v>2018-05-20</v>
      </c>
      <c r="G910">
        <v>1.87</v>
      </c>
      <c r="H910" t="str">
        <f>"2018-03-13"</f>
        <v>2018-03-13</v>
      </c>
      <c r="I910" t="s">
        <v>27</v>
      </c>
      <c r="J910" t="str">
        <f>"2017-09-12"</f>
        <v>2017-09-12</v>
      </c>
      <c r="K910" t="s">
        <v>57</v>
      </c>
      <c r="L910">
        <v>1.22261905</v>
      </c>
      <c r="M910">
        <v>909</v>
      </c>
      <c r="N910" s="1">
        <v>-0.2208</v>
      </c>
      <c r="O910" s="1">
        <v>0.3357</v>
      </c>
      <c r="P910" s="1">
        <v>-0.246</v>
      </c>
      <c r="Q910" s="1">
        <v>-1.06E-2</v>
      </c>
      <c r="R910" s="1">
        <v>0.11310000000000001</v>
      </c>
      <c r="S910" s="1">
        <v>-2.5999999999999999E-2</v>
      </c>
      <c r="T910" s="1">
        <v>-0.16139999999999999</v>
      </c>
      <c r="U910" s="1">
        <v>-0.41189999999999999</v>
      </c>
    </row>
    <row r="911" spans="1:21" x14ac:dyDescent="0.25">
      <c r="A911" t="s">
        <v>1976</v>
      </c>
      <c r="B911" t="s">
        <v>1977</v>
      </c>
      <c r="C911" t="s">
        <v>37</v>
      </c>
      <c r="D911" t="s">
        <v>38</v>
      </c>
      <c r="E911" t="s">
        <v>39</v>
      </c>
      <c r="F911" t="str">
        <f t="shared" si="17"/>
        <v>2018-05-20</v>
      </c>
      <c r="G911">
        <v>7.85</v>
      </c>
      <c r="H911" t="str">
        <f>"2018-05-13"</f>
        <v>2018-05-13</v>
      </c>
      <c r="I911" t="s">
        <v>27</v>
      </c>
      <c r="J911" t="str">
        <f>"2017-11-06"</f>
        <v>2017-11-06</v>
      </c>
      <c r="K911" t="s">
        <v>57</v>
      </c>
      <c r="L911">
        <v>1.21805556</v>
      </c>
      <c r="M911">
        <v>910</v>
      </c>
      <c r="N911" s="1">
        <v>-5.9900000000000002E-2</v>
      </c>
      <c r="O911" s="1">
        <v>0.30830000000000002</v>
      </c>
      <c r="P911" s="1">
        <v>-0.15590000000000001</v>
      </c>
      <c r="Q911" s="1">
        <v>-1.26E-2</v>
      </c>
      <c r="R911" s="1">
        <v>-6.5500000000000003E-2</v>
      </c>
      <c r="S911" s="1">
        <v>0.1295</v>
      </c>
      <c r="T911" s="1">
        <v>0.19850000000000001</v>
      </c>
      <c r="U911" s="1">
        <v>-0.215</v>
      </c>
    </row>
    <row r="912" spans="1:21" x14ac:dyDescent="0.25">
      <c r="A912" t="s">
        <v>1978</v>
      </c>
      <c r="B912" t="s">
        <v>1979</v>
      </c>
      <c r="C912" t="s">
        <v>23</v>
      </c>
      <c r="D912" t="s">
        <v>24</v>
      </c>
      <c r="E912" t="s">
        <v>164</v>
      </c>
      <c r="F912" t="str">
        <f t="shared" si="17"/>
        <v>2018-05-20</v>
      </c>
      <c r="G912">
        <v>22.95</v>
      </c>
      <c r="H912" t="str">
        <f>"2017-12-12"</f>
        <v>2017-12-12</v>
      </c>
      <c r="I912" t="s">
        <v>27</v>
      </c>
      <c r="J912" t="str">
        <f>"2017-06-04"</f>
        <v>2017-06-04</v>
      </c>
      <c r="K912" t="s">
        <v>57</v>
      </c>
      <c r="L912">
        <v>1.2161016899999999</v>
      </c>
      <c r="M912">
        <v>911</v>
      </c>
      <c r="N912" s="1">
        <v>-8.9300000000000004E-2</v>
      </c>
      <c r="O912" s="1">
        <v>0.29659999999999997</v>
      </c>
      <c r="P912" s="1">
        <v>-0.13070000000000001</v>
      </c>
      <c r="Q912" s="1">
        <v>4.4000000000000003E-3</v>
      </c>
      <c r="R912" s="1">
        <v>-2.75E-2</v>
      </c>
      <c r="S912" s="1">
        <v>4.4000000000000003E-3</v>
      </c>
      <c r="T912" s="1">
        <v>-2.9600000000000001E-2</v>
      </c>
      <c r="U912" s="1">
        <v>-0.15</v>
      </c>
    </row>
    <row r="913" spans="1:21" x14ac:dyDescent="0.25">
      <c r="A913" t="s">
        <v>1980</v>
      </c>
      <c r="B913" t="s">
        <v>1981</v>
      </c>
      <c r="C913" t="s">
        <v>43</v>
      </c>
      <c r="D913" t="s">
        <v>119</v>
      </c>
      <c r="E913" t="s">
        <v>205</v>
      </c>
      <c r="F913" t="str">
        <f t="shared" si="17"/>
        <v>2018-05-20</v>
      </c>
      <c r="G913">
        <v>35.24</v>
      </c>
      <c r="H913" t="str">
        <f>"2018-05-09"</f>
        <v>2018-05-09</v>
      </c>
      <c r="I913" t="s">
        <v>26</v>
      </c>
      <c r="J913" t="str">
        <f>"2018-04-12"</f>
        <v>2018-04-12</v>
      </c>
      <c r="K913" t="s">
        <v>27</v>
      </c>
      <c r="L913">
        <v>2.2143552299999998</v>
      </c>
      <c r="M913">
        <v>912</v>
      </c>
      <c r="N913" s="1">
        <v>-1.8700000000000001E-2</v>
      </c>
      <c r="O913" s="1">
        <v>0.28610000000000002</v>
      </c>
      <c r="P913" s="1">
        <v>-4.19E-2</v>
      </c>
      <c r="Q913" s="1">
        <v>1.7899999999999999E-2</v>
      </c>
      <c r="R913" s="1">
        <v>-1.4500000000000001E-2</v>
      </c>
      <c r="S913" s="1">
        <v>0.13420000000000001</v>
      </c>
      <c r="T913" s="1">
        <v>0.26219999999999999</v>
      </c>
      <c r="U913" s="1">
        <v>8.6599999999999996E-2</v>
      </c>
    </row>
    <row r="914" spans="1:21" x14ac:dyDescent="0.25">
      <c r="A914" t="s">
        <v>1982</v>
      </c>
      <c r="B914" t="s">
        <v>1983</v>
      </c>
      <c r="C914" t="s">
        <v>43</v>
      </c>
      <c r="D914" t="s">
        <v>1342</v>
      </c>
      <c r="E914" t="s">
        <v>1746</v>
      </c>
      <c r="F914" t="str">
        <f t="shared" si="17"/>
        <v>2018-05-20</v>
      </c>
      <c r="G914">
        <v>31.5</v>
      </c>
      <c r="H914" t="str">
        <f>"2017-04-23"</f>
        <v>2017-04-23</v>
      </c>
      <c r="I914" t="s">
        <v>26</v>
      </c>
      <c r="J914" t="str">
        <f>"2017-03-27"</f>
        <v>2017-03-27</v>
      </c>
      <c r="K914" t="s">
        <v>40</v>
      </c>
      <c r="L914">
        <v>2.21428571</v>
      </c>
      <c r="M914">
        <v>913</v>
      </c>
      <c r="N914" s="1">
        <v>0.20230000000000001</v>
      </c>
      <c r="O914" s="1">
        <v>0.28570000000000001</v>
      </c>
      <c r="P914" s="1">
        <v>-7.0800000000000002E-2</v>
      </c>
      <c r="Q914" s="1">
        <v>3.2000000000000002E-3</v>
      </c>
      <c r="R914" s="1">
        <v>1.78E-2</v>
      </c>
      <c r="S914" s="1">
        <v>-1.41E-2</v>
      </c>
      <c r="T914" s="1">
        <v>5.1799999999999999E-2</v>
      </c>
      <c r="U914" s="1">
        <v>0.15379999999999999</v>
      </c>
    </row>
    <row r="915" spans="1:21" x14ac:dyDescent="0.25">
      <c r="A915" t="s">
        <v>1984</v>
      </c>
      <c r="B915" t="s">
        <v>1985</v>
      </c>
      <c r="C915" t="s">
        <v>100</v>
      </c>
      <c r="D915" t="s">
        <v>217</v>
      </c>
      <c r="E915" t="s">
        <v>762</v>
      </c>
      <c r="F915" t="str">
        <f t="shared" si="17"/>
        <v>2018-05-20</v>
      </c>
      <c r="G915">
        <v>23.92</v>
      </c>
      <c r="H915" t="str">
        <f>"2017-10-15"</f>
        <v>2017-10-15</v>
      </c>
      <c r="I915" t="s">
        <v>26</v>
      </c>
      <c r="J915" t="str">
        <f>"2017-10-09"</f>
        <v>2017-10-09</v>
      </c>
      <c r="K915" t="s">
        <v>57</v>
      </c>
      <c r="L915">
        <v>2.2142217400000002</v>
      </c>
      <c r="M915">
        <v>914</v>
      </c>
      <c r="N915" s="1">
        <v>0.15110000000000001</v>
      </c>
      <c r="O915" s="1">
        <v>0.2853</v>
      </c>
      <c r="P915" s="1">
        <v>-8.4599999999999995E-2</v>
      </c>
      <c r="Q915" s="1">
        <v>-8.6999999999999994E-3</v>
      </c>
      <c r="R915" s="1">
        <v>5.8900000000000001E-2</v>
      </c>
      <c r="S915" s="1">
        <v>0.1157</v>
      </c>
      <c r="T915" s="1">
        <v>-6.5299999999999997E-2</v>
      </c>
      <c r="U915" s="1">
        <v>0.29720000000000002</v>
      </c>
    </row>
    <row r="916" spans="1:21" x14ac:dyDescent="0.25">
      <c r="A916" t="s">
        <v>1986</v>
      </c>
      <c r="B916" t="s">
        <v>1987</v>
      </c>
      <c r="C916" t="s">
        <v>114</v>
      </c>
      <c r="D916" t="s">
        <v>254</v>
      </c>
      <c r="E916" t="s">
        <v>255</v>
      </c>
      <c r="F916" t="str">
        <f t="shared" si="17"/>
        <v>2018-05-20</v>
      </c>
      <c r="G916">
        <v>16.37</v>
      </c>
      <c r="H916" t="str">
        <f>"2018-02-26"</f>
        <v>2018-02-26</v>
      </c>
      <c r="I916" t="s">
        <v>26</v>
      </c>
      <c r="J916" t="str">
        <f>"2017-12-28"</f>
        <v>2017-12-28</v>
      </c>
      <c r="K916" t="s">
        <v>40</v>
      </c>
      <c r="L916">
        <v>2.2141548900000001</v>
      </c>
      <c r="M916">
        <v>915</v>
      </c>
      <c r="N916" s="1">
        <v>0.1106</v>
      </c>
      <c r="O916" s="1">
        <v>0.28489999999999999</v>
      </c>
      <c r="P916" s="1">
        <v>0</v>
      </c>
      <c r="Q916" s="1">
        <v>1.1999999999999999E-3</v>
      </c>
      <c r="R916" s="1">
        <v>1.9900000000000001E-2</v>
      </c>
      <c r="S916" s="1">
        <v>0.16350000000000001</v>
      </c>
      <c r="T916" s="1">
        <v>0.1106</v>
      </c>
      <c r="U916" s="1">
        <v>0.28589999999999999</v>
      </c>
    </row>
    <row r="917" spans="1:21" x14ac:dyDescent="0.25">
      <c r="A917" t="s">
        <v>1988</v>
      </c>
      <c r="B917" t="s">
        <v>1989</v>
      </c>
      <c r="C917" t="s">
        <v>43</v>
      </c>
      <c r="D917" t="s">
        <v>44</v>
      </c>
      <c r="E917" t="s">
        <v>246</v>
      </c>
      <c r="F917" t="str">
        <f t="shared" si="17"/>
        <v>2018-05-20</v>
      </c>
      <c r="G917">
        <v>47.8</v>
      </c>
      <c r="H917" t="str">
        <f>"2017-05-07"</f>
        <v>2017-05-07</v>
      </c>
      <c r="I917" t="s">
        <v>26</v>
      </c>
      <c r="J917" t="str">
        <f>"2017-02-05"</f>
        <v>2017-02-05</v>
      </c>
      <c r="K917" t="s">
        <v>27</v>
      </c>
      <c r="L917">
        <v>2.2138702499999998</v>
      </c>
      <c r="M917">
        <v>916</v>
      </c>
      <c r="N917" s="1">
        <v>1.1599999999999999E-2</v>
      </c>
      <c r="O917" s="1">
        <v>0.28320000000000001</v>
      </c>
      <c r="P917" s="1">
        <v>-7.7200000000000005E-2</v>
      </c>
      <c r="Q917" s="1">
        <v>8.3999999999999995E-3</v>
      </c>
      <c r="R917" s="1">
        <v>7.4000000000000003E-3</v>
      </c>
      <c r="S917" s="1">
        <v>-4.02E-2</v>
      </c>
      <c r="T917" s="1">
        <v>-2.0999999999999999E-3</v>
      </c>
      <c r="U917" s="1">
        <v>0</v>
      </c>
    </row>
    <row r="918" spans="1:21" x14ac:dyDescent="0.25">
      <c r="A918" t="s">
        <v>1990</v>
      </c>
      <c r="B918" t="s">
        <v>1991</v>
      </c>
      <c r="C918" t="s">
        <v>30</v>
      </c>
      <c r="D918" t="s">
        <v>347</v>
      </c>
      <c r="E918" t="s">
        <v>523</v>
      </c>
      <c r="F918" t="str">
        <f t="shared" si="17"/>
        <v>2018-05-20</v>
      </c>
      <c r="G918">
        <v>84.8</v>
      </c>
      <c r="H918" t="str">
        <f>"2017-08-03"</f>
        <v>2017-08-03</v>
      </c>
      <c r="I918" t="s">
        <v>26</v>
      </c>
      <c r="J918" t="str">
        <f>"2017-05-17"</f>
        <v>2017-05-17</v>
      </c>
      <c r="K918" t="s">
        <v>40</v>
      </c>
      <c r="L918">
        <v>2.2138174500000001</v>
      </c>
      <c r="M918">
        <v>917</v>
      </c>
      <c r="N918" s="1">
        <v>0.15140000000000001</v>
      </c>
      <c r="O918" s="1">
        <v>0.28289999999999998</v>
      </c>
      <c r="P918" s="1">
        <v>0</v>
      </c>
      <c r="Q918" s="1">
        <v>1.2500000000000001E-2</v>
      </c>
      <c r="R918" s="1">
        <v>5.0799999999999998E-2</v>
      </c>
      <c r="S918" s="1">
        <v>4.7600000000000003E-2</v>
      </c>
      <c r="T918" s="1">
        <v>0.12989999999999999</v>
      </c>
      <c r="U918" s="1">
        <v>0.2742</v>
      </c>
    </row>
    <row r="919" spans="1:21" x14ac:dyDescent="0.25">
      <c r="A919" t="s">
        <v>1992</v>
      </c>
      <c r="B919" t="s">
        <v>1993</v>
      </c>
      <c r="C919" t="s">
        <v>23</v>
      </c>
      <c r="D919" t="s">
        <v>411</v>
      </c>
      <c r="E919" t="s">
        <v>412</v>
      </c>
      <c r="F919" t="str">
        <f t="shared" si="17"/>
        <v>2018-05-20</v>
      </c>
      <c r="G919">
        <v>28.79</v>
      </c>
      <c r="H919" t="str">
        <f>"2018-03-27"</f>
        <v>2018-03-27</v>
      </c>
      <c r="I919" t="s">
        <v>26</v>
      </c>
      <c r="J919" t="str">
        <f>"2017-05-08"</f>
        <v>2017-05-08</v>
      </c>
      <c r="K919" t="s">
        <v>57</v>
      </c>
      <c r="L919">
        <v>2.2132592600000001</v>
      </c>
      <c r="M919">
        <v>918</v>
      </c>
      <c r="N919" s="1">
        <v>0.106</v>
      </c>
      <c r="O919" s="1">
        <v>0.27960000000000002</v>
      </c>
      <c r="P919" s="1">
        <v>0</v>
      </c>
      <c r="Q919" s="1">
        <v>2.24E-2</v>
      </c>
      <c r="R919" s="1">
        <v>5.3400000000000003E-2</v>
      </c>
      <c r="S919" s="1">
        <v>5.8099999999999999E-2</v>
      </c>
      <c r="T919" s="1">
        <v>0.17460000000000001</v>
      </c>
      <c r="U919" s="1">
        <v>0.13389999999999999</v>
      </c>
    </row>
    <row r="920" spans="1:21" x14ac:dyDescent="0.25">
      <c r="A920" t="s">
        <v>1994</v>
      </c>
      <c r="B920" t="s">
        <v>1995</v>
      </c>
      <c r="C920" t="s">
        <v>100</v>
      </c>
      <c r="D920" t="s">
        <v>199</v>
      </c>
      <c r="E920" t="s">
        <v>200</v>
      </c>
      <c r="F920" t="str">
        <f t="shared" si="17"/>
        <v>2018-05-20</v>
      </c>
      <c r="G920">
        <v>22.05</v>
      </c>
      <c r="H920" t="str">
        <f>"2017-05-28"</f>
        <v>2017-05-28</v>
      </c>
      <c r="I920" t="s">
        <v>26</v>
      </c>
      <c r="J920" t="str">
        <f>"2017-05-08"</f>
        <v>2017-05-08</v>
      </c>
      <c r="K920" t="s">
        <v>40</v>
      </c>
      <c r="L920">
        <v>2.2130434800000001</v>
      </c>
      <c r="M920">
        <v>919</v>
      </c>
      <c r="N920" s="1">
        <v>0.28199999999999997</v>
      </c>
      <c r="O920" s="1">
        <v>0.27829999999999999</v>
      </c>
      <c r="P920" s="1">
        <v>-7.5499999999999998E-2</v>
      </c>
      <c r="Q920" s="1">
        <v>0</v>
      </c>
      <c r="R920" s="1">
        <v>4.2599999999999999E-2</v>
      </c>
      <c r="S920" s="1">
        <v>-1.5599999999999999E-2</v>
      </c>
      <c r="T920" s="1">
        <v>8.09E-2</v>
      </c>
      <c r="U920" s="1">
        <v>0.2636</v>
      </c>
    </row>
    <row r="921" spans="1:21" x14ac:dyDescent="0.25">
      <c r="A921" t="s">
        <v>1996</v>
      </c>
      <c r="B921" t="s">
        <v>1997</v>
      </c>
      <c r="C921" t="s">
        <v>30</v>
      </c>
      <c r="D921" t="s">
        <v>31</v>
      </c>
      <c r="E921" t="s">
        <v>31</v>
      </c>
      <c r="F921" t="str">
        <f t="shared" si="17"/>
        <v>2018-05-20</v>
      </c>
      <c r="G921">
        <v>52.65</v>
      </c>
      <c r="H921" t="str">
        <f>"2017-10-19"</f>
        <v>2017-10-19</v>
      </c>
      <c r="I921" t="s">
        <v>26</v>
      </c>
      <c r="J921" t="str">
        <f>"2017-08-22"</f>
        <v>2017-08-22</v>
      </c>
      <c r="K921" t="s">
        <v>40</v>
      </c>
      <c r="L921">
        <v>2.2129854400000002</v>
      </c>
      <c r="M921">
        <v>920</v>
      </c>
      <c r="N921" s="1">
        <v>4.0500000000000001E-2</v>
      </c>
      <c r="O921" s="1">
        <v>0.27789999999999998</v>
      </c>
      <c r="P921" s="1">
        <v>-6.1499999999999999E-2</v>
      </c>
      <c r="Q921" s="1">
        <v>1.6400000000000001E-2</v>
      </c>
      <c r="R921" s="1">
        <v>2.4299999999999999E-2</v>
      </c>
      <c r="S921" s="1">
        <v>6.6900000000000001E-2</v>
      </c>
      <c r="T921" s="1">
        <v>-2.1399999999999999E-2</v>
      </c>
      <c r="U921" s="1">
        <v>0.1143</v>
      </c>
    </row>
    <row r="922" spans="1:21" x14ac:dyDescent="0.25">
      <c r="A922" t="s">
        <v>1998</v>
      </c>
      <c r="B922" t="s">
        <v>1999</v>
      </c>
      <c r="C922" t="s">
        <v>37</v>
      </c>
      <c r="D922" t="s">
        <v>38</v>
      </c>
      <c r="E922" t="s">
        <v>97</v>
      </c>
      <c r="F922" t="str">
        <f t="shared" si="17"/>
        <v>2018-05-20</v>
      </c>
      <c r="G922">
        <v>27.49</v>
      </c>
      <c r="H922" t="str">
        <f>"2018-02-14"</f>
        <v>2018-02-14</v>
      </c>
      <c r="I922" t="s">
        <v>26</v>
      </c>
      <c r="J922" t="str">
        <f>"2018-02-04"</f>
        <v>2018-02-04</v>
      </c>
      <c r="K922" t="s">
        <v>40</v>
      </c>
      <c r="L922">
        <v>2.2124092100000001</v>
      </c>
      <c r="M922">
        <v>921</v>
      </c>
      <c r="N922" s="1">
        <v>0.12620000000000001</v>
      </c>
      <c r="O922" s="1">
        <v>0.27450000000000002</v>
      </c>
      <c r="P922" s="1">
        <v>-1.61E-2</v>
      </c>
      <c r="Q922" s="1">
        <v>-9.7000000000000003E-3</v>
      </c>
      <c r="R922" s="1">
        <v>3.78E-2</v>
      </c>
      <c r="S922" s="1">
        <v>0.122</v>
      </c>
      <c r="T922" s="1">
        <v>5.2900000000000003E-2</v>
      </c>
      <c r="U922" s="1">
        <v>0.4325</v>
      </c>
    </row>
    <row r="923" spans="1:21" x14ac:dyDescent="0.25">
      <c r="A923" t="s">
        <v>2000</v>
      </c>
      <c r="B923" t="s">
        <v>2001</v>
      </c>
      <c r="C923" t="s">
        <v>30</v>
      </c>
      <c r="D923" t="s">
        <v>77</v>
      </c>
      <c r="E923" t="s">
        <v>1008</v>
      </c>
      <c r="F923" t="str">
        <f t="shared" si="17"/>
        <v>2018-05-20</v>
      </c>
      <c r="G923">
        <v>31.8</v>
      </c>
      <c r="H923" t="str">
        <f>"2017-06-28"</f>
        <v>2017-06-28</v>
      </c>
      <c r="I923" t="s">
        <v>26</v>
      </c>
      <c r="J923" t="str">
        <f>"2017-03-14"</f>
        <v>2017-03-14</v>
      </c>
      <c r="K923" t="s">
        <v>40</v>
      </c>
      <c r="L923">
        <v>2.2120000000000002</v>
      </c>
      <c r="M923">
        <v>922</v>
      </c>
      <c r="N923" s="1">
        <v>9.0899999999999995E-2</v>
      </c>
      <c r="O923" s="1">
        <v>0.27200000000000002</v>
      </c>
      <c r="P923" s="1">
        <v>-6.3E-3</v>
      </c>
      <c r="Q923" s="1">
        <v>1.6E-2</v>
      </c>
      <c r="R923" s="1">
        <v>4.4299999999999999E-2</v>
      </c>
      <c r="S923" s="1">
        <v>-6.3E-3</v>
      </c>
      <c r="T923" s="1">
        <v>4.6100000000000002E-2</v>
      </c>
      <c r="U923" s="1">
        <v>0.15010000000000001</v>
      </c>
    </row>
    <row r="924" spans="1:21" x14ac:dyDescent="0.25">
      <c r="A924" t="s">
        <v>2002</v>
      </c>
      <c r="B924" t="s">
        <v>2003</v>
      </c>
      <c r="C924" t="s">
        <v>30</v>
      </c>
      <c r="D924" t="s">
        <v>31</v>
      </c>
      <c r="E924" t="s">
        <v>31</v>
      </c>
      <c r="F924" t="str">
        <f t="shared" si="17"/>
        <v>2018-05-20</v>
      </c>
      <c r="G924">
        <v>32.15</v>
      </c>
      <c r="H924" t="str">
        <f>"2017-11-26"</f>
        <v>2017-11-26</v>
      </c>
      <c r="I924" t="s">
        <v>26</v>
      </c>
      <c r="J924" t="str">
        <f>"2017-11-15"</f>
        <v>2017-11-15</v>
      </c>
      <c r="K924" t="s">
        <v>27</v>
      </c>
      <c r="L924">
        <v>2.2117918300000001</v>
      </c>
      <c r="M924">
        <v>923</v>
      </c>
      <c r="N924" s="1">
        <v>0.1885</v>
      </c>
      <c r="O924" s="1">
        <v>0.27079999999999999</v>
      </c>
      <c r="P924" s="1">
        <v>-4.5999999999999999E-3</v>
      </c>
      <c r="Q924" s="1">
        <v>1.5800000000000002E-2</v>
      </c>
      <c r="R924" s="1">
        <v>1.0999999999999999E-2</v>
      </c>
      <c r="S924" s="1">
        <v>2.3900000000000001E-2</v>
      </c>
      <c r="T924" s="1">
        <v>0.1241</v>
      </c>
      <c r="U924" s="1">
        <v>0.251</v>
      </c>
    </row>
    <row r="925" spans="1:21" x14ac:dyDescent="0.25">
      <c r="A925" t="s">
        <v>2004</v>
      </c>
      <c r="B925" t="s">
        <v>2005</v>
      </c>
      <c r="C925" t="s">
        <v>30</v>
      </c>
      <c r="D925" t="s">
        <v>31</v>
      </c>
      <c r="E925" t="s">
        <v>31</v>
      </c>
      <c r="F925" t="str">
        <f t="shared" si="17"/>
        <v>2018-05-20</v>
      </c>
      <c r="G925">
        <v>20.9</v>
      </c>
      <c r="H925" t="str">
        <f>"2017-10-03"</f>
        <v>2017-10-03</v>
      </c>
      <c r="I925" t="s">
        <v>26</v>
      </c>
      <c r="J925" t="str">
        <f>"2017-08-09"</f>
        <v>2017-08-09</v>
      </c>
      <c r="K925" t="s">
        <v>40</v>
      </c>
      <c r="L925">
        <v>2.2116942900000001</v>
      </c>
      <c r="M925">
        <v>924</v>
      </c>
      <c r="N925" s="1">
        <v>6.1000000000000004E-3</v>
      </c>
      <c r="O925" s="1">
        <v>0.2702</v>
      </c>
      <c r="P925" s="1">
        <v>-3.8100000000000002E-2</v>
      </c>
      <c r="Q925" s="1">
        <v>2.1999999999999999E-2</v>
      </c>
      <c r="R925" s="1">
        <v>2.1999999999999999E-2</v>
      </c>
      <c r="S925" s="1">
        <v>-9.1000000000000004E-3</v>
      </c>
      <c r="T925" s="1">
        <v>9.4799999999999995E-2</v>
      </c>
      <c r="U925" s="1">
        <v>9.74E-2</v>
      </c>
    </row>
    <row r="926" spans="1:21" x14ac:dyDescent="0.25">
      <c r="A926" t="s">
        <v>2006</v>
      </c>
      <c r="B926" t="s">
        <v>2007</v>
      </c>
      <c r="C926" t="s">
        <v>518</v>
      </c>
      <c r="D926" t="s">
        <v>573</v>
      </c>
      <c r="E926" t="s">
        <v>574</v>
      </c>
      <c r="F926" t="str">
        <f t="shared" si="17"/>
        <v>2018-05-20</v>
      </c>
      <c r="G926">
        <v>41.87</v>
      </c>
      <c r="H926" t="str">
        <f>"2017-07-19"</f>
        <v>2017-07-19</v>
      </c>
      <c r="I926" t="s">
        <v>26</v>
      </c>
      <c r="J926" t="str">
        <f>"2017-03-28"</f>
        <v>2017-03-28</v>
      </c>
      <c r="K926" t="s">
        <v>40</v>
      </c>
      <c r="L926">
        <v>2.2115287499999998</v>
      </c>
      <c r="M926">
        <v>925</v>
      </c>
      <c r="N926" s="1">
        <v>6.3E-2</v>
      </c>
      <c r="O926" s="1">
        <v>0.26919999999999999</v>
      </c>
      <c r="P926" s="1">
        <v>-9.7600000000000006E-2</v>
      </c>
      <c r="Q926" s="1">
        <v>1.6500000000000001E-2</v>
      </c>
      <c r="R926" s="1">
        <v>2.0199999999999999E-2</v>
      </c>
      <c r="S926" s="1">
        <v>2.7E-2</v>
      </c>
      <c r="T926" s="1">
        <v>0.11269999999999999</v>
      </c>
      <c r="U926" s="1">
        <v>0.21890000000000001</v>
      </c>
    </row>
    <row r="927" spans="1:21" x14ac:dyDescent="0.25">
      <c r="A927" t="s">
        <v>2008</v>
      </c>
      <c r="B927" t="s">
        <v>2009</v>
      </c>
      <c r="C927" t="s">
        <v>109</v>
      </c>
      <c r="D927" t="s">
        <v>156</v>
      </c>
      <c r="E927" t="s">
        <v>277</v>
      </c>
      <c r="F927" t="str">
        <f t="shared" si="17"/>
        <v>2018-05-20</v>
      </c>
      <c r="G927">
        <v>33.47</v>
      </c>
      <c r="H927" t="str">
        <f>"2018-03-15"</f>
        <v>2018-03-15</v>
      </c>
      <c r="I927" t="s">
        <v>26</v>
      </c>
      <c r="J927" t="str">
        <f>"2018-02-05"</f>
        <v>2018-02-05</v>
      </c>
      <c r="K927" t="s">
        <v>40</v>
      </c>
      <c r="L927">
        <v>2.2113805700000002</v>
      </c>
      <c r="M927">
        <v>926</v>
      </c>
      <c r="N927" s="1">
        <v>5.2200000000000003E-2</v>
      </c>
      <c r="O927" s="1">
        <v>0.26829999999999998</v>
      </c>
      <c r="P927" s="1">
        <v>0</v>
      </c>
      <c r="Q927" s="1">
        <v>3.0000000000000001E-3</v>
      </c>
      <c r="R927" s="1">
        <v>1.2699999999999999E-2</v>
      </c>
      <c r="S927" s="1">
        <v>0.1198</v>
      </c>
      <c r="T927" s="1">
        <v>0.1101</v>
      </c>
      <c r="U927" s="1">
        <v>0.29880000000000001</v>
      </c>
    </row>
    <row r="928" spans="1:21" x14ac:dyDescent="0.25">
      <c r="A928" t="s">
        <v>2010</v>
      </c>
      <c r="B928" t="s">
        <v>2011</v>
      </c>
      <c r="C928" t="s">
        <v>30</v>
      </c>
      <c r="D928" t="s">
        <v>31</v>
      </c>
      <c r="E928" t="s">
        <v>31</v>
      </c>
      <c r="F928" t="str">
        <f t="shared" si="17"/>
        <v>2018-05-20</v>
      </c>
      <c r="G928">
        <v>26.15</v>
      </c>
      <c r="H928" t="str">
        <f>"2017-11-06"</f>
        <v>2017-11-06</v>
      </c>
      <c r="I928" t="s">
        <v>26</v>
      </c>
      <c r="J928" t="str">
        <f>"2017-08-21"</f>
        <v>2017-08-21</v>
      </c>
      <c r="K928" t="s">
        <v>40</v>
      </c>
      <c r="L928">
        <v>2.21115956</v>
      </c>
      <c r="M928">
        <v>927</v>
      </c>
      <c r="N928" s="1">
        <v>0.12139999999999999</v>
      </c>
      <c r="O928" s="1">
        <v>0.26700000000000002</v>
      </c>
      <c r="P928" s="1">
        <v>-1.1299999999999999E-2</v>
      </c>
      <c r="Q928" s="1">
        <v>3.0300000000000001E-2</v>
      </c>
      <c r="R928" s="1">
        <v>4.3499999999999997E-2</v>
      </c>
      <c r="S928" s="1">
        <v>3.5200000000000002E-2</v>
      </c>
      <c r="T928" s="1">
        <v>4.1000000000000002E-2</v>
      </c>
      <c r="U928" s="1">
        <v>0.15809999999999999</v>
      </c>
    </row>
    <row r="929" spans="1:21" x14ac:dyDescent="0.25">
      <c r="A929" t="s">
        <v>2012</v>
      </c>
      <c r="B929" t="s">
        <v>2013</v>
      </c>
      <c r="C929" t="s">
        <v>43</v>
      </c>
      <c r="D929" t="s">
        <v>1342</v>
      </c>
      <c r="E929" t="s">
        <v>1343</v>
      </c>
      <c r="F929" t="str">
        <f t="shared" si="17"/>
        <v>2018-05-20</v>
      </c>
      <c r="G929">
        <v>29.05</v>
      </c>
      <c r="H929" t="str">
        <f>"2018-03-07"</f>
        <v>2018-03-07</v>
      </c>
      <c r="I929" t="s">
        <v>26</v>
      </c>
      <c r="J929" t="str">
        <f>"2018-02-13"</f>
        <v>2018-02-13</v>
      </c>
      <c r="K929" t="s">
        <v>40</v>
      </c>
      <c r="L929">
        <v>2.2109658699999999</v>
      </c>
      <c r="M929">
        <v>928</v>
      </c>
      <c r="N929" s="1">
        <v>0.1046</v>
      </c>
      <c r="O929" s="1">
        <v>0.26579999999999998</v>
      </c>
      <c r="P929" s="1">
        <v>0</v>
      </c>
      <c r="Q929" s="1">
        <v>1.4E-2</v>
      </c>
      <c r="R929" s="1">
        <v>4.87E-2</v>
      </c>
      <c r="S929" s="1">
        <v>7.1999999999999995E-2</v>
      </c>
      <c r="T929" s="1">
        <v>0.1643</v>
      </c>
      <c r="U929" s="1">
        <v>0.32950000000000002</v>
      </c>
    </row>
    <row r="930" spans="1:21" x14ac:dyDescent="0.25">
      <c r="A930" t="s">
        <v>2014</v>
      </c>
      <c r="B930" t="s">
        <v>2015</v>
      </c>
      <c r="C930" t="s">
        <v>43</v>
      </c>
      <c r="D930" t="s">
        <v>169</v>
      </c>
      <c r="E930" t="s">
        <v>1223</v>
      </c>
      <c r="F930" t="str">
        <f t="shared" si="17"/>
        <v>2018-05-20</v>
      </c>
      <c r="G930">
        <v>69.25</v>
      </c>
      <c r="H930" t="str">
        <f>"2018-02-26"</f>
        <v>2018-02-26</v>
      </c>
      <c r="I930" t="s">
        <v>26</v>
      </c>
      <c r="J930" t="str">
        <f>"2018-02-20"</f>
        <v>2018-02-20</v>
      </c>
      <c r="K930" t="s">
        <v>40</v>
      </c>
      <c r="L930">
        <v>2.2108067</v>
      </c>
      <c r="M930">
        <v>929</v>
      </c>
      <c r="N930" s="1">
        <v>0.10009999999999999</v>
      </c>
      <c r="O930" s="1">
        <v>0.26479999999999998</v>
      </c>
      <c r="P930" s="1">
        <v>-2.2000000000000001E-3</v>
      </c>
      <c r="Q930" s="1">
        <v>6.9999999999999999E-4</v>
      </c>
      <c r="R930" s="1">
        <v>2.4400000000000002E-2</v>
      </c>
      <c r="S930" s="1">
        <v>8.7999999999999995E-2</v>
      </c>
      <c r="T930" s="1">
        <v>0.10009999999999999</v>
      </c>
      <c r="U930" s="1">
        <v>0.42930000000000001</v>
      </c>
    </row>
    <row r="931" spans="1:21" x14ac:dyDescent="0.25">
      <c r="A931" t="s">
        <v>2016</v>
      </c>
      <c r="B931" t="s">
        <v>2017</v>
      </c>
      <c r="C931" t="s">
        <v>100</v>
      </c>
      <c r="D931" t="s">
        <v>217</v>
      </c>
      <c r="E931" t="s">
        <v>762</v>
      </c>
      <c r="F931" t="str">
        <f t="shared" si="17"/>
        <v>2018-05-20</v>
      </c>
      <c r="G931">
        <v>8.34</v>
      </c>
      <c r="H931" t="str">
        <f>"2018-05-16"</f>
        <v>2018-05-16</v>
      </c>
      <c r="I931" t="s">
        <v>26</v>
      </c>
      <c r="J931" t="str">
        <f>"2018-03-26"</f>
        <v>2018-03-26</v>
      </c>
      <c r="K931" t="s">
        <v>40</v>
      </c>
      <c r="L931">
        <v>2.2106060599999999</v>
      </c>
      <c r="M931">
        <v>930</v>
      </c>
      <c r="N931" s="1">
        <v>-4.58E-2</v>
      </c>
      <c r="O931" s="1">
        <v>0.2636</v>
      </c>
      <c r="P931" s="1">
        <v>-6.8199999999999997E-2</v>
      </c>
      <c r="Q931" s="1">
        <v>-3.1399999999999997E-2</v>
      </c>
      <c r="R931" s="1">
        <v>-4.7999999999999996E-3</v>
      </c>
      <c r="S931" s="1">
        <v>0.14879999999999999</v>
      </c>
      <c r="T931" s="1">
        <v>9.8799999999999999E-2</v>
      </c>
      <c r="U931" s="1">
        <v>0.28699999999999998</v>
      </c>
    </row>
    <row r="932" spans="1:21" x14ac:dyDescent="0.25">
      <c r="A932" t="s">
        <v>2018</v>
      </c>
      <c r="B932" t="s">
        <v>2019</v>
      </c>
      <c r="C932" t="s">
        <v>30</v>
      </c>
      <c r="D932" t="s">
        <v>347</v>
      </c>
      <c r="E932" t="s">
        <v>523</v>
      </c>
      <c r="F932" t="str">
        <f t="shared" si="17"/>
        <v>2018-05-20</v>
      </c>
      <c r="G932">
        <v>59.7</v>
      </c>
      <c r="H932" t="str">
        <f>"2018-04-05"</f>
        <v>2018-04-05</v>
      </c>
      <c r="I932" t="s">
        <v>26</v>
      </c>
      <c r="J932" t="str">
        <f>"2018-02-26"</f>
        <v>2018-02-26</v>
      </c>
      <c r="K932" t="s">
        <v>27</v>
      </c>
      <c r="L932">
        <v>2.21058201</v>
      </c>
      <c r="M932">
        <v>931</v>
      </c>
      <c r="N932" s="1">
        <v>3.4700000000000002E-2</v>
      </c>
      <c r="O932" s="1">
        <v>0.26350000000000001</v>
      </c>
      <c r="P932" s="1">
        <v>0</v>
      </c>
      <c r="Q932" s="1">
        <v>1.6199999999999999E-2</v>
      </c>
      <c r="R932" s="1">
        <v>1.7899999999999999E-2</v>
      </c>
      <c r="S932" s="1">
        <v>3.1099999999999999E-2</v>
      </c>
      <c r="T932" s="1">
        <v>7.4700000000000003E-2</v>
      </c>
      <c r="U932" s="1">
        <v>0.14699999999999999</v>
      </c>
    </row>
    <row r="933" spans="1:21" x14ac:dyDescent="0.25">
      <c r="A933" t="s">
        <v>2020</v>
      </c>
      <c r="B933" t="s">
        <v>2021</v>
      </c>
      <c r="C933" t="s">
        <v>37</v>
      </c>
      <c r="D933" t="s">
        <v>66</v>
      </c>
      <c r="E933" t="s">
        <v>94</v>
      </c>
      <c r="F933" t="str">
        <f t="shared" si="17"/>
        <v>2018-05-20</v>
      </c>
      <c r="G933">
        <v>27.78</v>
      </c>
      <c r="H933" t="str">
        <f>"2018-02-26"</f>
        <v>2018-02-26</v>
      </c>
      <c r="I933" t="s">
        <v>26</v>
      </c>
      <c r="J933" t="str">
        <f>"2017-09-21"</f>
        <v>2017-09-21</v>
      </c>
      <c r="K933" t="s">
        <v>57</v>
      </c>
      <c r="L933">
        <v>2.2104545500000001</v>
      </c>
      <c r="M933">
        <v>932</v>
      </c>
      <c r="N933" s="1">
        <v>0.122</v>
      </c>
      <c r="O933" s="1">
        <v>0.26269999999999999</v>
      </c>
      <c r="P933" s="1">
        <v>0</v>
      </c>
      <c r="Q933" s="1">
        <v>2.8999999999999998E-3</v>
      </c>
      <c r="R933" s="1">
        <v>2.81E-2</v>
      </c>
      <c r="S933" s="1">
        <v>0.13389999999999999</v>
      </c>
      <c r="T933" s="1">
        <v>0.122</v>
      </c>
      <c r="U933" s="1">
        <v>-2.9700000000000001E-2</v>
      </c>
    </row>
    <row r="934" spans="1:21" x14ac:dyDescent="0.25">
      <c r="A934" t="s">
        <v>2022</v>
      </c>
      <c r="B934" t="s">
        <v>2023</v>
      </c>
      <c r="C934" t="s">
        <v>37</v>
      </c>
      <c r="D934" t="s">
        <v>38</v>
      </c>
      <c r="E934" t="s">
        <v>39</v>
      </c>
      <c r="F934" t="str">
        <f t="shared" si="17"/>
        <v>2018-05-20</v>
      </c>
      <c r="G934">
        <v>38.450000000000003</v>
      </c>
      <c r="H934" t="str">
        <f>"2018-05-07"</f>
        <v>2018-05-07</v>
      </c>
      <c r="I934" t="s">
        <v>26</v>
      </c>
      <c r="J934" t="str">
        <f>"2018-03-25"</f>
        <v>2018-03-25</v>
      </c>
      <c r="K934" t="s">
        <v>40</v>
      </c>
      <c r="L934">
        <v>2.2102471600000002</v>
      </c>
      <c r="M934">
        <v>933</v>
      </c>
      <c r="N934" s="1">
        <v>6.3E-2</v>
      </c>
      <c r="O934" s="1">
        <v>0.26150000000000001</v>
      </c>
      <c r="P934" s="1">
        <v>-2.8999999999999998E-3</v>
      </c>
      <c r="Q934" s="1">
        <v>-2.8999999999999998E-3</v>
      </c>
      <c r="R934" s="1">
        <v>0.01</v>
      </c>
      <c r="S934" s="1">
        <v>0.20419999999999999</v>
      </c>
      <c r="T934" s="1">
        <v>0.19670000000000001</v>
      </c>
      <c r="U934" s="1">
        <v>0.2994</v>
      </c>
    </row>
    <row r="935" spans="1:21" x14ac:dyDescent="0.25">
      <c r="A935" t="s">
        <v>2024</v>
      </c>
      <c r="B935" t="s">
        <v>2025</v>
      </c>
      <c r="C935" t="s">
        <v>109</v>
      </c>
      <c r="D935" t="s">
        <v>110</v>
      </c>
      <c r="E935" t="s">
        <v>251</v>
      </c>
      <c r="F935" t="str">
        <f t="shared" si="17"/>
        <v>2018-05-20</v>
      </c>
      <c r="G935">
        <v>85.61</v>
      </c>
      <c r="H935" t="str">
        <f>"2017-12-28"</f>
        <v>2017-12-28</v>
      </c>
      <c r="I935" t="s">
        <v>26</v>
      </c>
      <c r="J935" t="str">
        <f>"2017-12-13"</f>
        <v>2017-12-13</v>
      </c>
      <c r="K935" t="s">
        <v>27</v>
      </c>
      <c r="L935">
        <v>2.2101684100000001</v>
      </c>
      <c r="M935">
        <v>934</v>
      </c>
      <c r="N935" s="1">
        <v>0.1105</v>
      </c>
      <c r="O935" s="1">
        <v>0.26100000000000001</v>
      </c>
      <c r="P935" s="1">
        <v>-4.9799999999999997E-2</v>
      </c>
      <c r="Q935" s="1">
        <v>-4.7000000000000002E-3</v>
      </c>
      <c r="R935" s="1">
        <v>-3.61E-2</v>
      </c>
      <c r="S935" s="1">
        <v>-1.9E-3</v>
      </c>
      <c r="T935" s="1">
        <v>0.15559999999999999</v>
      </c>
      <c r="U935" s="1">
        <v>0.1663</v>
      </c>
    </row>
    <row r="936" spans="1:21" x14ac:dyDescent="0.25">
      <c r="A936" t="s">
        <v>2026</v>
      </c>
      <c r="B936" t="s">
        <v>2027</v>
      </c>
      <c r="C936" t="s">
        <v>37</v>
      </c>
      <c r="D936" t="s">
        <v>38</v>
      </c>
      <c r="E936" t="s">
        <v>39</v>
      </c>
      <c r="F936" t="str">
        <f t="shared" si="17"/>
        <v>2018-05-20</v>
      </c>
      <c r="G936">
        <v>5.8</v>
      </c>
      <c r="H936" t="str">
        <f>"2018-05-14"</f>
        <v>2018-05-14</v>
      </c>
      <c r="I936" t="s">
        <v>26</v>
      </c>
      <c r="J936" t="str">
        <f>"2018-04-03"</f>
        <v>2018-04-03</v>
      </c>
      <c r="K936" t="s">
        <v>57</v>
      </c>
      <c r="L936">
        <v>2.2101449299999998</v>
      </c>
      <c r="M936">
        <v>935</v>
      </c>
      <c r="N936" s="1">
        <v>-3.49E-2</v>
      </c>
      <c r="O936" s="1">
        <v>0.26090000000000002</v>
      </c>
      <c r="P936" s="1">
        <v>-3.49E-2</v>
      </c>
      <c r="Q936" s="1">
        <v>-1.3599999999999999E-2</v>
      </c>
      <c r="R936" s="1">
        <v>-3.49E-2</v>
      </c>
      <c r="S936" s="1">
        <v>0.1837</v>
      </c>
      <c r="T936" s="1">
        <v>0.14849999999999999</v>
      </c>
      <c r="U936" s="1">
        <v>0.1069</v>
      </c>
    </row>
    <row r="937" spans="1:21" x14ac:dyDescent="0.25">
      <c r="A937" t="s">
        <v>2028</v>
      </c>
      <c r="B937" t="s">
        <v>2029</v>
      </c>
      <c r="C937" t="s">
        <v>30</v>
      </c>
      <c r="D937" t="s">
        <v>31</v>
      </c>
      <c r="E937" t="s">
        <v>31</v>
      </c>
      <c r="F937" t="str">
        <f t="shared" si="17"/>
        <v>2018-05-20</v>
      </c>
      <c r="G937">
        <v>24.29</v>
      </c>
      <c r="H937" t="str">
        <f>"2017-09-13"</f>
        <v>2017-09-13</v>
      </c>
      <c r="I937" t="s">
        <v>26</v>
      </c>
      <c r="J937" t="str">
        <f>"2017-05-24"</f>
        <v>2017-05-24</v>
      </c>
      <c r="K937" t="s">
        <v>40</v>
      </c>
      <c r="L937">
        <v>2.2099758</v>
      </c>
      <c r="M937">
        <v>936</v>
      </c>
      <c r="N937" s="1">
        <v>0.15609999999999999</v>
      </c>
      <c r="O937" s="1">
        <v>0.25990000000000002</v>
      </c>
      <c r="P937" s="1">
        <v>-7.4000000000000003E-3</v>
      </c>
      <c r="Q937" s="1">
        <v>1.4200000000000001E-2</v>
      </c>
      <c r="R937" s="1">
        <v>4.07E-2</v>
      </c>
      <c r="S937" s="1">
        <v>4.4699999999999997E-2</v>
      </c>
      <c r="T937" s="1">
        <v>5.1999999999999998E-2</v>
      </c>
      <c r="U937" s="1">
        <v>0.16</v>
      </c>
    </row>
    <row r="938" spans="1:21" x14ac:dyDescent="0.25">
      <c r="A938" t="s">
        <v>2030</v>
      </c>
      <c r="B938" t="s">
        <v>2031</v>
      </c>
      <c r="C938" t="s">
        <v>30</v>
      </c>
      <c r="D938" t="s">
        <v>31</v>
      </c>
      <c r="E938" t="s">
        <v>31</v>
      </c>
      <c r="F938" t="str">
        <f t="shared" si="17"/>
        <v>2018-05-20</v>
      </c>
      <c r="G938">
        <v>31.73</v>
      </c>
      <c r="H938" t="str">
        <f>"2018-02-21"</f>
        <v>2018-02-21</v>
      </c>
      <c r="I938" t="s">
        <v>26</v>
      </c>
      <c r="J938" t="str">
        <f>"2018-01-08"</f>
        <v>2018-01-08</v>
      </c>
      <c r="K938" t="s">
        <v>40</v>
      </c>
      <c r="L938">
        <v>2.20993781</v>
      </c>
      <c r="M938">
        <v>937</v>
      </c>
      <c r="N938" s="1">
        <v>0.14510000000000001</v>
      </c>
      <c r="O938" s="1">
        <v>0.2596</v>
      </c>
      <c r="P938" s="1">
        <v>-5.0000000000000001E-3</v>
      </c>
      <c r="Q938" s="1">
        <v>6.3E-3</v>
      </c>
      <c r="R938" s="1">
        <v>2.9499999999999998E-2</v>
      </c>
      <c r="S938" s="1">
        <v>0.15260000000000001</v>
      </c>
      <c r="T938" s="1">
        <v>0.14180000000000001</v>
      </c>
      <c r="U938" s="1">
        <v>0.29249999999999998</v>
      </c>
    </row>
    <row r="939" spans="1:21" x14ac:dyDescent="0.25">
      <c r="A939" t="s">
        <v>2032</v>
      </c>
      <c r="B939" t="s">
        <v>2033</v>
      </c>
      <c r="C939" t="s">
        <v>43</v>
      </c>
      <c r="D939" t="s">
        <v>150</v>
      </c>
      <c r="E939" t="s">
        <v>151</v>
      </c>
      <c r="F939" t="str">
        <f t="shared" si="17"/>
        <v>2018-05-20</v>
      </c>
      <c r="G939">
        <v>20.72</v>
      </c>
      <c r="H939" t="str">
        <f>"2018-01-18"</f>
        <v>2018-01-18</v>
      </c>
      <c r="I939" t="s">
        <v>26</v>
      </c>
      <c r="J939" t="str">
        <f>"2017-12-12"</f>
        <v>2017-12-12</v>
      </c>
      <c r="K939" t="s">
        <v>27</v>
      </c>
      <c r="L939">
        <v>2.2095469300000001</v>
      </c>
      <c r="M939">
        <v>938</v>
      </c>
      <c r="N939" s="1">
        <v>8.5400000000000004E-2</v>
      </c>
      <c r="O939" s="1">
        <v>0.25729999999999997</v>
      </c>
      <c r="P939" s="1">
        <v>-6.2E-2</v>
      </c>
      <c r="Q939" s="1">
        <v>7.7999999999999996E-3</v>
      </c>
      <c r="R939" s="1">
        <v>5.3400000000000003E-2</v>
      </c>
      <c r="S939" s="1">
        <v>3.0800000000000001E-2</v>
      </c>
      <c r="T939" s="1">
        <v>-6.2E-2</v>
      </c>
      <c r="U939" s="1">
        <v>0.16470000000000001</v>
      </c>
    </row>
    <row r="940" spans="1:21" x14ac:dyDescent="0.25">
      <c r="A940" t="s">
        <v>2034</v>
      </c>
      <c r="B940" t="s">
        <v>2035</v>
      </c>
      <c r="C940" t="s">
        <v>30</v>
      </c>
      <c r="D940" t="s">
        <v>31</v>
      </c>
      <c r="E940" t="s">
        <v>31</v>
      </c>
      <c r="F940" t="str">
        <f t="shared" si="17"/>
        <v>2018-05-20</v>
      </c>
      <c r="G940">
        <v>43.76</v>
      </c>
      <c r="H940" t="str">
        <f>"2017-10-10"</f>
        <v>2017-10-10</v>
      </c>
      <c r="I940" t="s">
        <v>26</v>
      </c>
      <c r="J940" t="str">
        <f>"2017-08-21"</f>
        <v>2017-08-21</v>
      </c>
      <c r="K940" t="s">
        <v>40</v>
      </c>
      <c r="L940">
        <v>2.2091578200000002</v>
      </c>
      <c r="M940">
        <v>939</v>
      </c>
      <c r="N940" s="1">
        <v>9.7000000000000003E-2</v>
      </c>
      <c r="O940" s="1">
        <v>0.25490000000000002</v>
      </c>
      <c r="P940" s="1">
        <v>-4.4999999999999998E-2</v>
      </c>
      <c r="Q940" s="1">
        <v>5.7000000000000002E-3</v>
      </c>
      <c r="R940" s="1">
        <v>2.12E-2</v>
      </c>
      <c r="S940" s="1">
        <v>3.5200000000000002E-2</v>
      </c>
      <c r="T940" s="1">
        <v>8.3000000000000001E-3</v>
      </c>
      <c r="U940" s="1">
        <v>0.22819999999999999</v>
      </c>
    </row>
    <row r="941" spans="1:21" x14ac:dyDescent="0.25">
      <c r="A941" t="s">
        <v>2036</v>
      </c>
      <c r="B941" t="s">
        <v>2037</v>
      </c>
      <c r="C941" t="s">
        <v>30</v>
      </c>
      <c r="D941" t="s">
        <v>31</v>
      </c>
      <c r="E941" t="s">
        <v>31</v>
      </c>
      <c r="F941" t="str">
        <f t="shared" si="17"/>
        <v>2018-05-20</v>
      </c>
      <c r="G941">
        <v>20.38</v>
      </c>
      <c r="H941" t="str">
        <f>"2018-05-06"</f>
        <v>2018-05-06</v>
      </c>
      <c r="I941" t="s">
        <v>26</v>
      </c>
      <c r="J941" t="str">
        <f>"2017-04-23"</f>
        <v>2017-04-23</v>
      </c>
      <c r="K941" t="s">
        <v>34</v>
      </c>
      <c r="L941">
        <v>2.2091543499999999</v>
      </c>
      <c r="M941">
        <v>940</v>
      </c>
      <c r="N941" s="1">
        <v>4.4000000000000003E-3</v>
      </c>
      <c r="O941" s="1">
        <v>0.25490000000000002</v>
      </c>
      <c r="P941" s="1">
        <v>-7.1499999999999994E-2</v>
      </c>
      <c r="Q941" s="1">
        <v>1.6500000000000001E-2</v>
      </c>
      <c r="R941" s="1">
        <v>1.7000000000000001E-2</v>
      </c>
      <c r="S941" s="1">
        <v>1.3899999999999999E-2</v>
      </c>
      <c r="T941" s="1">
        <v>4.5100000000000001E-2</v>
      </c>
      <c r="U941" s="1">
        <v>0.2457</v>
      </c>
    </row>
    <row r="942" spans="1:21" x14ac:dyDescent="0.25">
      <c r="A942" t="s">
        <v>2038</v>
      </c>
      <c r="B942" t="s">
        <v>2039</v>
      </c>
      <c r="C942" t="s">
        <v>30</v>
      </c>
      <c r="D942" t="s">
        <v>31</v>
      </c>
      <c r="E942" t="s">
        <v>31</v>
      </c>
      <c r="F942" t="str">
        <f t="shared" si="17"/>
        <v>2018-05-20</v>
      </c>
      <c r="G942">
        <v>21.88</v>
      </c>
      <c r="H942" t="str">
        <f>"2018-05-21"</f>
        <v>2018-05-21</v>
      </c>
      <c r="I942" t="s">
        <v>26</v>
      </c>
      <c r="J942" t="str">
        <f>"2018-04-24"</f>
        <v>2018-04-24</v>
      </c>
      <c r="K942" t="s">
        <v>27</v>
      </c>
      <c r="L942">
        <v>2.20873879</v>
      </c>
      <c r="M942">
        <v>941</v>
      </c>
      <c r="N942" s="1">
        <v>0</v>
      </c>
      <c r="O942" s="1">
        <v>0.25240000000000001</v>
      </c>
      <c r="P942" s="1">
        <v>0</v>
      </c>
      <c r="Q942" s="1">
        <v>9.7000000000000003E-3</v>
      </c>
      <c r="R942" s="1">
        <v>7.7799999999999994E-2</v>
      </c>
      <c r="S942" s="1">
        <v>0.1062</v>
      </c>
      <c r="T942" s="1">
        <v>0.21290000000000001</v>
      </c>
      <c r="U942" s="1">
        <v>0.13489999999999999</v>
      </c>
    </row>
    <row r="943" spans="1:21" x14ac:dyDescent="0.25">
      <c r="A943" t="s">
        <v>2040</v>
      </c>
      <c r="B943" t="s">
        <v>2041</v>
      </c>
      <c r="C943" t="s">
        <v>30</v>
      </c>
      <c r="D943" t="s">
        <v>31</v>
      </c>
      <c r="E943" t="s">
        <v>31</v>
      </c>
      <c r="F943" t="str">
        <f t="shared" si="17"/>
        <v>2018-05-20</v>
      </c>
      <c r="G943">
        <v>31.35</v>
      </c>
      <c r="H943" t="str">
        <f>"2017-10-15"</f>
        <v>2017-10-15</v>
      </c>
      <c r="I943" t="s">
        <v>26</v>
      </c>
      <c r="J943" t="str">
        <f>"2017-03-21"</f>
        <v>2017-03-21</v>
      </c>
      <c r="K943" t="s">
        <v>40</v>
      </c>
      <c r="L943">
        <v>2.20868697</v>
      </c>
      <c r="M943">
        <v>942</v>
      </c>
      <c r="N943" s="1">
        <v>7.2700000000000001E-2</v>
      </c>
      <c r="O943" s="1">
        <v>0.25209999999999999</v>
      </c>
      <c r="P943" s="1">
        <v>0</v>
      </c>
      <c r="Q943" s="1">
        <v>8.0000000000000002E-3</v>
      </c>
      <c r="R943" s="1">
        <v>3.1300000000000001E-2</v>
      </c>
      <c r="S943" s="1">
        <v>8.2900000000000001E-2</v>
      </c>
      <c r="T943" s="1">
        <v>7.3599999999999999E-2</v>
      </c>
      <c r="U943" s="1">
        <v>0.21629999999999999</v>
      </c>
    </row>
    <row r="944" spans="1:21" x14ac:dyDescent="0.25">
      <c r="A944" t="s">
        <v>2042</v>
      </c>
      <c r="B944" t="s">
        <v>2043</v>
      </c>
      <c r="C944" t="s">
        <v>30</v>
      </c>
      <c r="D944" t="s">
        <v>31</v>
      </c>
      <c r="E944" t="s">
        <v>31</v>
      </c>
      <c r="F944" t="str">
        <f t="shared" si="17"/>
        <v>2018-05-20</v>
      </c>
      <c r="G944">
        <v>11.44</v>
      </c>
      <c r="H944" t="str">
        <f>"2017-09-21"</f>
        <v>2017-09-21</v>
      </c>
      <c r="I944" t="s">
        <v>26</v>
      </c>
      <c r="J944" t="str">
        <f>"2017-07-10"</f>
        <v>2017-07-10</v>
      </c>
      <c r="K944" t="s">
        <v>40</v>
      </c>
      <c r="L944">
        <v>2.2086068600000002</v>
      </c>
      <c r="M944">
        <v>943</v>
      </c>
      <c r="N944" s="1">
        <v>0.16259999999999999</v>
      </c>
      <c r="O944" s="1">
        <v>0.25159999999999999</v>
      </c>
      <c r="P944" s="1">
        <v>0</v>
      </c>
      <c r="Q944" s="1">
        <v>7.9000000000000008E-3</v>
      </c>
      <c r="R944" s="1">
        <v>4.0899999999999999E-2</v>
      </c>
      <c r="S944" s="1">
        <v>7.22E-2</v>
      </c>
      <c r="T944" s="1">
        <v>0.13039999999999999</v>
      </c>
      <c r="U944" s="1">
        <v>0.2354</v>
      </c>
    </row>
    <row r="945" spans="1:21" x14ac:dyDescent="0.25">
      <c r="A945" t="s">
        <v>2044</v>
      </c>
      <c r="B945" t="s">
        <v>2045</v>
      </c>
      <c r="C945" t="s">
        <v>30</v>
      </c>
      <c r="D945" t="s">
        <v>31</v>
      </c>
      <c r="E945" t="s">
        <v>31</v>
      </c>
      <c r="F945" t="str">
        <f t="shared" si="17"/>
        <v>2018-05-20</v>
      </c>
      <c r="G945">
        <v>48.65</v>
      </c>
      <c r="H945" t="str">
        <f>"2018-04-23"</f>
        <v>2018-04-23</v>
      </c>
      <c r="I945" t="s">
        <v>26</v>
      </c>
      <c r="J945" t="str">
        <f>"2018-03-01"</f>
        <v>2018-03-01</v>
      </c>
      <c r="K945" t="s">
        <v>40</v>
      </c>
      <c r="L945">
        <v>2.2084404499999999</v>
      </c>
      <c r="M945">
        <v>944</v>
      </c>
      <c r="N945" s="1">
        <v>4.7399999999999998E-2</v>
      </c>
      <c r="O945" s="1">
        <v>0.25059999999999999</v>
      </c>
      <c r="P945" s="1">
        <v>0</v>
      </c>
      <c r="Q945" s="1">
        <v>9.2999999999999992E-3</v>
      </c>
      <c r="R945" s="1">
        <v>4.7399999999999998E-2</v>
      </c>
      <c r="S945" s="1">
        <v>4.7399999999999998E-2</v>
      </c>
      <c r="T945" s="1">
        <v>0.15010000000000001</v>
      </c>
      <c r="U945" s="1">
        <v>0.2301</v>
      </c>
    </row>
    <row r="946" spans="1:21" x14ac:dyDescent="0.25">
      <c r="A946" t="s">
        <v>2046</v>
      </c>
      <c r="B946" t="s">
        <v>2047</v>
      </c>
      <c r="C946" t="s">
        <v>43</v>
      </c>
      <c r="D946" t="s">
        <v>119</v>
      </c>
      <c r="E946" t="s">
        <v>205</v>
      </c>
      <c r="F946" t="str">
        <f t="shared" si="17"/>
        <v>2018-05-20</v>
      </c>
      <c r="G946">
        <v>80.69</v>
      </c>
      <c r="H946" t="str">
        <f>"2018-02-11"</f>
        <v>2018-02-11</v>
      </c>
      <c r="I946" t="s">
        <v>26</v>
      </c>
      <c r="J946" t="str">
        <f>"2017-09-14"</f>
        <v>2017-09-14</v>
      </c>
      <c r="K946" t="s">
        <v>57</v>
      </c>
      <c r="L946">
        <v>2.2082752600000002</v>
      </c>
      <c r="M946">
        <v>945</v>
      </c>
      <c r="N946" s="1">
        <v>0.13070000000000001</v>
      </c>
      <c r="O946" s="1">
        <v>0.24970000000000001</v>
      </c>
      <c r="P946" s="1">
        <v>0</v>
      </c>
      <c r="Q946" s="1">
        <v>2.7400000000000001E-2</v>
      </c>
      <c r="R946" s="1">
        <v>9.4500000000000001E-2</v>
      </c>
      <c r="S946" s="1">
        <v>0.1454</v>
      </c>
      <c r="T946" s="1">
        <v>9.4500000000000001E-2</v>
      </c>
      <c r="U946" s="1">
        <v>3.0000000000000001E-3</v>
      </c>
    </row>
    <row r="947" spans="1:21" x14ac:dyDescent="0.25">
      <c r="A947" t="s">
        <v>2048</v>
      </c>
      <c r="B947" t="s">
        <v>2049</v>
      </c>
      <c r="C947" t="s">
        <v>30</v>
      </c>
      <c r="D947" t="s">
        <v>31</v>
      </c>
      <c r="E947" t="s">
        <v>31</v>
      </c>
      <c r="F947" t="str">
        <f t="shared" si="17"/>
        <v>2018-05-20</v>
      </c>
      <c r="G947">
        <v>60.4</v>
      </c>
      <c r="H947" t="str">
        <f>"2018-04-29"</f>
        <v>2018-04-29</v>
      </c>
      <c r="I947" t="s">
        <v>26</v>
      </c>
      <c r="J947" t="str">
        <f>"2018-03-04"</f>
        <v>2018-03-04</v>
      </c>
      <c r="K947" t="s">
        <v>40</v>
      </c>
      <c r="L947">
        <v>2.2082040699999999</v>
      </c>
      <c r="M947">
        <v>946</v>
      </c>
      <c r="N947" s="1">
        <v>2.1999999999999999E-2</v>
      </c>
      <c r="O947" s="1">
        <v>0.2492</v>
      </c>
      <c r="P947" s="1">
        <v>-2.5000000000000001E-3</v>
      </c>
      <c r="Q947" s="1">
        <v>1.5100000000000001E-2</v>
      </c>
      <c r="R947" s="1">
        <v>4.41E-2</v>
      </c>
      <c r="S947" s="1">
        <v>2.3699999999999999E-2</v>
      </c>
      <c r="T947" s="1">
        <v>0.2402</v>
      </c>
      <c r="U947" s="1">
        <v>0.2505</v>
      </c>
    </row>
    <row r="948" spans="1:21" x14ac:dyDescent="0.25">
      <c r="A948" t="s">
        <v>2050</v>
      </c>
      <c r="B948" t="s">
        <v>2051</v>
      </c>
      <c r="C948" t="s">
        <v>30</v>
      </c>
      <c r="D948" t="s">
        <v>31</v>
      </c>
      <c r="E948" t="s">
        <v>31</v>
      </c>
      <c r="F948" t="str">
        <f t="shared" si="17"/>
        <v>2018-05-20</v>
      </c>
      <c r="G948">
        <v>74.849999999999994</v>
      </c>
      <c r="H948" t="str">
        <f>"2017-09-18"</f>
        <v>2017-09-18</v>
      </c>
      <c r="I948" t="s">
        <v>26</v>
      </c>
      <c r="J948" t="str">
        <f>"2017-08-17"</f>
        <v>2017-08-17</v>
      </c>
      <c r="K948" t="s">
        <v>40</v>
      </c>
      <c r="L948">
        <v>2.2081247899999998</v>
      </c>
      <c r="M948">
        <v>947</v>
      </c>
      <c r="N948" s="1">
        <v>0.13070000000000001</v>
      </c>
      <c r="O948" s="1">
        <v>0.2487</v>
      </c>
      <c r="P948" s="1">
        <v>0</v>
      </c>
      <c r="Q948" s="1">
        <v>9.1999999999999998E-3</v>
      </c>
      <c r="R948" s="1">
        <v>3.8699999999999998E-2</v>
      </c>
      <c r="S948" s="1">
        <v>7.0000000000000001E-3</v>
      </c>
      <c r="T948" s="1">
        <v>6.0499999999999998E-2</v>
      </c>
      <c r="U948" s="1">
        <v>0.14360000000000001</v>
      </c>
    </row>
    <row r="949" spans="1:21" x14ac:dyDescent="0.25">
      <c r="A949" t="s">
        <v>2052</v>
      </c>
      <c r="B949" t="s">
        <v>2053</v>
      </c>
      <c r="C949" t="s">
        <v>23</v>
      </c>
      <c r="D949" t="s">
        <v>173</v>
      </c>
      <c r="E949" t="s">
        <v>174</v>
      </c>
      <c r="F949" t="str">
        <f t="shared" si="17"/>
        <v>2018-05-20</v>
      </c>
      <c r="G949">
        <v>20</v>
      </c>
      <c r="H949" t="str">
        <f>"2017-11-28"</f>
        <v>2017-11-28</v>
      </c>
      <c r="I949" t="s">
        <v>26</v>
      </c>
      <c r="J949" t="str">
        <f>"2017-09-06"</f>
        <v>2017-09-06</v>
      </c>
      <c r="K949" t="s">
        <v>57</v>
      </c>
      <c r="L949">
        <v>2.20807324</v>
      </c>
      <c r="M949">
        <v>948</v>
      </c>
      <c r="N949" s="1">
        <v>0.128</v>
      </c>
      <c r="O949" s="1">
        <v>0.24840000000000001</v>
      </c>
      <c r="P949" s="1">
        <v>-8.8800000000000004E-2</v>
      </c>
      <c r="Q949" s="1">
        <v>-9.9000000000000008E-3</v>
      </c>
      <c r="R949" s="1">
        <v>2E-3</v>
      </c>
      <c r="S949" s="1">
        <v>-6.7199999999999996E-2</v>
      </c>
      <c r="T949" s="1">
        <v>5.4899999999999997E-2</v>
      </c>
      <c r="U949" s="1">
        <v>0.1062</v>
      </c>
    </row>
    <row r="950" spans="1:21" x14ac:dyDescent="0.25">
      <c r="A950" t="s">
        <v>2054</v>
      </c>
      <c r="B950" t="s">
        <v>2055</v>
      </c>
      <c r="C950" t="s">
        <v>109</v>
      </c>
      <c r="D950" t="s">
        <v>110</v>
      </c>
      <c r="E950" t="s">
        <v>111</v>
      </c>
      <c r="F950" t="str">
        <f t="shared" si="17"/>
        <v>2018-05-20</v>
      </c>
      <c r="G950">
        <v>104.14</v>
      </c>
      <c r="H950" t="str">
        <f>"2018-03-07"</f>
        <v>2018-03-07</v>
      </c>
      <c r="I950" t="s">
        <v>26</v>
      </c>
      <c r="J950" t="str">
        <f>"2018-03-05"</f>
        <v>2018-03-05</v>
      </c>
      <c r="K950" t="s">
        <v>27</v>
      </c>
      <c r="L950">
        <v>2.2080137400000002</v>
      </c>
      <c r="M950">
        <v>949</v>
      </c>
      <c r="N950" s="1">
        <v>0.11</v>
      </c>
      <c r="O950" s="1">
        <v>0.24809999999999999</v>
      </c>
      <c r="P950" s="1">
        <v>-1.7500000000000002E-2</v>
      </c>
      <c r="Q950" s="1">
        <v>3.8E-3</v>
      </c>
      <c r="R950" s="1">
        <v>1.04E-2</v>
      </c>
      <c r="S950" s="1">
        <v>0.16059999999999999</v>
      </c>
      <c r="T950" s="1">
        <v>0.11169999999999999</v>
      </c>
      <c r="U950" s="1">
        <v>-4.9599999999999998E-2</v>
      </c>
    </row>
    <row r="951" spans="1:21" x14ac:dyDescent="0.25">
      <c r="A951" t="s">
        <v>2056</v>
      </c>
      <c r="B951" t="s">
        <v>2057</v>
      </c>
      <c r="C951" t="s">
        <v>30</v>
      </c>
      <c r="D951" t="s">
        <v>299</v>
      </c>
      <c r="E951" t="s">
        <v>300</v>
      </c>
      <c r="F951" t="str">
        <f t="shared" si="17"/>
        <v>2018-05-20</v>
      </c>
      <c r="G951">
        <v>26.5</v>
      </c>
      <c r="H951" t="str">
        <f>"2017-10-02"</f>
        <v>2017-10-02</v>
      </c>
      <c r="I951" t="s">
        <v>26</v>
      </c>
      <c r="J951" t="str">
        <f>"2017-07-06"</f>
        <v>2017-07-06</v>
      </c>
      <c r="K951" t="s">
        <v>40</v>
      </c>
      <c r="L951">
        <v>2.20794099</v>
      </c>
      <c r="M951">
        <v>950</v>
      </c>
      <c r="N951" s="1">
        <v>8.4699999999999998E-2</v>
      </c>
      <c r="O951" s="1">
        <v>0.24759999999999999</v>
      </c>
      <c r="P951" s="1">
        <v>-4.4999999999999998E-2</v>
      </c>
      <c r="Q951" s="1">
        <v>1.2200000000000001E-2</v>
      </c>
      <c r="R951" s="1">
        <v>-1.0800000000000001E-2</v>
      </c>
      <c r="S951" s="1">
        <v>5.3699999999999998E-2</v>
      </c>
      <c r="T951" s="1">
        <v>6.3799999999999996E-2</v>
      </c>
      <c r="U951" s="1">
        <v>0.1023</v>
      </c>
    </row>
    <row r="952" spans="1:21" x14ac:dyDescent="0.25">
      <c r="A952" t="s">
        <v>2058</v>
      </c>
      <c r="B952" t="s">
        <v>2059</v>
      </c>
      <c r="C952" t="s">
        <v>30</v>
      </c>
      <c r="D952" t="s">
        <v>31</v>
      </c>
      <c r="E952" t="s">
        <v>31</v>
      </c>
      <c r="F952" t="str">
        <f t="shared" si="17"/>
        <v>2018-05-20</v>
      </c>
      <c r="G952">
        <v>25.93</v>
      </c>
      <c r="H952" t="str">
        <f>"2018-01-29"</f>
        <v>2018-01-29</v>
      </c>
      <c r="I952" t="s">
        <v>26</v>
      </c>
      <c r="J952" t="str">
        <f>"2017-11-21"</f>
        <v>2017-11-21</v>
      </c>
      <c r="K952" t="s">
        <v>27</v>
      </c>
      <c r="L952">
        <v>2.20787237</v>
      </c>
      <c r="M952">
        <v>951</v>
      </c>
      <c r="N952" s="1">
        <v>7.5899999999999995E-2</v>
      </c>
      <c r="O952" s="1">
        <v>0.2472</v>
      </c>
      <c r="P952" s="1">
        <v>-1.26E-2</v>
      </c>
      <c r="Q952" s="1">
        <v>-1.26E-2</v>
      </c>
      <c r="R952" s="1">
        <v>1.49E-2</v>
      </c>
      <c r="S952" s="1">
        <v>4.5999999999999999E-3</v>
      </c>
      <c r="T952" s="1">
        <v>5.3199999999999997E-2</v>
      </c>
      <c r="U952" s="1">
        <v>0.1114</v>
      </c>
    </row>
    <row r="953" spans="1:21" x14ac:dyDescent="0.25">
      <c r="A953" t="s">
        <v>2060</v>
      </c>
      <c r="B953" t="s">
        <v>2061</v>
      </c>
      <c r="C953" t="s">
        <v>100</v>
      </c>
      <c r="D953" t="s">
        <v>1034</v>
      </c>
      <c r="E953" t="s">
        <v>1035</v>
      </c>
      <c r="F953" t="str">
        <f t="shared" si="17"/>
        <v>2018-05-20</v>
      </c>
      <c r="G953">
        <v>13.18</v>
      </c>
      <c r="H953" t="str">
        <f>"2018-05-16"</f>
        <v>2018-05-16</v>
      </c>
      <c r="I953" t="s">
        <v>26</v>
      </c>
      <c r="J953" t="str">
        <f>"2018-04-16"</f>
        <v>2018-04-16</v>
      </c>
      <c r="K953" t="s">
        <v>40</v>
      </c>
      <c r="L953">
        <v>2.2078208799999999</v>
      </c>
      <c r="M953">
        <v>952</v>
      </c>
      <c r="N953" s="1">
        <v>1.38E-2</v>
      </c>
      <c r="O953" s="1">
        <v>0.24690000000000001</v>
      </c>
      <c r="P953" s="1">
        <v>-2.3E-3</v>
      </c>
      <c r="Q953" s="1">
        <v>0</v>
      </c>
      <c r="R953" s="1">
        <v>5.6099999999999997E-2</v>
      </c>
      <c r="S953" s="1">
        <v>0.23180000000000001</v>
      </c>
      <c r="T953" s="1">
        <v>0.20150000000000001</v>
      </c>
      <c r="U953" s="1">
        <v>0.51319999999999999</v>
      </c>
    </row>
    <row r="954" spans="1:21" x14ac:dyDescent="0.25">
      <c r="A954" t="s">
        <v>2062</v>
      </c>
      <c r="B954" t="s">
        <v>2063</v>
      </c>
      <c r="C954" t="s">
        <v>43</v>
      </c>
      <c r="D954" t="s">
        <v>150</v>
      </c>
      <c r="E954" t="s">
        <v>408</v>
      </c>
      <c r="F954" t="str">
        <f t="shared" si="17"/>
        <v>2018-05-20</v>
      </c>
      <c r="G954">
        <v>16.7</v>
      </c>
      <c r="H954" t="str">
        <f>"2018-02-01"</f>
        <v>2018-02-01</v>
      </c>
      <c r="I954" t="s">
        <v>26</v>
      </c>
      <c r="J954" t="str">
        <f>"2018-01-31"</f>
        <v>2018-01-31</v>
      </c>
      <c r="K954" t="s">
        <v>40</v>
      </c>
      <c r="L954">
        <v>2.2077114400000002</v>
      </c>
      <c r="M954">
        <v>953</v>
      </c>
      <c r="N954" s="1">
        <v>0.18440000000000001</v>
      </c>
      <c r="O954" s="1">
        <v>0.24629999999999999</v>
      </c>
      <c r="P954" s="1">
        <v>-9.2399999999999996E-2</v>
      </c>
      <c r="Q954" s="1">
        <v>3.73E-2</v>
      </c>
      <c r="R954" s="1">
        <v>7.0499999999999993E-2</v>
      </c>
      <c r="S954" s="1">
        <v>-6.0000000000000001E-3</v>
      </c>
      <c r="T954" s="1">
        <v>0.1023</v>
      </c>
      <c r="U954" s="1">
        <v>0.9647</v>
      </c>
    </row>
    <row r="955" spans="1:21" x14ac:dyDescent="0.25">
      <c r="A955" t="s">
        <v>2064</v>
      </c>
      <c r="B955" t="s">
        <v>2065</v>
      </c>
      <c r="C955" t="s">
        <v>30</v>
      </c>
      <c r="D955" t="s">
        <v>31</v>
      </c>
      <c r="E955" t="s">
        <v>31</v>
      </c>
      <c r="F955" t="str">
        <f t="shared" si="17"/>
        <v>2018-05-20</v>
      </c>
      <c r="G955">
        <v>42.73</v>
      </c>
      <c r="H955" t="str">
        <f>"2017-09-27"</f>
        <v>2017-09-27</v>
      </c>
      <c r="I955" t="s">
        <v>26</v>
      </c>
      <c r="J955" t="str">
        <f>"2017-08-10"</f>
        <v>2017-08-10</v>
      </c>
      <c r="K955" t="s">
        <v>40</v>
      </c>
      <c r="L955">
        <v>2.20756825</v>
      </c>
      <c r="M955">
        <v>954</v>
      </c>
      <c r="N955" s="1">
        <v>6.88E-2</v>
      </c>
      <c r="O955" s="1">
        <v>0.24540000000000001</v>
      </c>
      <c r="P955" s="1">
        <v>-5.4600000000000003E-2</v>
      </c>
      <c r="Q955" s="1">
        <v>1.6400000000000001E-2</v>
      </c>
      <c r="R955" s="1">
        <v>2.3E-2</v>
      </c>
      <c r="S955" s="1">
        <v>5.6099999999999997E-2</v>
      </c>
      <c r="T955" s="1">
        <v>-5.7999999999999996E-3</v>
      </c>
      <c r="U955" s="1">
        <v>0.1615</v>
      </c>
    </row>
    <row r="956" spans="1:21" x14ac:dyDescent="0.25">
      <c r="A956" t="s">
        <v>2066</v>
      </c>
      <c r="B956" t="s">
        <v>2067</v>
      </c>
      <c r="C956" t="s">
        <v>87</v>
      </c>
      <c r="D956" t="s">
        <v>144</v>
      </c>
      <c r="E956" t="s">
        <v>145</v>
      </c>
      <c r="F956" t="str">
        <f t="shared" si="17"/>
        <v>2018-05-20</v>
      </c>
      <c r="G956">
        <v>21.25</v>
      </c>
      <c r="H956" t="str">
        <f>"2018-04-23"</f>
        <v>2018-04-23</v>
      </c>
      <c r="I956" t="s">
        <v>26</v>
      </c>
      <c r="J956" t="str">
        <f>"2018-04-09"</f>
        <v>2018-04-09</v>
      </c>
      <c r="K956" t="s">
        <v>40</v>
      </c>
      <c r="L956">
        <v>2.2071150099999999</v>
      </c>
      <c r="M956">
        <v>955</v>
      </c>
      <c r="N956" s="1">
        <v>0.10730000000000001</v>
      </c>
      <c r="O956" s="1">
        <v>0.2427</v>
      </c>
      <c r="P956" s="1">
        <v>0</v>
      </c>
      <c r="Q956" s="1">
        <v>2.1100000000000001E-2</v>
      </c>
      <c r="R956" s="1">
        <v>5.5599999999999997E-2</v>
      </c>
      <c r="S956" s="1">
        <v>0.10730000000000001</v>
      </c>
      <c r="T956" s="1">
        <v>0.23910000000000001</v>
      </c>
      <c r="U956" s="1">
        <v>4.2700000000000002E-2</v>
      </c>
    </row>
    <row r="957" spans="1:21" x14ac:dyDescent="0.25">
      <c r="A957" t="s">
        <v>2068</v>
      </c>
      <c r="B957" t="s">
        <v>2069</v>
      </c>
      <c r="C957" t="s">
        <v>43</v>
      </c>
      <c r="D957" t="s">
        <v>193</v>
      </c>
      <c r="E957" t="s">
        <v>194</v>
      </c>
      <c r="F957" t="str">
        <f t="shared" si="17"/>
        <v>2018-05-20</v>
      </c>
      <c r="G957">
        <v>77.59</v>
      </c>
      <c r="H957" t="str">
        <f>"2017-06-25"</f>
        <v>2017-06-25</v>
      </c>
      <c r="I957" t="s">
        <v>26</v>
      </c>
      <c r="J957" t="str">
        <f>"2017-05-18"</f>
        <v>2017-05-18</v>
      </c>
      <c r="K957" t="s">
        <v>40</v>
      </c>
      <c r="L957">
        <v>2.2070391699999998</v>
      </c>
      <c r="M957">
        <v>956</v>
      </c>
      <c r="N957" s="1">
        <v>0.18240000000000001</v>
      </c>
      <c r="O957" s="1">
        <v>0.2422</v>
      </c>
      <c r="P957" s="1">
        <v>-7.7799999999999994E-2</v>
      </c>
      <c r="Q957" s="1">
        <v>1.3899999999999999E-2</v>
      </c>
      <c r="R957" s="1">
        <v>2.75E-2</v>
      </c>
      <c r="S957" s="1">
        <v>-3.6999999999999998E-2</v>
      </c>
      <c r="T957" s="1">
        <v>1.8E-3</v>
      </c>
      <c r="U957" s="1">
        <v>0.2306</v>
      </c>
    </row>
    <row r="958" spans="1:21" x14ac:dyDescent="0.25">
      <c r="A958" t="s">
        <v>2070</v>
      </c>
      <c r="B958" t="s">
        <v>2071</v>
      </c>
      <c r="C958" t="s">
        <v>23</v>
      </c>
      <c r="D958" t="s">
        <v>173</v>
      </c>
      <c r="E958" t="s">
        <v>174</v>
      </c>
      <c r="F958" t="str">
        <f t="shared" si="17"/>
        <v>2018-05-20</v>
      </c>
      <c r="G958">
        <v>44.21</v>
      </c>
      <c r="H958" t="str">
        <f>"2018-04-18"</f>
        <v>2018-04-18</v>
      </c>
      <c r="I958" t="s">
        <v>26</v>
      </c>
      <c r="J958" t="str">
        <f>"2018-04-10"</f>
        <v>2018-04-10</v>
      </c>
      <c r="K958" t="s">
        <v>27</v>
      </c>
      <c r="L958">
        <v>2.20703381</v>
      </c>
      <c r="M958">
        <v>957</v>
      </c>
      <c r="N958" s="1">
        <v>6.2E-2</v>
      </c>
      <c r="O958" s="1">
        <v>0.2422</v>
      </c>
      <c r="P958" s="1">
        <v>0</v>
      </c>
      <c r="Q958" s="1">
        <v>1.0500000000000001E-2</v>
      </c>
      <c r="R958" s="1">
        <v>4.07E-2</v>
      </c>
      <c r="S958" s="1">
        <v>6.4299999999999996E-2</v>
      </c>
      <c r="T958" s="1">
        <v>0.1774</v>
      </c>
      <c r="U958" s="1">
        <v>4.4900000000000002E-2</v>
      </c>
    </row>
    <row r="959" spans="1:21" x14ac:dyDescent="0.25">
      <c r="A959" t="s">
        <v>2072</v>
      </c>
      <c r="B959" t="s">
        <v>2073</v>
      </c>
      <c r="C959" t="s">
        <v>30</v>
      </c>
      <c r="D959" t="s">
        <v>31</v>
      </c>
      <c r="E959" t="s">
        <v>31</v>
      </c>
      <c r="F959" t="str">
        <f t="shared" si="17"/>
        <v>2018-05-20</v>
      </c>
      <c r="G959">
        <v>52.774999999999999</v>
      </c>
      <c r="H959" t="str">
        <f>"2017-09-27"</f>
        <v>2017-09-27</v>
      </c>
      <c r="I959" t="s">
        <v>26</v>
      </c>
      <c r="J959" t="str">
        <f>"2017-08-09"</f>
        <v>2017-08-09</v>
      </c>
      <c r="K959" t="s">
        <v>40</v>
      </c>
      <c r="L959">
        <v>2.2062328999999998</v>
      </c>
      <c r="M959">
        <v>958</v>
      </c>
      <c r="N959" s="1">
        <v>9.4899999999999998E-2</v>
      </c>
      <c r="O959" s="1">
        <v>0.2374</v>
      </c>
      <c r="P959" s="1">
        <v>-3.3E-3</v>
      </c>
      <c r="Q959" s="1">
        <v>1.0999999999999999E-2</v>
      </c>
      <c r="R959" s="1">
        <v>3.3799999999999997E-2</v>
      </c>
      <c r="S959" s="1">
        <v>4.6100000000000002E-2</v>
      </c>
      <c r="T959" s="1">
        <v>6.6199999999999995E-2</v>
      </c>
      <c r="U959" s="1">
        <v>0.19670000000000001</v>
      </c>
    </row>
    <row r="960" spans="1:21" x14ac:dyDescent="0.25">
      <c r="A960" t="s">
        <v>2074</v>
      </c>
      <c r="B960" t="s">
        <v>2075</v>
      </c>
      <c r="C960" t="s">
        <v>30</v>
      </c>
      <c r="D960" t="s">
        <v>31</v>
      </c>
      <c r="E960" t="s">
        <v>31</v>
      </c>
      <c r="F960" t="str">
        <f t="shared" si="17"/>
        <v>2018-05-20</v>
      </c>
      <c r="G960">
        <v>20.85</v>
      </c>
      <c r="H960" t="str">
        <f>"2018-03-29"</f>
        <v>2018-03-29</v>
      </c>
      <c r="I960" t="s">
        <v>26</v>
      </c>
      <c r="J960" t="str">
        <f>"2018-02-22"</f>
        <v>2018-02-22</v>
      </c>
      <c r="K960" t="s">
        <v>27</v>
      </c>
      <c r="L960">
        <v>2.2062314500000002</v>
      </c>
      <c r="M960">
        <v>959</v>
      </c>
      <c r="N960" s="1">
        <v>0.15190000000000001</v>
      </c>
      <c r="O960" s="1">
        <v>0.2374</v>
      </c>
      <c r="P960" s="1">
        <v>0</v>
      </c>
      <c r="Q960" s="1">
        <v>1.7100000000000001E-2</v>
      </c>
      <c r="R960" s="1">
        <v>3.9899999999999998E-2</v>
      </c>
      <c r="S960" s="1">
        <v>7.7499999999999999E-2</v>
      </c>
      <c r="T960" s="1">
        <v>0.20519999999999999</v>
      </c>
      <c r="U960" s="1">
        <v>9.1600000000000001E-2</v>
      </c>
    </row>
    <row r="961" spans="1:21" x14ac:dyDescent="0.25">
      <c r="A961" t="s">
        <v>2076</v>
      </c>
      <c r="B961" t="s">
        <v>2077</v>
      </c>
      <c r="C961" t="s">
        <v>30</v>
      </c>
      <c r="D961" t="s">
        <v>48</v>
      </c>
      <c r="E961" t="s">
        <v>177</v>
      </c>
      <c r="F961" t="str">
        <f t="shared" si="17"/>
        <v>2018-05-20</v>
      </c>
      <c r="G961">
        <v>56.02</v>
      </c>
      <c r="H961" t="str">
        <f>"2018-03-15"</f>
        <v>2018-03-15</v>
      </c>
      <c r="I961" t="s">
        <v>26</v>
      </c>
      <c r="J961" t="str">
        <f>"2017-12-31"</f>
        <v>2017-12-31</v>
      </c>
      <c r="K961" t="s">
        <v>40</v>
      </c>
      <c r="L961">
        <v>2.2058801899999998</v>
      </c>
      <c r="M961">
        <v>960</v>
      </c>
      <c r="N961" s="1">
        <v>4.7100000000000003E-2</v>
      </c>
      <c r="O961" s="1">
        <v>0.23530000000000001</v>
      </c>
      <c r="P961" s="1">
        <v>-8.4900000000000003E-2</v>
      </c>
      <c r="Q961" s="1">
        <v>1.84E-2</v>
      </c>
      <c r="R961" s="1">
        <v>2.24E-2</v>
      </c>
      <c r="S961" s="1">
        <v>-6.5600000000000006E-2</v>
      </c>
      <c r="T961" s="1">
        <v>0.1449</v>
      </c>
      <c r="U961" s="1">
        <v>0.15840000000000001</v>
      </c>
    </row>
    <row r="962" spans="1:21" x14ac:dyDescent="0.25">
      <c r="A962" t="s">
        <v>2078</v>
      </c>
      <c r="B962" t="s">
        <v>2079</v>
      </c>
      <c r="C962" t="s">
        <v>30</v>
      </c>
      <c r="D962" t="s">
        <v>31</v>
      </c>
      <c r="E962" t="s">
        <v>31</v>
      </c>
      <c r="F962" t="str">
        <f t="shared" si="17"/>
        <v>2018-05-20</v>
      </c>
      <c r="G962">
        <v>37.020000000000003</v>
      </c>
      <c r="H962" t="str">
        <f>"2017-09-27"</f>
        <v>2017-09-27</v>
      </c>
      <c r="I962" t="s">
        <v>26</v>
      </c>
      <c r="J962" t="str">
        <f>"2017-08-09"</f>
        <v>2017-08-09</v>
      </c>
      <c r="K962" t="s">
        <v>40</v>
      </c>
      <c r="L962">
        <v>2.20573525</v>
      </c>
      <c r="M962">
        <v>961</v>
      </c>
      <c r="N962" s="1">
        <v>9.7199999999999995E-2</v>
      </c>
      <c r="O962" s="1">
        <v>0.2344</v>
      </c>
      <c r="P962" s="1">
        <v>-1.5699999999999999E-2</v>
      </c>
      <c r="Q962" s="1">
        <v>1.15E-2</v>
      </c>
      <c r="R962" s="1">
        <v>3.2099999999999997E-2</v>
      </c>
      <c r="S962" s="1">
        <v>9.4999999999999998E-3</v>
      </c>
      <c r="T962" s="1">
        <v>5.0799999999999998E-2</v>
      </c>
      <c r="U962" s="1">
        <v>0.19420000000000001</v>
      </c>
    </row>
    <row r="963" spans="1:21" x14ac:dyDescent="0.25">
      <c r="A963" t="s">
        <v>2080</v>
      </c>
      <c r="B963" t="s">
        <v>2081</v>
      </c>
      <c r="C963" t="s">
        <v>30</v>
      </c>
      <c r="D963" t="s">
        <v>31</v>
      </c>
      <c r="E963" t="s">
        <v>31</v>
      </c>
      <c r="F963" t="str">
        <f t="shared" si="17"/>
        <v>2018-05-20</v>
      </c>
      <c r="G963">
        <v>43.68</v>
      </c>
      <c r="H963" t="str">
        <f>"2017-03-28"</f>
        <v>2017-03-28</v>
      </c>
      <c r="I963" t="s">
        <v>26</v>
      </c>
      <c r="J963" t="str">
        <f>"2017-03-27"</f>
        <v>2017-03-27</v>
      </c>
      <c r="K963" t="s">
        <v>40</v>
      </c>
      <c r="L963">
        <v>2.2055335999999999</v>
      </c>
      <c r="M963">
        <v>962</v>
      </c>
      <c r="N963" s="1">
        <v>0.2225</v>
      </c>
      <c r="O963" s="1">
        <v>0.23319999999999999</v>
      </c>
      <c r="P963" s="1">
        <v>-1.38E-2</v>
      </c>
      <c r="Q963" s="1">
        <v>1.1599999999999999E-2</v>
      </c>
      <c r="R963" s="1">
        <v>2.58E-2</v>
      </c>
      <c r="S963" s="1">
        <v>5.3E-3</v>
      </c>
      <c r="T963" s="1">
        <v>3.5299999999999998E-2</v>
      </c>
      <c r="U963" s="1">
        <v>0.24590000000000001</v>
      </c>
    </row>
    <row r="964" spans="1:21" x14ac:dyDescent="0.25">
      <c r="A964" t="s">
        <v>2082</v>
      </c>
      <c r="B964" t="s">
        <v>2083</v>
      </c>
      <c r="C964" t="s">
        <v>30</v>
      </c>
      <c r="D964" t="s">
        <v>48</v>
      </c>
      <c r="E964" t="s">
        <v>177</v>
      </c>
      <c r="F964" t="str">
        <f t="shared" si="17"/>
        <v>2018-05-20</v>
      </c>
      <c r="G964">
        <v>43.28</v>
      </c>
      <c r="H964" t="str">
        <f>"2018-01-29"</f>
        <v>2018-01-29</v>
      </c>
      <c r="I964" t="s">
        <v>26</v>
      </c>
      <c r="J964" t="str">
        <f>"2018-01-07"</f>
        <v>2018-01-07</v>
      </c>
      <c r="K964" t="s">
        <v>27</v>
      </c>
      <c r="L964">
        <v>2.2050407399999998</v>
      </c>
      <c r="M964">
        <v>963</v>
      </c>
      <c r="N964" s="1">
        <v>-5.3999999999999999E-2</v>
      </c>
      <c r="O964" s="1">
        <v>0.23019999999999999</v>
      </c>
      <c r="P964" s="1">
        <v>-8.1500000000000003E-2</v>
      </c>
      <c r="Q964" s="1">
        <v>1.6E-2</v>
      </c>
      <c r="R964" s="1">
        <v>3.2000000000000001E-2</v>
      </c>
      <c r="S964" s="1">
        <v>1.7399999999999999E-2</v>
      </c>
      <c r="T964" s="1">
        <v>4.41E-2</v>
      </c>
      <c r="U964" s="1">
        <v>-2.41E-2</v>
      </c>
    </row>
    <row r="965" spans="1:21" x14ac:dyDescent="0.25">
      <c r="A965" t="s">
        <v>2084</v>
      </c>
      <c r="B965" t="s">
        <v>2085</v>
      </c>
      <c r="C965" t="s">
        <v>30</v>
      </c>
      <c r="D965" t="s">
        <v>31</v>
      </c>
      <c r="E965" t="s">
        <v>31</v>
      </c>
      <c r="F965" t="str">
        <f t="shared" si="17"/>
        <v>2018-05-20</v>
      </c>
      <c r="G965">
        <v>33.799999999999997</v>
      </c>
      <c r="H965" t="str">
        <f>"2017-10-11"</f>
        <v>2017-10-11</v>
      </c>
      <c r="I965" t="s">
        <v>26</v>
      </c>
      <c r="J965" t="str">
        <f>"2017-08-21"</f>
        <v>2017-08-21</v>
      </c>
      <c r="K965" t="s">
        <v>40</v>
      </c>
      <c r="L965">
        <v>2.2044767099999998</v>
      </c>
      <c r="M965">
        <v>964</v>
      </c>
      <c r="N965" s="1">
        <v>0.10639999999999999</v>
      </c>
      <c r="O965" s="1">
        <v>0.22689999999999999</v>
      </c>
      <c r="P965" s="1">
        <v>0</v>
      </c>
      <c r="Q965" s="1">
        <v>4.4999999999999997E-3</v>
      </c>
      <c r="R965" s="1">
        <v>4.3200000000000002E-2</v>
      </c>
      <c r="S965" s="1">
        <v>4.8099999999999997E-2</v>
      </c>
      <c r="T965" s="1">
        <v>0.10100000000000001</v>
      </c>
      <c r="U965" s="1">
        <v>0.16550000000000001</v>
      </c>
    </row>
    <row r="966" spans="1:21" x14ac:dyDescent="0.25">
      <c r="A966" t="s">
        <v>2086</v>
      </c>
      <c r="B966" t="s">
        <v>2087</v>
      </c>
      <c r="C966" t="s">
        <v>37</v>
      </c>
      <c r="D966" t="s">
        <v>66</v>
      </c>
      <c r="E966" t="s">
        <v>67</v>
      </c>
      <c r="F966" t="str">
        <f t="shared" si="17"/>
        <v>2018-05-20</v>
      </c>
      <c r="G966">
        <v>20.260000000000002</v>
      </c>
      <c r="H966" t="str">
        <f>"2018-04-03"</f>
        <v>2018-04-03</v>
      </c>
      <c r="I966" t="s">
        <v>26</v>
      </c>
      <c r="J966" t="str">
        <f>"2018-03-25"</f>
        <v>2018-03-25</v>
      </c>
      <c r="K966" t="s">
        <v>40</v>
      </c>
      <c r="L966">
        <v>2.2041515500000002</v>
      </c>
      <c r="M966">
        <v>965</v>
      </c>
      <c r="N966" s="1">
        <v>0.1017</v>
      </c>
      <c r="O966" s="1">
        <v>0.22489999999999999</v>
      </c>
      <c r="P966" s="1">
        <v>-1.7899999999999999E-2</v>
      </c>
      <c r="Q966" s="1">
        <v>8.9999999999999993E-3</v>
      </c>
      <c r="R966" s="1">
        <v>3.1E-2</v>
      </c>
      <c r="S966" s="1">
        <v>1.8100000000000002E-2</v>
      </c>
      <c r="T966" s="1">
        <v>0.17929999999999999</v>
      </c>
      <c r="U966" s="1">
        <v>0.29370000000000002</v>
      </c>
    </row>
    <row r="967" spans="1:21" x14ac:dyDescent="0.25">
      <c r="A967" t="s">
        <v>2088</v>
      </c>
      <c r="B967" t="s">
        <v>2089</v>
      </c>
      <c r="C967" t="s">
        <v>30</v>
      </c>
      <c r="D967" t="s">
        <v>482</v>
      </c>
      <c r="E967" t="s">
        <v>482</v>
      </c>
      <c r="F967" t="str">
        <f t="shared" si="17"/>
        <v>2018-05-20</v>
      </c>
      <c r="G967">
        <v>79.2</v>
      </c>
      <c r="H967" t="str">
        <f>"2018-04-18"</f>
        <v>2018-04-18</v>
      </c>
      <c r="I967" t="s">
        <v>26</v>
      </c>
      <c r="J967" t="str">
        <f>"2018-02-11"</f>
        <v>2018-02-11</v>
      </c>
      <c r="K967" t="s">
        <v>40</v>
      </c>
      <c r="L967">
        <v>2.2038609999999998</v>
      </c>
      <c r="M967">
        <v>966</v>
      </c>
      <c r="N967" s="1">
        <v>7.0300000000000001E-2</v>
      </c>
      <c r="O967" s="1">
        <v>0.22320000000000001</v>
      </c>
      <c r="P967" s="1">
        <v>-2.58E-2</v>
      </c>
      <c r="Q967" s="1">
        <v>2.5000000000000001E-3</v>
      </c>
      <c r="R967" s="1">
        <v>3.2599999999999997E-2</v>
      </c>
      <c r="S967" s="1">
        <v>3.1899999999999998E-2</v>
      </c>
      <c r="T967" s="1">
        <v>0.1108</v>
      </c>
      <c r="U967" s="1">
        <v>0.26819999999999999</v>
      </c>
    </row>
    <row r="968" spans="1:21" x14ac:dyDescent="0.25">
      <c r="A968" t="s">
        <v>2090</v>
      </c>
      <c r="B968" t="s">
        <v>2091</v>
      </c>
      <c r="C968" t="s">
        <v>43</v>
      </c>
      <c r="D968" t="s">
        <v>193</v>
      </c>
      <c r="E968" t="s">
        <v>239</v>
      </c>
      <c r="F968" t="str">
        <f t="shared" si="17"/>
        <v>2018-05-20</v>
      </c>
      <c r="G968">
        <v>19</v>
      </c>
      <c r="H968" t="str">
        <f>"2017-12-13"</f>
        <v>2017-12-13</v>
      </c>
      <c r="I968" t="s">
        <v>26</v>
      </c>
      <c r="J968" t="str">
        <f>"2017-11-21"</f>
        <v>2017-11-21</v>
      </c>
      <c r="K968" t="s">
        <v>27</v>
      </c>
      <c r="L968">
        <v>2.2036441600000001</v>
      </c>
      <c r="M968">
        <v>967</v>
      </c>
      <c r="N968" s="1">
        <v>-1.55E-2</v>
      </c>
      <c r="O968" s="1">
        <v>0.22189999999999999</v>
      </c>
      <c r="P968" s="1">
        <v>-7.7700000000000005E-2</v>
      </c>
      <c r="Q968" s="1">
        <v>1.6E-2</v>
      </c>
      <c r="R968" s="1">
        <v>4.3999999999999997E-2</v>
      </c>
      <c r="S968" s="1">
        <v>7.0400000000000004E-2</v>
      </c>
      <c r="T968" s="1">
        <v>0.12429999999999999</v>
      </c>
      <c r="U968" s="1">
        <v>0.13769999999999999</v>
      </c>
    </row>
    <row r="969" spans="1:21" x14ac:dyDescent="0.25">
      <c r="A969" t="s">
        <v>2092</v>
      </c>
      <c r="B969" t="s">
        <v>2093</v>
      </c>
      <c r="C969" t="s">
        <v>30</v>
      </c>
      <c r="D969" t="s">
        <v>48</v>
      </c>
      <c r="E969" t="s">
        <v>505</v>
      </c>
      <c r="F969" t="str">
        <f t="shared" si="17"/>
        <v>2018-05-20</v>
      </c>
      <c r="G969">
        <v>13.2</v>
      </c>
      <c r="H969" t="str">
        <f>"2018-03-20"</f>
        <v>2018-03-20</v>
      </c>
      <c r="I969" t="s">
        <v>26</v>
      </c>
      <c r="J969" t="str">
        <f>"2018-01-17"</f>
        <v>2018-01-17</v>
      </c>
      <c r="K969" t="s">
        <v>57</v>
      </c>
      <c r="L969">
        <v>2.20276498</v>
      </c>
      <c r="M969">
        <v>968</v>
      </c>
      <c r="N969" s="1">
        <v>6.0199999999999997E-2</v>
      </c>
      <c r="O969" s="1">
        <v>0.21659999999999999</v>
      </c>
      <c r="P969" s="1">
        <v>-2.2200000000000001E-2</v>
      </c>
      <c r="Q969" s="1">
        <v>-3.8E-3</v>
      </c>
      <c r="R969" s="1">
        <v>0</v>
      </c>
      <c r="S969" s="1">
        <v>7.7600000000000002E-2</v>
      </c>
      <c r="T969" s="1">
        <v>9.0899999999999995E-2</v>
      </c>
      <c r="U969" s="1">
        <v>0.2</v>
      </c>
    </row>
    <row r="970" spans="1:21" x14ac:dyDescent="0.25">
      <c r="A970" t="s">
        <v>2094</v>
      </c>
      <c r="B970" t="s">
        <v>2095</v>
      </c>
      <c r="C970" t="s">
        <v>109</v>
      </c>
      <c r="D970" t="s">
        <v>156</v>
      </c>
      <c r="E970" t="s">
        <v>157</v>
      </c>
      <c r="F970" t="str">
        <f t="shared" si="17"/>
        <v>2018-05-20</v>
      </c>
      <c r="G970">
        <v>29.88</v>
      </c>
      <c r="H970" t="str">
        <f>"2018-05-17"</f>
        <v>2018-05-17</v>
      </c>
      <c r="I970" t="s">
        <v>26</v>
      </c>
      <c r="J970" t="str">
        <f>"2018-03-20"</f>
        <v>2018-03-20</v>
      </c>
      <c r="K970" t="s">
        <v>57</v>
      </c>
      <c r="L970">
        <v>2.2024390199999999</v>
      </c>
      <c r="M970">
        <v>969</v>
      </c>
      <c r="N970" s="1">
        <v>4.4000000000000003E-3</v>
      </c>
      <c r="O970" s="1">
        <v>0.21460000000000001</v>
      </c>
      <c r="P970" s="1">
        <v>0</v>
      </c>
      <c r="Q970" s="1">
        <v>9.4999999999999998E-3</v>
      </c>
      <c r="R970" s="1">
        <v>4.0399999999999998E-2</v>
      </c>
      <c r="S970" s="1">
        <v>9.1300000000000006E-2</v>
      </c>
      <c r="T970" s="1">
        <v>0.16489999999999999</v>
      </c>
      <c r="U970" s="1">
        <v>0.13569999999999999</v>
      </c>
    </row>
    <row r="971" spans="1:21" x14ac:dyDescent="0.25">
      <c r="A971" t="s">
        <v>2096</v>
      </c>
      <c r="B971" t="s">
        <v>2097</v>
      </c>
      <c r="C971" t="s">
        <v>30</v>
      </c>
      <c r="D971" t="s">
        <v>347</v>
      </c>
      <c r="E971" t="s">
        <v>523</v>
      </c>
      <c r="F971" t="str">
        <f t="shared" si="17"/>
        <v>2018-05-20</v>
      </c>
      <c r="G971">
        <v>44.85</v>
      </c>
      <c r="H971" t="str">
        <f>"2017-10-29"</f>
        <v>2017-10-29</v>
      </c>
      <c r="I971" t="s">
        <v>26</v>
      </c>
      <c r="J971" t="str">
        <f>"2017-09-27"</f>
        <v>2017-09-27</v>
      </c>
      <c r="K971" t="s">
        <v>27</v>
      </c>
      <c r="L971">
        <v>2.2023004099999999</v>
      </c>
      <c r="M971">
        <v>970</v>
      </c>
      <c r="N971" s="1">
        <v>7.9000000000000008E-3</v>
      </c>
      <c r="O971" s="1">
        <v>0.21379999999999999</v>
      </c>
      <c r="P971" s="1">
        <v>-4.8800000000000003E-2</v>
      </c>
      <c r="Q971" s="1">
        <v>1.3599999999999999E-2</v>
      </c>
      <c r="R971" s="1">
        <v>4.7899999999999998E-2</v>
      </c>
      <c r="S971" s="1">
        <v>2.2000000000000001E-3</v>
      </c>
      <c r="T971" s="1">
        <v>4.5499999999999999E-2</v>
      </c>
      <c r="U971" s="1">
        <v>0.18490000000000001</v>
      </c>
    </row>
    <row r="972" spans="1:21" x14ac:dyDescent="0.25">
      <c r="A972" t="s">
        <v>2098</v>
      </c>
      <c r="B972" t="s">
        <v>2099</v>
      </c>
      <c r="C972" t="s">
        <v>30</v>
      </c>
      <c r="D972" t="s">
        <v>299</v>
      </c>
      <c r="E972" t="s">
        <v>1250</v>
      </c>
      <c r="F972" t="str">
        <f t="shared" si="17"/>
        <v>2018-05-20</v>
      </c>
      <c r="G972">
        <v>12.37</v>
      </c>
      <c r="H972" t="str">
        <f>"2018-05-21"</f>
        <v>2018-05-21</v>
      </c>
      <c r="I972" t="s">
        <v>26</v>
      </c>
      <c r="J972" t="str">
        <f>"2018-04-25"</f>
        <v>2018-04-25</v>
      </c>
      <c r="K972" t="s">
        <v>27</v>
      </c>
      <c r="L972">
        <v>2.2021241800000002</v>
      </c>
      <c r="M972">
        <v>971</v>
      </c>
      <c r="N972" s="1">
        <v>0</v>
      </c>
      <c r="O972" s="1">
        <v>0.2127</v>
      </c>
      <c r="P972" s="1">
        <v>0</v>
      </c>
      <c r="Q972" s="1">
        <v>3.78E-2</v>
      </c>
      <c r="R972" s="1">
        <v>4.0399999999999998E-2</v>
      </c>
      <c r="S972" s="1">
        <v>0.1205</v>
      </c>
      <c r="T972" s="1">
        <v>0.13589999999999999</v>
      </c>
      <c r="U972" s="1">
        <v>0.1104</v>
      </c>
    </row>
    <row r="973" spans="1:21" x14ac:dyDescent="0.25">
      <c r="A973" t="s">
        <v>2100</v>
      </c>
      <c r="B973" t="s">
        <v>2101</v>
      </c>
      <c r="C973" t="s">
        <v>30</v>
      </c>
      <c r="D973" t="s">
        <v>31</v>
      </c>
      <c r="E973" t="s">
        <v>31</v>
      </c>
      <c r="F973" t="str">
        <f t="shared" ref="F973:F1036" si="18">"2018-05-20"</f>
        <v>2018-05-20</v>
      </c>
      <c r="G973">
        <v>62.28</v>
      </c>
      <c r="H973" t="str">
        <f>"2018-02-01"</f>
        <v>2018-02-01</v>
      </c>
      <c r="I973" t="s">
        <v>26</v>
      </c>
      <c r="J973" t="str">
        <f>"2018-01-03"</f>
        <v>2018-01-03</v>
      </c>
      <c r="K973" t="s">
        <v>40</v>
      </c>
      <c r="L973">
        <v>2.2020241299999999</v>
      </c>
      <c r="M973">
        <v>972</v>
      </c>
      <c r="N973" s="1">
        <v>0.11119999999999999</v>
      </c>
      <c r="O973" s="1">
        <v>0.21210000000000001</v>
      </c>
      <c r="P973" s="1">
        <v>0</v>
      </c>
      <c r="Q973" s="1">
        <v>5.1999999999999998E-3</v>
      </c>
      <c r="R973" s="1">
        <v>3.3700000000000001E-2</v>
      </c>
      <c r="S973" s="1">
        <v>1.5299999999999999E-2</v>
      </c>
      <c r="T973" s="1">
        <v>0.1205</v>
      </c>
      <c r="U973" s="1">
        <v>0.17949999999999999</v>
      </c>
    </row>
    <row r="974" spans="1:21" x14ac:dyDescent="0.25">
      <c r="A974" t="s">
        <v>2102</v>
      </c>
      <c r="B974" t="s">
        <v>2103</v>
      </c>
      <c r="C974" t="s">
        <v>109</v>
      </c>
      <c r="D974" t="s">
        <v>156</v>
      </c>
      <c r="E974" t="s">
        <v>284</v>
      </c>
      <c r="F974" t="str">
        <f t="shared" si="18"/>
        <v>2018-05-20</v>
      </c>
      <c r="G974">
        <v>12</v>
      </c>
      <c r="H974" t="str">
        <f>"2018-02-25"</f>
        <v>2018-02-25</v>
      </c>
      <c r="I974" t="s">
        <v>26</v>
      </c>
      <c r="J974" t="str">
        <f>"2018-01-25"</f>
        <v>2018-01-25</v>
      </c>
      <c r="K974" t="s">
        <v>27</v>
      </c>
      <c r="L974">
        <v>2.2020202000000002</v>
      </c>
      <c r="M974">
        <v>973</v>
      </c>
      <c r="N974" s="1">
        <v>0.13739999999999999</v>
      </c>
      <c r="O974" s="1">
        <v>0.21210000000000001</v>
      </c>
      <c r="P974" s="1">
        <v>-3.2300000000000002E-2</v>
      </c>
      <c r="Q974" s="1">
        <v>8.3999999999999995E-3</v>
      </c>
      <c r="R974" s="1">
        <v>8.3999999999999995E-3</v>
      </c>
      <c r="S974" s="1">
        <v>8.3999999999999995E-3</v>
      </c>
      <c r="T974" s="1">
        <v>0.1268</v>
      </c>
      <c r="U974" s="1">
        <v>0.23710000000000001</v>
      </c>
    </row>
    <row r="975" spans="1:21" x14ac:dyDescent="0.25">
      <c r="A975" t="s">
        <v>2104</v>
      </c>
      <c r="B975" t="s">
        <v>2105</v>
      </c>
      <c r="C975" t="s">
        <v>30</v>
      </c>
      <c r="D975" t="s">
        <v>31</v>
      </c>
      <c r="E975" t="s">
        <v>31</v>
      </c>
      <c r="F975" t="str">
        <f t="shared" si="18"/>
        <v>2018-05-20</v>
      </c>
      <c r="G975">
        <v>47.73</v>
      </c>
      <c r="H975" t="str">
        <f>"2017-11-28"</f>
        <v>2017-11-28</v>
      </c>
      <c r="I975" t="s">
        <v>26</v>
      </c>
      <c r="J975" t="str">
        <f>"2017-11-07"</f>
        <v>2017-11-07</v>
      </c>
      <c r="K975" t="s">
        <v>40</v>
      </c>
      <c r="L975">
        <v>2.2014434000000001</v>
      </c>
      <c r="M975">
        <v>974</v>
      </c>
      <c r="N975" s="1">
        <v>0.1308</v>
      </c>
      <c r="O975" s="1">
        <v>0.2087</v>
      </c>
      <c r="P975" s="1">
        <v>0</v>
      </c>
      <c r="Q975" s="1">
        <v>1.34E-2</v>
      </c>
      <c r="R975" s="1">
        <v>2.5999999999999999E-2</v>
      </c>
      <c r="S975" s="1">
        <v>4.1500000000000002E-2</v>
      </c>
      <c r="T975" s="1">
        <v>0.1079</v>
      </c>
      <c r="U975" s="1">
        <v>0.1719</v>
      </c>
    </row>
    <row r="976" spans="1:21" x14ac:dyDescent="0.25">
      <c r="A976" t="s">
        <v>2106</v>
      </c>
      <c r="B976" t="s">
        <v>2107</v>
      </c>
      <c r="C976" t="s">
        <v>37</v>
      </c>
      <c r="D976" t="s">
        <v>38</v>
      </c>
      <c r="E976" t="s">
        <v>97</v>
      </c>
      <c r="F976" t="str">
        <f t="shared" si="18"/>
        <v>2018-05-20</v>
      </c>
      <c r="G976">
        <v>64.459999999999994</v>
      </c>
      <c r="H976" t="str">
        <f>"2018-02-21"</f>
        <v>2018-02-21</v>
      </c>
      <c r="I976" t="s">
        <v>26</v>
      </c>
      <c r="J976" t="str">
        <f>"2018-02-14"</f>
        <v>2018-02-14</v>
      </c>
      <c r="K976" t="s">
        <v>27</v>
      </c>
      <c r="L976">
        <v>2.2011107000000001</v>
      </c>
      <c r="M976">
        <v>975</v>
      </c>
      <c r="N976" s="1">
        <v>1.5900000000000001E-2</v>
      </c>
      <c r="O976" s="1">
        <v>0.20669999999999999</v>
      </c>
      <c r="P976" s="1">
        <v>-6.0199999999999997E-2</v>
      </c>
      <c r="Q976" s="1">
        <v>-1.38E-2</v>
      </c>
      <c r="R976" s="1">
        <v>-8.9999999999999998E-4</v>
      </c>
      <c r="S976" s="1">
        <v>0.16689999999999999</v>
      </c>
      <c r="T976" s="1">
        <v>5.8099999999999999E-2</v>
      </c>
      <c r="U976" s="1">
        <v>-0.16880000000000001</v>
      </c>
    </row>
    <row r="977" spans="1:21" x14ac:dyDescent="0.25">
      <c r="A977" t="s">
        <v>2108</v>
      </c>
      <c r="B977" t="s">
        <v>2109</v>
      </c>
      <c r="C977" t="s">
        <v>30</v>
      </c>
      <c r="D977" t="s">
        <v>31</v>
      </c>
      <c r="E977" t="s">
        <v>31</v>
      </c>
      <c r="F977" t="str">
        <f t="shared" si="18"/>
        <v>2018-05-20</v>
      </c>
      <c r="G977">
        <v>38.25</v>
      </c>
      <c r="H977" t="str">
        <f>"2018-02-21"</f>
        <v>2018-02-21</v>
      </c>
      <c r="I977" t="s">
        <v>26</v>
      </c>
      <c r="J977" t="str">
        <f>"2018-01-03"</f>
        <v>2018-01-03</v>
      </c>
      <c r="K977" t="s">
        <v>40</v>
      </c>
      <c r="L977">
        <v>2.2007873999999998</v>
      </c>
      <c r="M977">
        <v>976</v>
      </c>
      <c r="N977" s="1">
        <v>0.12529999999999999</v>
      </c>
      <c r="O977" s="1">
        <v>0.20469999999999999</v>
      </c>
      <c r="P977" s="1">
        <v>0</v>
      </c>
      <c r="Q977" s="1">
        <v>8.3999999999999995E-3</v>
      </c>
      <c r="R977" s="1">
        <v>4.0800000000000003E-2</v>
      </c>
      <c r="S977" s="1">
        <v>0.11840000000000001</v>
      </c>
      <c r="T977" s="1">
        <v>0.14180000000000001</v>
      </c>
      <c r="U977" s="1">
        <v>0.23549999999999999</v>
      </c>
    </row>
    <row r="978" spans="1:21" x14ac:dyDescent="0.25">
      <c r="A978" t="s">
        <v>2110</v>
      </c>
      <c r="B978" t="s">
        <v>2111</v>
      </c>
      <c r="C978" t="s">
        <v>43</v>
      </c>
      <c r="D978" t="s">
        <v>119</v>
      </c>
      <c r="E978" t="s">
        <v>120</v>
      </c>
      <c r="F978" t="str">
        <f t="shared" si="18"/>
        <v>2018-05-20</v>
      </c>
      <c r="G978">
        <v>39.4</v>
      </c>
      <c r="H978" t="str">
        <f>"2017-11-16"</f>
        <v>2017-11-16</v>
      </c>
      <c r="I978" t="s">
        <v>26</v>
      </c>
      <c r="J978" t="str">
        <f>"2017-09-17"</f>
        <v>2017-09-17</v>
      </c>
      <c r="K978" t="s">
        <v>27</v>
      </c>
      <c r="L978">
        <v>2.2005089099999999</v>
      </c>
      <c r="M978">
        <v>977</v>
      </c>
      <c r="N978" s="1">
        <v>-8.8000000000000005E-3</v>
      </c>
      <c r="O978" s="1">
        <v>0.2031</v>
      </c>
      <c r="P978" s="1">
        <v>-8.8000000000000005E-3</v>
      </c>
      <c r="Q978" s="1">
        <v>7.7000000000000002E-3</v>
      </c>
      <c r="R978" s="1">
        <v>5.21E-2</v>
      </c>
      <c r="S978" s="1">
        <v>4.5100000000000001E-2</v>
      </c>
      <c r="T978" s="1">
        <v>2.7400000000000001E-2</v>
      </c>
      <c r="U978" s="1">
        <v>5.6300000000000003E-2</v>
      </c>
    </row>
    <row r="979" spans="1:21" x14ac:dyDescent="0.25">
      <c r="A979" t="s">
        <v>2112</v>
      </c>
      <c r="B979" t="s">
        <v>2113</v>
      </c>
      <c r="C979" t="s">
        <v>43</v>
      </c>
      <c r="D979" t="s">
        <v>1342</v>
      </c>
      <c r="E979" t="s">
        <v>1746</v>
      </c>
      <c r="F979" t="str">
        <f t="shared" si="18"/>
        <v>2018-05-20</v>
      </c>
      <c r="G979">
        <v>60.97</v>
      </c>
      <c r="H979" t="str">
        <f>"2018-05-21"</f>
        <v>2018-05-21</v>
      </c>
      <c r="I979" t="s">
        <v>26</v>
      </c>
      <c r="J979" t="str">
        <f>"2018-04-22"</f>
        <v>2018-04-22</v>
      </c>
      <c r="K979" t="s">
        <v>27</v>
      </c>
      <c r="L979">
        <v>2.2002298900000001</v>
      </c>
      <c r="M979">
        <v>978</v>
      </c>
      <c r="N979" s="1">
        <v>0</v>
      </c>
      <c r="O979" s="1">
        <v>0.2014</v>
      </c>
      <c r="P979" s="1">
        <v>0</v>
      </c>
      <c r="Q979" s="1">
        <v>1.7899999999999999E-2</v>
      </c>
      <c r="R979" s="1">
        <v>3.15E-2</v>
      </c>
      <c r="S979" s="1">
        <v>3.6900000000000002E-2</v>
      </c>
      <c r="T979" s="1">
        <v>3.0200000000000001E-2</v>
      </c>
      <c r="U979" s="1">
        <v>7.2999999999999995E-2</v>
      </c>
    </row>
    <row r="980" spans="1:21" x14ac:dyDescent="0.25">
      <c r="A980" t="s">
        <v>2114</v>
      </c>
      <c r="B980" t="s">
        <v>2115</v>
      </c>
      <c r="C980" t="s">
        <v>30</v>
      </c>
      <c r="D980" t="s">
        <v>31</v>
      </c>
      <c r="E980" t="s">
        <v>31</v>
      </c>
      <c r="F980" t="str">
        <f t="shared" si="18"/>
        <v>2018-05-20</v>
      </c>
      <c r="G980">
        <v>26.85</v>
      </c>
      <c r="H980" t="str">
        <f>"2017-09-24"</f>
        <v>2017-09-24</v>
      </c>
      <c r="I980" t="s">
        <v>26</v>
      </c>
      <c r="J980" t="str">
        <f>"2017-08-09"</f>
        <v>2017-08-09</v>
      </c>
      <c r="K980" t="s">
        <v>40</v>
      </c>
      <c r="L980">
        <v>2.2002237099999999</v>
      </c>
      <c r="M980">
        <v>979</v>
      </c>
      <c r="N980" s="1">
        <v>6.5500000000000003E-2</v>
      </c>
      <c r="O980" s="1">
        <v>0.20130000000000001</v>
      </c>
      <c r="P980" s="1">
        <v>-3.9399999999999998E-2</v>
      </c>
      <c r="Q980" s="1">
        <v>-1.9E-3</v>
      </c>
      <c r="R980" s="1">
        <v>1.32E-2</v>
      </c>
      <c r="S980" s="1">
        <v>-1.9E-3</v>
      </c>
      <c r="T980" s="1">
        <v>1.9E-2</v>
      </c>
      <c r="U980" s="1">
        <v>8.2699999999999996E-2</v>
      </c>
    </row>
    <row r="981" spans="1:21" x14ac:dyDescent="0.25">
      <c r="A981" t="s">
        <v>2116</v>
      </c>
      <c r="B981" t="s">
        <v>2117</v>
      </c>
      <c r="C981" t="s">
        <v>43</v>
      </c>
      <c r="D981" t="s">
        <v>374</v>
      </c>
      <c r="E981" t="s">
        <v>375</v>
      </c>
      <c r="F981" t="str">
        <f t="shared" si="18"/>
        <v>2018-05-20</v>
      </c>
      <c r="G981">
        <v>60.3</v>
      </c>
      <c r="H981" t="str">
        <f>"2018-05-06"</f>
        <v>2018-05-06</v>
      </c>
      <c r="I981" t="s">
        <v>26</v>
      </c>
      <c r="J981" t="str">
        <f>"2018-04-02"</f>
        <v>2018-04-02</v>
      </c>
      <c r="K981" t="s">
        <v>27</v>
      </c>
      <c r="L981">
        <v>2.2001992000000001</v>
      </c>
      <c r="M981">
        <v>980</v>
      </c>
      <c r="N981" s="1">
        <v>3.7900000000000003E-2</v>
      </c>
      <c r="O981" s="1">
        <v>0.20119999999999999</v>
      </c>
      <c r="P981" s="1">
        <v>-1.15E-2</v>
      </c>
      <c r="Q981" s="1">
        <v>6.7000000000000002E-3</v>
      </c>
      <c r="R981" s="1">
        <v>1.77E-2</v>
      </c>
      <c r="S981" s="1">
        <v>6.4399999999999999E-2</v>
      </c>
      <c r="T981" s="1">
        <v>0.23569999999999999</v>
      </c>
      <c r="U981" s="1">
        <v>-4.2099999999999999E-2</v>
      </c>
    </row>
    <row r="982" spans="1:21" x14ac:dyDescent="0.25">
      <c r="A982" t="s">
        <v>2118</v>
      </c>
      <c r="B982" t="s">
        <v>2119</v>
      </c>
      <c r="C982" t="s">
        <v>30</v>
      </c>
      <c r="D982" t="s">
        <v>299</v>
      </c>
      <c r="E982" t="s">
        <v>2120</v>
      </c>
      <c r="F982" t="str">
        <f t="shared" si="18"/>
        <v>2018-05-20</v>
      </c>
      <c r="G982">
        <v>18.7</v>
      </c>
      <c r="H982" t="str">
        <f>"2018-03-27"</f>
        <v>2018-03-27</v>
      </c>
      <c r="I982" t="s">
        <v>26</v>
      </c>
      <c r="J982" t="str">
        <f>"2018-03-11"</f>
        <v>2018-03-11</v>
      </c>
      <c r="K982" t="s">
        <v>27</v>
      </c>
      <c r="L982">
        <v>2.2001712699999998</v>
      </c>
      <c r="M982">
        <v>981</v>
      </c>
      <c r="N982" s="1">
        <v>4.9399999999999999E-2</v>
      </c>
      <c r="O982" s="1">
        <v>0.20100000000000001</v>
      </c>
      <c r="P982" s="1">
        <v>0</v>
      </c>
      <c r="Q982" s="1">
        <v>1.0800000000000001E-2</v>
      </c>
      <c r="R982" s="1">
        <v>1.9099999999999999E-2</v>
      </c>
      <c r="S982" s="1">
        <v>7.7799999999999994E-2</v>
      </c>
      <c r="T982" s="1">
        <v>7.4099999999999999E-2</v>
      </c>
      <c r="U982" s="1">
        <v>5.0599999999999999E-2</v>
      </c>
    </row>
    <row r="983" spans="1:21" x14ac:dyDescent="0.25">
      <c r="A983" t="s">
        <v>2121</v>
      </c>
      <c r="B983" t="s">
        <v>2122</v>
      </c>
      <c r="C983" t="s">
        <v>109</v>
      </c>
      <c r="D983" t="s">
        <v>110</v>
      </c>
      <c r="E983" t="s">
        <v>732</v>
      </c>
      <c r="F983" t="str">
        <f t="shared" si="18"/>
        <v>2018-05-20</v>
      </c>
      <c r="G983">
        <v>86.67</v>
      </c>
      <c r="H983" t="str">
        <f>"2018-03-06"</f>
        <v>2018-03-06</v>
      </c>
      <c r="I983" t="s">
        <v>26</v>
      </c>
      <c r="J983" t="str">
        <f>"2017-10-24"</f>
        <v>2017-10-24</v>
      </c>
      <c r="K983" t="s">
        <v>57</v>
      </c>
      <c r="L983">
        <v>2.2001524200000002</v>
      </c>
      <c r="M983">
        <v>982</v>
      </c>
      <c r="N983" s="1">
        <v>8.1900000000000001E-2</v>
      </c>
      <c r="O983" s="1">
        <v>0.2009</v>
      </c>
      <c r="P983" s="1">
        <v>-1.67E-2</v>
      </c>
      <c r="Q983" s="1">
        <v>6.1999999999999998E-3</v>
      </c>
      <c r="R983" s="1">
        <v>1.52E-2</v>
      </c>
      <c r="S983" s="1">
        <v>7.0900000000000005E-2</v>
      </c>
      <c r="T983" s="1">
        <v>0.11070000000000001</v>
      </c>
      <c r="U983" s="1">
        <v>5.5800000000000002E-2</v>
      </c>
    </row>
    <row r="984" spans="1:21" x14ac:dyDescent="0.25">
      <c r="A984" t="s">
        <v>2123</v>
      </c>
      <c r="B984" t="s">
        <v>2124</v>
      </c>
      <c r="C984" t="s">
        <v>30</v>
      </c>
      <c r="D984" t="s">
        <v>31</v>
      </c>
      <c r="E984" t="s">
        <v>31</v>
      </c>
      <c r="F984" t="str">
        <f t="shared" si="18"/>
        <v>2018-05-20</v>
      </c>
      <c r="G984">
        <v>43.05</v>
      </c>
      <c r="H984" t="str">
        <f>"2017-09-27"</f>
        <v>2017-09-27</v>
      </c>
      <c r="I984" t="s">
        <v>26</v>
      </c>
      <c r="J984" t="str">
        <f>"2017-08-21"</f>
        <v>2017-08-21</v>
      </c>
      <c r="K984" t="s">
        <v>40</v>
      </c>
      <c r="L984">
        <v>2.2000836600000002</v>
      </c>
      <c r="M984">
        <v>983</v>
      </c>
      <c r="N984" s="1">
        <v>2.2599999999999999E-2</v>
      </c>
      <c r="O984" s="1">
        <v>0.20050000000000001</v>
      </c>
      <c r="P984" s="1">
        <v>-8.8900000000000007E-2</v>
      </c>
      <c r="Q984" s="1">
        <v>8.6999999999999994E-3</v>
      </c>
      <c r="R984" s="1">
        <v>3.0200000000000001E-2</v>
      </c>
      <c r="S984" s="1">
        <v>-2.93E-2</v>
      </c>
      <c r="T984" s="1">
        <v>8.8999999999999999E-3</v>
      </c>
      <c r="U984" s="1">
        <v>0.12870000000000001</v>
      </c>
    </row>
    <row r="985" spans="1:21" x14ac:dyDescent="0.25">
      <c r="A985" t="s">
        <v>2125</v>
      </c>
      <c r="B985" t="s">
        <v>2126</v>
      </c>
      <c r="C985" t="s">
        <v>30</v>
      </c>
      <c r="D985" t="s">
        <v>299</v>
      </c>
      <c r="E985" t="s">
        <v>1250</v>
      </c>
      <c r="F985" t="str">
        <f t="shared" si="18"/>
        <v>2018-05-20</v>
      </c>
      <c r="G985">
        <v>20.16</v>
      </c>
      <c r="H985" t="str">
        <f>"2018-05-06"</f>
        <v>2018-05-06</v>
      </c>
      <c r="I985" t="s">
        <v>26</v>
      </c>
      <c r="J985" t="str">
        <f>"2018-02-05"</f>
        <v>2018-02-05</v>
      </c>
      <c r="K985" t="s">
        <v>57</v>
      </c>
      <c r="L985">
        <v>2.2000000000000002</v>
      </c>
      <c r="M985">
        <v>984</v>
      </c>
      <c r="N985" s="1">
        <v>5.0500000000000003E-2</v>
      </c>
      <c r="O985" s="1">
        <v>0.2</v>
      </c>
      <c r="P985" s="1">
        <v>0</v>
      </c>
      <c r="Q985" s="1">
        <v>1.9199999999999998E-2</v>
      </c>
      <c r="R985" s="1">
        <v>3.8600000000000002E-2</v>
      </c>
      <c r="S985" s="1">
        <v>4.3499999999999997E-2</v>
      </c>
      <c r="T985" s="1">
        <v>0.1613</v>
      </c>
      <c r="U985" s="1">
        <v>6.6100000000000006E-2</v>
      </c>
    </row>
    <row r="986" spans="1:21" x14ac:dyDescent="0.25">
      <c r="A986" t="s">
        <v>2127</v>
      </c>
      <c r="B986" t="s">
        <v>2128</v>
      </c>
      <c r="C986" t="s">
        <v>114</v>
      </c>
      <c r="D986" t="s">
        <v>254</v>
      </c>
      <c r="E986" t="s">
        <v>255</v>
      </c>
      <c r="F986" t="str">
        <f t="shared" si="18"/>
        <v>2018-05-20</v>
      </c>
      <c r="G986">
        <v>75.83</v>
      </c>
      <c r="H986" t="str">
        <f>"2018-05-08"</f>
        <v>2018-05-08</v>
      </c>
      <c r="I986" t="s">
        <v>26</v>
      </c>
      <c r="J986" t="str">
        <f>"2018-04-19"</f>
        <v>2018-04-19</v>
      </c>
      <c r="K986" t="s">
        <v>40</v>
      </c>
      <c r="L986">
        <v>2.19991037</v>
      </c>
      <c r="M986">
        <v>985</v>
      </c>
      <c r="N986" s="1">
        <v>-1.4E-3</v>
      </c>
      <c r="O986" s="1">
        <v>0.19950000000000001</v>
      </c>
      <c r="P986" s="1">
        <v>-1.4E-3</v>
      </c>
      <c r="Q986" s="1">
        <v>1.5299999999999999E-2</v>
      </c>
      <c r="R986" s="1">
        <v>1.61E-2</v>
      </c>
      <c r="S986" s="1">
        <v>0.1726</v>
      </c>
      <c r="T986" s="1">
        <v>0.1847</v>
      </c>
      <c r="U986" s="1">
        <v>0.71479999999999999</v>
      </c>
    </row>
    <row r="987" spans="1:21" x14ac:dyDescent="0.25">
      <c r="A987" t="s">
        <v>2129</v>
      </c>
      <c r="B987" t="s">
        <v>2130</v>
      </c>
      <c r="C987" t="s">
        <v>30</v>
      </c>
      <c r="D987" t="s">
        <v>299</v>
      </c>
      <c r="E987" t="s">
        <v>1250</v>
      </c>
      <c r="F987" t="str">
        <f t="shared" si="18"/>
        <v>2018-05-20</v>
      </c>
      <c r="G987">
        <v>33.61</v>
      </c>
      <c r="H987" t="str">
        <f>"2018-05-09"</f>
        <v>2018-05-09</v>
      </c>
      <c r="I987" t="s">
        <v>26</v>
      </c>
      <c r="J987" t="str">
        <f>"2018-01-17"</f>
        <v>2018-01-17</v>
      </c>
      <c r="K987" t="s">
        <v>27</v>
      </c>
      <c r="L987">
        <v>2.1997029100000001</v>
      </c>
      <c r="M987">
        <v>986</v>
      </c>
      <c r="N987" s="1">
        <v>9.2999999999999999E-2</v>
      </c>
      <c r="O987" s="1">
        <v>0.19819999999999999</v>
      </c>
      <c r="P987" s="1">
        <v>0</v>
      </c>
      <c r="Q987" s="1">
        <v>5.3600000000000002E-2</v>
      </c>
      <c r="R987" s="1">
        <v>5.9900000000000002E-2</v>
      </c>
      <c r="S987" s="1">
        <v>7.8600000000000003E-2</v>
      </c>
      <c r="T987" s="1">
        <v>0.33589999999999998</v>
      </c>
      <c r="U987" s="1">
        <v>0.17810000000000001</v>
      </c>
    </row>
    <row r="988" spans="1:21" x14ac:dyDescent="0.25">
      <c r="A988" t="s">
        <v>2131</v>
      </c>
      <c r="B988" t="s">
        <v>2132</v>
      </c>
      <c r="C988" t="s">
        <v>30</v>
      </c>
      <c r="D988" t="s">
        <v>299</v>
      </c>
      <c r="E988" t="s">
        <v>1250</v>
      </c>
      <c r="F988" t="str">
        <f t="shared" si="18"/>
        <v>2018-05-20</v>
      </c>
      <c r="G988">
        <v>30.89</v>
      </c>
      <c r="H988" t="str">
        <f>"2018-04-15"</f>
        <v>2018-04-15</v>
      </c>
      <c r="I988" t="s">
        <v>26</v>
      </c>
      <c r="J988" t="str">
        <f>"2018-02-21"</f>
        <v>2018-02-21</v>
      </c>
      <c r="K988" t="s">
        <v>40</v>
      </c>
      <c r="L988">
        <v>2.1997026100000001</v>
      </c>
      <c r="M988">
        <v>987</v>
      </c>
      <c r="N988" s="1">
        <v>7.22E-2</v>
      </c>
      <c r="O988" s="1">
        <v>0.19819999999999999</v>
      </c>
      <c r="P988" s="1">
        <v>-1.66E-2</v>
      </c>
      <c r="Q988" s="1">
        <v>1.4800000000000001E-2</v>
      </c>
      <c r="R988" s="1">
        <v>3.6900000000000002E-2</v>
      </c>
      <c r="S988" s="1">
        <v>4.7800000000000002E-2</v>
      </c>
      <c r="T988" s="1">
        <v>0.16039999999999999</v>
      </c>
      <c r="U988" s="1">
        <v>0.32229999999999998</v>
      </c>
    </row>
    <row r="989" spans="1:21" x14ac:dyDescent="0.25">
      <c r="A989" t="s">
        <v>2133</v>
      </c>
      <c r="B989" t="s">
        <v>2134</v>
      </c>
      <c r="C989" t="s">
        <v>114</v>
      </c>
      <c r="D989" t="s">
        <v>268</v>
      </c>
      <c r="E989" t="s">
        <v>268</v>
      </c>
      <c r="F989" t="str">
        <f t="shared" si="18"/>
        <v>2018-05-20</v>
      </c>
      <c r="G989">
        <v>44.59</v>
      </c>
      <c r="H989" t="str">
        <f>"2017-11-06"</f>
        <v>2017-11-06</v>
      </c>
      <c r="I989" t="s">
        <v>26</v>
      </c>
      <c r="J989" t="str">
        <f>"2017-09-26"</f>
        <v>2017-09-26</v>
      </c>
      <c r="K989" t="s">
        <v>27</v>
      </c>
      <c r="L989">
        <v>2.19934728</v>
      </c>
      <c r="M989">
        <v>988</v>
      </c>
      <c r="N989" s="1">
        <v>1.43E-2</v>
      </c>
      <c r="O989" s="1">
        <v>0.1961</v>
      </c>
      <c r="P989" s="1">
        <v>-6.83E-2</v>
      </c>
      <c r="Q989" s="1">
        <v>1.32E-2</v>
      </c>
      <c r="R989" s="1">
        <v>3.1899999999999998E-2</v>
      </c>
      <c r="S989" s="1">
        <v>6.93E-2</v>
      </c>
      <c r="T989" s="1">
        <v>0.1114</v>
      </c>
      <c r="U989" s="1">
        <v>0.1784</v>
      </c>
    </row>
    <row r="990" spans="1:21" x14ac:dyDescent="0.25">
      <c r="A990" t="s">
        <v>2135</v>
      </c>
      <c r="B990" t="s">
        <v>2136</v>
      </c>
      <c r="C990" t="s">
        <v>114</v>
      </c>
      <c r="D990" t="s">
        <v>115</v>
      </c>
      <c r="E990" t="s">
        <v>2137</v>
      </c>
      <c r="F990" t="str">
        <f t="shared" si="18"/>
        <v>2018-05-20</v>
      </c>
      <c r="G990">
        <v>24.84</v>
      </c>
      <c r="H990" t="str">
        <f>"2018-05-10"</f>
        <v>2018-05-10</v>
      </c>
      <c r="I990" t="s">
        <v>26</v>
      </c>
      <c r="J990" t="str">
        <f>"2018-03-08"</f>
        <v>2018-03-08</v>
      </c>
      <c r="K990" t="s">
        <v>40</v>
      </c>
      <c r="L990">
        <v>2.19932595</v>
      </c>
      <c r="M990">
        <v>989</v>
      </c>
      <c r="N990" s="1">
        <v>3.0700000000000002E-2</v>
      </c>
      <c r="O990" s="1">
        <v>0.19600000000000001</v>
      </c>
      <c r="P990" s="1">
        <v>-3.2000000000000002E-3</v>
      </c>
      <c r="Q990" s="1">
        <v>1.06E-2</v>
      </c>
      <c r="R990" s="1">
        <v>5.1200000000000002E-2</v>
      </c>
      <c r="S990" s="1">
        <v>4.6300000000000001E-2</v>
      </c>
      <c r="T990" s="1">
        <v>0.16020000000000001</v>
      </c>
      <c r="U990" s="1">
        <v>0.33550000000000002</v>
      </c>
    </row>
    <row r="991" spans="1:21" x14ac:dyDescent="0.25">
      <c r="A991" t="s">
        <v>2138</v>
      </c>
      <c r="B991" t="s">
        <v>2139</v>
      </c>
      <c r="C991" t="s">
        <v>30</v>
      </c>
      <c r="D991" t="s">
        <v>299</v>
      </c>
      <c r="E991" t="s">
        <v>300</v>
      </c>
      <c r="F991" t="str">
        <f t="shared" si="18"/>
        <v>2018-05-20</v>
      </c>
      <c r="G991">
        <v>13.16</v>
      </c>
      <c r="H991" t="str">
        <f>"2017-09-06"</f>
        <v>2017-09-06</v>
      </c>
      <c r="I991" t="s">
        <v>26</v>
      </c>
      <c r="J991" t="str">
        <f>"2017-07-11"</f>
        <v>2017-07-11</v>
      </c>
      <c r="K991" t="s">
        <v>40</v>
      </c>
      <c r="L991">
        <v>2.1988516200000001</v>
      </c>
      <c r="M991">
        <v>990</v>
      </c>
      <c r="N991" s="1">
        <v>0.1134</v>
      </c>
      <c r="O991" s="1">
        <v>0.19309999999999999</v>
      </c>
      <c r="P991" s="1">
        <v>-3.5200000000000002E-2</v>
      </c>
      <c r="Q991" s="1">
        <v>8.0000000000000004E-4</v>
      </c>
      <c r="R991" s="1">
        <v>1.9400000000000001E-2</v>
      </c>
      <c r="S991" s="1">
        <v>2.7300000000000001E-2</v>
      </c>
      <c r="T991" s="1">
        <v>-6.7999999999999996E-3</v>
      </c>
      <c r="U991" s="1">
        <v>0.1414</v>
      </c>
    </row>
    <row r="992" spans="1:21" x14ac:dyDescent="0.25">
      <c r="A992" t="s">
        <v>2140</v>
      </c>
      <c r="B992" t="s">
        <v>2141</v>
      </c>
      <c r="C992" t="s">
        <v>30</v>
      </c>
      <c r="D992" t="s">
        <v>299</v>
      </c>
      <c r="E992" t="s">
        <v>2120</v>
      </c>
      <c r="F992" t="str">
        <f t="shared" si="18"/>
        <v>2018-05-20</v>
      </c>
      <c r="G992">
        <v>15.39</v>
      </c>
      <c r="H992" t="str">
        <f>"2018-01-16"</f>
        <v>2018-01-16</v>
      </c>
      <c r="I992" t="s">
        <v>26</v>
      </c>
      <c r="J992" t="str">
        <f>"2017-06-27"</f>
        <v>2017-06-27</v>
      </c>
      <c r="K992" t="s">
        <v>40</v>
      </c>
      <c r="L992">
        <v>2.1988372100000002</v>
      </c>
      <c r="M992">
        <v>991</v>
      </c>
      <c r="N992" s="1">
        <v>5.2699999999999997E-2</v>
      </c>
      <c r="O992" s="1">
        <v>0.193</v>
      </c>
      <c r="P992" s="1">
        <v>-1.2999999999999999E-3</v>
      </c>
      <c r="Q992" s="1">
        <v>-1.2999999999999999E-3</v>
      </c>
      <c r="R992" s="1">
        <v>3.2899999999999999E-2</v>
      </c>
      <c r="S992" s="1">
        <v>9.7699999999999995E-2</v>
      </c>
      <c r="T992" s="1">
        <v>3.85E-2</v>
      </c>
      <c r="U992" s="1">
        <v>8.3000000000000004E-2</v>
      </c>
    </row>
    <row r="993" spans="1:21" x14ac:dyDescent="0.25">
      <c r="A993" t="s">
        <v>2142</v>
      </c>
      <c r="B993" t="s">
        <v>2143</v>
      </c>
      <c r="C993" t="s">
        <v>30</v>
      </c>
      <c r="D993" t="s">
        <v>31</v>
      </c>
      <c r="E993" t="s">
        <v>31</v>
      </c>
      <c r="F993" t="str">
        <f t="shared" si="18"/>
        <v>2018-05-20</v>
      </c>
      <c r="G993">
        <v>49.62</v>
      </c>
      <c r="H993" t="str">
        <f>"2017-09-27"</f>
        <v>2017-09-27</v>
      </c>
      <c r="I993" t="s">
        <v>26</v>
      </c>
      <c r="J993" t="str">
        <f>"2017-08-10"</f>
        <v>2017-08-10</v>
      </c>
      <c r="K993" t="s">
        <v>40</v>
      </c>
      <c r="L993">
        <v>2.1987502999999999</v>
      </c>
      <c r="M993">
        <v>992</v>
      </c>
      <c r="N993" s="1">
        <v>2.63E-2</v>
      </c>
      <c r="O993" s="1">
        <v>0.1925</v>
      </c>
      <c r="P993" s="1">
        <v>-4.65E-2</v>
      </c>
      <c r="Q993" s="1">
        <v>1.3899999999999999E-2</v>
      </c>
      <c r="R993" s="1">
        <v>2.5600000000000001E-2</v>
      </c>
      <c r="S993" s="1">
        <v>1.9099999999999999E-2</v>
      </c>
      <c r="T993" s="1">
        <v>4.6399999999999997E-2</v>
      </c>
      <c r="U993" s="1">
        <v>0.14680000000000001</v>
      </c>
    </row>
    <row r="994" spans="1:21" x14ac:dyDescent="0.25">
      <c r="A994" t="s">
        <v>2144</v>
      </c>
      <c r="B994" t="s">
        <v>2145</v>
      </c>
      <c r="C994" t="s">
        <v>100</v>
      </c>
      <c r="D994" t="s">
        <v>199</v>
      </c>
      <c r="E994" t="s">
        <v>200</v>
      </c>
      <c r="F994" t="str">
        <f t="shared" si="18"/>
        <v>2018-05-20</v>
      </c>
      <c r="G994">
        <v>22.4</v>
      </c>
      <c r="H994" t="str">
        <f>"2018-05-09"</f>
        <v>2018-05-09</v>
      </c>
      <c r="I994" t="s">
        <v>26</v>
      </c>
      <c r="J994" t="str">
        <f>"2018-05-03"</f>
        <v>2018-05-03</v>
      </c>
      <c r="K994" t="s">
        <v>40</v>
      </c>
      <c r="L994">
        <v>2.19858156</v>
      </c>
      <c r="M994">
        <v>993</v>
      </c>
      <c r="N994" s="1">
        <v>0.10340000000000001</v>
      </c>
      <c r="O994" s="1">
        <v>0.1915</v>
      </c>
      <c r="P994" s="1">
        <v>0</v>
      </c>
      <c r="Q994" s="1">
        <v>1.8200000000000001E-2</v>
      </c>
      <c r="R994" s="1">
        <v>7.6899999999999996E-2</v>
      </c>
      <c r="S994" s="1">
        <v>0.20749999999999999</v>
      </c>
      <c r="T994" s="1">
        <v>0.29110000000000003</v>
      </c>
      <c r="U994" s="1">
        <v>0.43130000000000002</v>
      </c>
    </row>
    <row r="995" spans="1:21" x14ac:dyDescent="0.25">
      <c r="A995" t="s">
        <v>2146</v>
      </c>
      <c r="B995" t="s">
        <v>2147</v>
      </c>
      <c r="C995" t="s">
        <v>30</v>
      </c>
      <c r="D995" t="s">
        <v>347</v>
      </c>
      <c r="E995" t="s">
        <v>523</v>
      </c>
      <c r="F995" t="str">
        <f t="shared" si="18"/>
        <v>2018-05-20</v>
      </c>
      <c r="G995">
        <v>62.05</v>
      </c>
      <c r="H995" t="str">
        <f>"2018-01-22"</f>
        <v>2018-01-22</v>
      </c>
      <c r="I995" t="s">
        <v>26</v>
      </c>
      <c r="J995" t="str">
        <f>"2018-01-10"</f>
        <v>2018-01-10</v>
      </c>
      <c r="K995" t="s">
        <v>57</v>
      </c>
      <c r="L995">
        <v>2.1983805900000002</v>
      </c>
      <c r="M995">
        <v>994</v>
      </c>
      <c r="N995" s="1">
        <v>9.7000000000000003E-2</v>
      </c>
      <c r="O995" s="1">
        <v>0.1903</v>
      </c>
      <c r="P995" s="1">
        <v>-1.6000000000000001E-3</v>
      </c>
      <c r="Q995" s="1">
        <v>1.14E-2</v>
      </c>
      <c r="R995" s="1">
        <v>1.9900000000000001E-2</v>
      </c>
      <c r="S995" s="1">
        <v>4.9000000000000002E-2</v>
      </c>
      <c r="T995" s="1">
        <v>0.18340000000000001</v>
      </c>
      <c r="U995" s="1">
        <v>0.1603</v>
      </c>
    </row>
    <row r="996" spans="1:21" x14ac:dyDescent="0.25">
      <c r="A996" t="s">
        <v>2148</v>
      </c>
      <c r="B996" t="s">
        <v>2149</v>
      </c>
      <c r="C996" t="s">
        <v>109</v>
      </c>
      <c r="D996" t="s">
        <v>156</v>
      </c>
      <c r="E996" t="s">
        <v>284</v>
      </c>
      <c r="F996" t="str">
        <f t="shared" si="18"/>
        <v>2018-05-20</v>
      </c>
      <c r="G996">
        <v>10.16</v>
      </c>
      <c r="H996" t="str">
        <f>"2018-04-05"</f>
        <v>2018-04-05</v>
      </c>
      <c r="I996" t="s">
        <v>26</v>
      </c>
      <c r="J996" t="str">
        <f>"2017-12-18"</f>
        <v>2017-12-18</v>
      </c>
      <c r="K996" t="s">
        <v>57</v>
      </c>
      <c r="L996">
        <v>2.1982825899999998</v>
      </c>
      <c r="M996">
        <v>995</v>
      </c>
      <c r="N996" s="1">
        <v>4.1000000000000002E-2</v>
      </c>
      <c r="O996" s="1">
        <v>0.18970000000000001</v>
      </c>
      <c r="P996" s="1">
        <v>-4.5100000000000001E-2</v>
      </c>
      <c r="Q996" s="1">
        <v>8.8999999999999999E-3</v>
      </c>
      <c r="R996" s="1">
        <v>2.4199999999999999E-2</v>
      </c>
      <c r="S996" s="1">
        <v>1.7999999999999999E-2</v>
      </c>
      <c r="T996" s="1">
        <v>2.1100000000000001E-2</v>
      </c>
      <c r="U996" s="1">
        <v>-0.1072</v>
      </c>
    </row>
    <row r="997" spans="1:21" x14ac:dyDescent="0.25">
      <c r="A997" t="s">
        <v>2150</v>
      </c>
      <c r="B997" t="s">
        <v>2151</v>
      </c>
      <c r="C997" t="s">
        <v>30</v>
      </c>
      <c r="D997" t="s">
        <v>77</v>
      </c>
      <c r="E997" t="s">
        <v>78</v>
      </c>
      <c r="F997" t="str">
        <f t="shared" si="18"/>
        <v>2018-05-20</v>
      </c>
      <c r="G997">
        <v>21.1</v>
      </c>
      <c r="H997" t="str">
        <f>"2018-01-14"</f>
        <v>2018-01-14</v>
      </c>
      <c r="I997" t="s">
        <v>26</v>
      </c>
      <c r="J997" t="str">
        <f>"2017-11-21"</f>
        <v>2017-11-21</v>
      </c>
      <c r="K997" t="s">
        <v>27</v>
      </c>
      <c r="L997">
        <v>2.1981220700000002</v>
      </c>
      <c r="M997">
        <v>996</v>
      </c>
      <c r="N997" s="1">
        <v>3.4299999999999997E-2</v>
      </c>
      <c r="O997" s="1">
        <v>0.18870000000000001</v>
      </c>
      <c r="P997" s="1">
        <v>-5.3800000000000001E-2</v>
      </c>
      <c r="Q997" s="1">
        <v>-2.3999999999999998E-3</v>
      </c>
      <c r="R997" s="1">
        <v>2.3999999999999998E-3</v>
      </c>
      <c r="S997" s="1">
        <v>1.2E-2</v>
      </c>
      <c r="T997" s="1">
        <v>7.9299999999999995E-2</v>
      </c>
      <c r="U997" s="1">
        <v>0.1467</v>
      </c>
    </row>
    <row r="998" spans="1:21" x14ac:dyDescent="0.25">
      <c r="A998" t="s">
        <v>2152</v>
      </c>
      <c r="B998" t="s">
        <v>2153</v>
      </c>
      <c r="C998" t="s">
        <v>30</v>
      </c>
      <c r="D998" t="s">
        <v>31</v>
      </c>
      <c r="E998" t="s">
        <v>31</v>
      </c>
      <c r="F998" t="str">
        <f t="shared" si="18"/>
        <v>2018-05-20</v>
      </c>
      <c r="G998">
        <v>39.4</v>
      </c>
      <c r="H998" t="str">
        <f>"2017-09-19"</f>
        <v>2017-09-19</v>
      </c>
      <c r="I998" t="s">
        <v>26</v>
      </c>
      <c r="J998" t="str">
        <f>"2017-08-10"</f>
        <v>2017-08-10</v>
      </c>
      <c r="K998" t="s">
        <v>40</v>
      </c>
      <c r="L998">
        <v>2.1980894900000001</v>
      </c>
      <c r="M998">
        <v>997</v>
      </c>
      <c r="N998" s="1">
        <v>0.1052</v>
      </c>
      <c r="O998" s="1">
        <v>0.1885</v>
      </c>
      <c r="P998" s="1">
        <v>-8.8000000000000005E-3</v>
      </c>
      <c r="Q998" s="1">
        <v>1.55E-2</v>
      </c>
      <c r="R998" s="1">
        <v>3.5499999999999997E-2</v>
      </c>
      <c r="S998" s="1">
        <v>8.9999999999999993E-3</v>
      </c>
      <c r="T998" s="1">
        <v>3.6799999999999999E-2</v>
      </c>
      <c r="U998" s="1">
        <v>0.1067</v>
      </c>
    </row>
    <row r="999" spans="1:21" x14ac:dyDescent="0.25">
      <c r="A999" t="s">
        <v>2154</v>
      </c>
      <c r="B999" t="s">
        <v>2155</v>
      </c>
      <c r="C999" t="s">
        <v>23</v>
      </c>
      <c r="D999" t="s">
        <v>24</v>
      </c>
      <c r="E999" t="s">
        <v>494</v>
      </c>
      <c r="F999" t="str">
        <f t="shared" si="18"/>
        <v>2018-05-20</v>
      </c>
      <c r="G999">
        <v>12.95</v>
      </c>
      <c r="H999" t="str">
        <f>"2017-11-27"</f>
        <v>2017-11-27</v>
      </c>
      <c r="I999" t="s">
        <v>26</v>
      </c>
      <c r="J999" t="str">
        <f>"2017-07-23"</f>
        <v>2017-07-23</v>
      </c>
      <c r="K999" t="s">
        <v>57</v>
      </c>
      <c r="L999">
        <v>2.1980122299999998</v>
      </c>
      <c r="M999">
        <v>998</v>
      </c>
      <c r="N999" s="1">
        <v>6.1499999999999999E-2</v>
      </c>
      <c r="O999" s="1">
        <v>0.18809999999999999</v>
      </c>
      <c r="P999" s="1">
        <v>-2.63E-2</v>
      </c>
      <c r="Q999" s="1">
        <v>-1.15E-2</v>
      </c>
      <c r="R999" s="1">
        <v>3.8999999999999998E-3</v>
      </c>
      <c r="S999" s="1">
        <v>0.12609999999999999</v>
      </c>
      <c r="T999" s="1">
        <v>3.8999999999999998E-3</v>
      </c>
      <c r="U999" s="1">
        <v>0.1991</v>
      </c>
    </row>
    <row r="1000" spans="1:21" x14ac:dyDescent="0.25">
      <c r="A1000" t="s">
        <v>2156</v>
      </c>
      <c r="B1000" t="s">
        <v>2157</v>
      </c>
      <c r="C1000" t="s">
        <v>30</v>
      </c>
      <c r="D1000" t="s">
        <v>31</v>
      </c>
      <c r="E1000" t="s">
        <v>31</v>
      </c>
      <c r="F1000" t="str">
        <f t="shared" si="18"/>
        <v>2018-05-20</v>
      </c>
      <c r="G1000">
        <v>29.79</v>
      </c>
      <c r="H1000" t="str">
        <f>"2018-04-26"</f>
        <v>2018-04-26</v>
      </c>
      <c r="I1000" t="s">
        <v>26</v>
      </c>
      <c r="J1000" t="str">
        <f>"2018-02-06"</f>
        <v>2018-02-06</v>
      </c>
      <c r="K1000" t="s">
        <v>40</v>
      </c>
      <c r="L1000">
        <v>2.19780876</v>
      </c>
      <c r="M1000">
        <v>999</v>
      </c>
      <c r="N1000" s="1">
        <v>2.8299999999999999E-2</v>
      </c>
      <c r="O1000" s="1">
        <v>0.18690000000000001</v>
      </c>
      <c r="P1000" s="1">
        <v>0</v>
      </c>
      <c r="Q1000" s="1">
        <v>5.1000000000000004E-3</v>
      </c>
      <c r="R1000" s="1">
        <v>9.7999999999999997E-3</v>
      </c>
      <c r="S1000" s="1">
        <v>5.6399999999999999E-2</v>
      </c>
      <c r="T1000" s="1">
        <v>0.1263</v>
      </c>
      <c r="U1000" s="1">
        <v>0.21379999999999999</v>
      </c>
    </row>
    <row r="1001" spans="1:21" x14ac:dyDescent="0.25">
      <c r="A1001" t="s">
        <v>2158</v>
      </c>
      <c r="B1001" t="s">
        <v>2159</v>
      </c>
      <c r="C1001" t="s">
        <v>114</v>
      </c>
      <c r="D1001" t="s">
        <v>254</v>
      </c>
      <c r="E1001" t="s">
        <v>255</v>
      </c>
      <c r="F1001" t="str">
        <f t="shared" si="18"/>
        <v>2018-05-20</v>
      </c>
      <c r="G1001">
        <v>14.35</v>
      </c>
      <c r="H1001" t="str">
        <f>"2017-10-12"</f>
        <v>2017-10-12</v>
      </c>
      <c r="I1001" t="s">
        <v>26</v>
      </c>
      <c r="J1001" t="str">
        <f>"2017-09-18"</f>
        <v>2017-09-18</v>
      </c>
      <c r="K1001" t="s">
        <v>27</v>
      </c>
      <c r="L1001">
        <v>2.1976583999999999</v>
      </c>
      <c r="M1001">
        <v>1000</v>
      </c>
      <c r="N1001" s="1">
        <v>4.7399999999999998E-2</v>
      </c>
      <c r="O1001" s="1">
        <v>0.186</v>
      </c>
      <c r="P1001" s="1">
        <v>-6.8999999999999999E-3</v>
      </c>
      <c r="Q1001" s="1">
        <v>-3.5000000000000001E-3</v>
      </c>
      <c r="R1001" s="1">
        <v>0.1081</v>
      </c>
      <c r="S1001" s="1">
        <v>7.4899999999999994E-2</v>
      </c>
      <c r="T1001" s="1">
        <v>0.19089999999999999</v>
      </c>
      <c r="U1001" s="1">
        <v>0.186</v>
      </c>
    </row>
    <row r="1002" spans="1:21" x14ac:dyDescent="0.25">
      <c r="A1002" t="s">
        <v>2160</v>
      </c>
      <c r="B1002" t="s">
        <v>2161</v>
      </c>
      <c r="C1002" t="s">
        <v>30</v>
      </c>
      <c r="D1002" t="s">
        <v>299</v>
      </c>
      <c r="E1002" t="s">
        <v>1087</v>
      </c>
      <c r="F1002" t="str">
        <f t="shared" si="18"/>
        <v>2018-05-20</v>
      </c>
      <c r="G1002">
        <v>21.44</v>
      </c>
      <c r="H1002" t="str">
        <f>"2018-05-09"</f>
        <v>2018-05-09</v>
      </c>
      <c r="I1002" t="s">
        <v>26</v>
      </c>
      <c r="J1002" t="str">
        <f>"2018-04-08"</f>
        <v>2018-04-08</v>
      </c>
      <c r="K1002" t="s">
        <v>40</v>
      </c>
      <c r="L1002">
        <v>2.1967694600000001</v>
      </c>
      <c r="M1002">
        <v>1001</v>
      </c>
      <c r="N1002" s="1">
        <v>1.2800000000000001E-2</v>
      </c>
      <c r="O1002" s="1">
        <v>0.18060000000000001</v>
      </c>
      <c r="P1002" s="1">
        <v>0</v>
      </c>
      <c r="Q1002" s="1">
        <v>9.4000000000000004E-3</v>
      </c>
      <c r="R1002" s="1">
        <v>5.1999999999999998E-2</v>
      </c>
      <c r="S1002" s="1">
        <v>0.14710000000000001</v>
      </c>
      <c r="T1002" s="1">
        <v>0.10290000000000001</v>
      </c>
      <c r="U1002" s="1">
        <v>0.29630000000000001</v>
      </c>
    </row>
    <row r="1003" spans="1:21" x14ac:dyDescent="0.25">
      <c r="A1003" t="s">
        <v>2162</v>
      </c>
      <c r="B1003" t="s">
        <v>2163</v>
      </c>
      <c r="C1003" t="s">
        <v>43</v>
      </c>
      <c r="D1003" t="s">
        <v>1342</v>
      </c>
      <c r="E1003" t="s">
        <v>1746</v>
      </c>
      <c r="F1003" t="str">
        <f t="shared" si="18"/>
        <v>2018-05-20</v>
      </c>
      <c r="G1003">
        <v>13.675000000000001</v>
      </c>
      <c r="H1003" t="str">
        <f>"2018-03-06"</f>
        <v>2018-03-06</v>
      </c>
      <c r="I1003" t="s">
        <v>26</v>
      </c>
      <c r="J1003" t="str">
        <f>"2017-10-12"</f>
        <v>2017-10-12</v>
      </c>
      <c r="K1003" t="s">
        <v>57</v>
      </c>
      <c r="L1003">
        <v>2.1956366200000001</v>
      </c>
      <c r="M1003">
        <v>1002</v>
      </c>
      <c r="N1003" s="1">
        <v>3.2099999999999997E-2</v>
      </c>
      <c r="O1003" s="1">
        <v>0.17380000000000001</v>
      </c>
      <c r="P1003" s="1">
        <v>-5.3600000000000002E-2</v>
      </c>
      <c r="Q1003" s="1">
        <v>-1.8E-3</v>
      </c>
      <c r="R1003" s="1">
        <v>3.9899999999999998E-2</v>
      </c>
      <c r="S1003" s="1">
        <v>1.8E-3</v>
      </c>
      <c r="T1003" s="1">
        <v>3.2099999999999997E-2</v>
      </c>
      <c r="U1003" s="1">
        <v>3.5999999999999997E-2</v>
      </c>
    </row>
    <row r="1004" spans="1:21" x14ac:dyDescent="0.25">
      <c r="A1004" t="s">
        <v>2164</v>
      </c>
      <c r="B1004" t="s">
        <v>2165</v>
      </c>
      <c r="C1004" t="s">
        <v>518</v>
      </c>
      <c r="D1004" t="s">
        <v>573</v>
      </c>
      <c r="E1004" t="s">
        <v>574</v>
      </c>
      <c r="F1004" t="str">
        <f t="shared" si="18"/>
        <v>2018-05-20</v>
      </c>
      <c r="G1004">
        <v>60.65</v>
      </c>
      <c r="H1004" t="str">
        <f>"2018-05-07"</f>
        <v>2018-05-07</v>
      </c>
      <c r="I1004" t="s">
        <v>26</v>
      </c>
      <c r="J1004" t="str">
        <f>"2018-02-28"</f>
        <v>2018-02-28</v>
      </c>
      <c r="K1004" t="s">
        <v>40</v>
      </c>
      <c r="L1004">
        <v>2.1955946900000001</v>
      </c>
      <c r="M1004">
        <v>1003</v>
      </c>
      <c r="N1004" s="1">
        <v>-5.0000000000000001E-4</v>
      </c>
      <c r="O1004" s="1">
        <v>0.1736</v>
      </c>
      <c r="P1004" s="1">
        <v>-3.4200000000000001E-2</v>
      </c>
      <c r="Q1004" s="1">
        <v>-1.6000000000000001E-3</v>
      </c>
      <c r="R1004" s="1">
        <v>1.2200000000000001E-2</v>
      </c>
      <c r="S1004" s="1">
        <v>6.7599999999999993E-2</v>
      </c>
      <c r="T1004" s="1">
        <v>7.3300000000000004E-2</v>
      </c>
      <c r="U1004" s="1">
        <v>0.26250000000000001</v>
      </c>
    </row>
    <row r="1005" spans="1:21" x14ac:dyDescent="0.25">
      <c r="A1005" t="s">
        <v>2166</v>
      </c>
      <c r="B1005" t="s">
        <v>2167</v>
      </c>
      <c r="C1005" t="s">
        <v>30</v>
      </c>
      <c r="D1005" t="s">
        <v>31</v>
      </c>
      <c r="E1005" t="s">
        <v>31</v>
      </c>
      <c r="F1005" t="str">
        <f t="shared" si="18"/>
        <v>2018-05-20</v>
      </c>
      <c r="G1005">
        <v>30.63</v>
      </c>
      <c r="H1005" t="str">
        <f>"2018-03-18"</f>
        <v>2018-03-18</v>
      </c>
      <c r="I1005" t="s">
        <v>26</v>
      </c>
      <c r="J1005" t="str">
        <f>"2018-03-07"</f>
        <v>2018-03-07</v>
      </c>
      <c r="K1005" t="s">
        <v>27</v>
      </c>
      <c r="L1005">
        <v>2.1955938700000002</v>
      </c>
      <c r="M1005">
        <v>1004</v>
      </c>
      <c r="N1005" s="1">
        <v>-2E-3</v>
      </c>
      <c r="O1005" s="1">
        <v>0.1736</v>
      </c>
      <c r="P1005" s="1">
        <v>-6.7999999999999996E-3</v>
      </c>
      <c r="Q1005" s="1">
        <v>3.8999999999999998E-3</v>
      </c>
      <c r="R1005" s="1">
        <v>4.1799999999999997E-2</v>
      </c>
      <c r="S1005" s="1">
        <v>2.1700000000000001E-2</v>
      </c>
      <c r="T1005" s="1">
        <v>6.4299999999999996E-2</v>
      </c>
      <c r="U1005" s="1">
        <v>2.7199999999999998E-2</v>
      </c>
    </row>
    <row r="1006" spans="1:21" x14ac:dyDescent="0.25">
      <c r="A1006" t="s">
        <v>2168</v>
      </c>
      <c r="B1006" t="s">
        <v>2169</v>
      </c>
      <c r="C1006" t="s">
        <v>114</v>
      </c>
      <c r="D1006" t="s">
        <v>646</v>
      </c>
      <c r="E1006" t="s">
        <v>647</v>
      </c>
      <c r="F1006" t="str">
        <f t="shared" si="18"/>
        <v>2018-05-20</v>
      </c>
      <c r="G1006">
        <v>132.12</v>
      </c>
      <c r="H1006" t="str">
        <f>"2018-02-18"</f>
        <v>2018-02-18</v>
      </c>
      <c r="I1006" t="s">
        <v>26</v>
      </c>
      <c r="J1006" t="str">
        <f>"2018-02-13"</f>
        <v>2018-02-13</v>
      </c>
      <c r="K1006" t="s">
        <v>40</v>
      </c>
      <c r="L1006">
        <v>2.1953686499999998</v>
      </c>
      <c r="M1006">
        <v>1005</v>
      </c>
      <c r="N1006" s="1">
        <v>9.0999999999999998E-2</v>
      </c>
      <c r="O1006" s="1">
        <v>0.17219999999999999</v>
      </c>
      <c r="P1006" s="1">
        <v>-3.5000000000000001E-3</v>
      </c>
      <c r="Q1006" s="1">
        <v>-3.5000000000000001E-3</v>
      </c>
      <c r="R1006" s="1">
        <v>5.3800000000000001E-2</v>
      </c>
      <c r="S1006" s="1">
        <v>2.6200000000000001E-2</v>
      </c>
      <c r="T1006" s="1">
        <v>6.2100000000000002E-2</v>
      </c>
      <c r="U1006" s="1">
        <v>0.22800000000000001</v>
      </c>
    </row>
    <row r="1007" spans="1:21" x14ac:dyDescent="0.25">
      <c r="A1007" t="s">
        <v>2170</v>
      </c>
      <c r="B1007" t="s">
        <v>2171</v>
      </c>
      <c r="C1007" t="s">
        <v>30</v>
      </c>
      <c r="D1007" t="s">
        <v>299</v>
      </c>
      <c r="E1007" t="s">
        <v>2172</v>
      </c>
      <c r="F1007" t="str">
        <f t="shared" si="18"/>
        <v>2018-05-20</v>
      </c>
      <c r="G1007">
        <v>27.42</v>
      </c>
      <c r="H1007" t="str">
        <f>"2018-05-07"</f>
        <v>2018-05-07</v>
      </c>
      <c r="I1007" t="s">
        <v>26</v>
      </c>
      <c r="J1007" t="str">
        <f>"2018-02-07"</f>
        <v>2018-02-07</v>
      </c>
      <c r="K1007" t="s">
        <v>40</v>
      </c>
      <c r="L1007">
        <v>2.1952991499999999</v>
      </c>
      <c r="M1007">
        <v>1006</v>
      </c>
      <c r="N1007" s="1">
        <v>-2.9700000000000001E-2</v>
      </c>
      <c r="O1007" s="1">
        <v>0.17180000000000001</v>
      </c>
      <c r="P1007" s="1">
        <v>-3.6900000000000002E-2</v>
      </c>
      <c r="Q1007" s="1">
        <v>9.1999999999999998E-3</v>
      </c>
      <c r="R1007" s="1">
        <v>5.4999999999999997E-3</v>
      </c>
      <c r="S1007" s="1">
        <v>6.9000000000000006E-2</v>
      </c>
      <c r="T1007" s="1">
        <v>0.1293</v>
      </c>
      <c r="U1007" s="1">
        <v>9.5500000000000002E-2</v>
      </c>
    </row>
    <row r="1008" spans="1:21" x14ac:dyDescent="0.25">
      <c r="A1008" t="s">
        <v>2173</v>
      </c>
      <c r="B1008" t="s">
        <v>2174</v>
      </c>
      <c r="C1008" t="s">
        <v>30</v>
      </c>
      <c r="D1008" t="s">
        <v>299</v>
      </c>
      <c r="E1008" t="s">
        <v>1250</v>
      </c>
      <c r="F1008" t="str">
        <f t="shared" si="18"/>
        <v>2018-05-20</v>
      </c>
      <c r="G1008">
        <v>6.99</v>
      </c>
      <c r="H1008" t="str">
        <f>"2017-10-03"</f>
        <v>2017-10-03</v>
      </c>
      <c r="I1008" t="s">
        <v>26</v>
      </c>
      <c r="J1008" t="str">
        <f>"2017-09-27"</f>
        <v>2017-09-27</v>
      </c>
      <c r="K1008" t="s">
        <v>27</v>
      </c>
      <c r="L1008">
        <v>2.1951423800000001</v>
      </c>
      <c r="M1008">
        <v>1007</v>
      </c>
      <c r="N1008" s="1">
        <v>4.3299999999999998E-2</v>
      </c>
      <c r="O1008" s="1">
        <v>0.1709</v>
      </c>
      <c r="P1008" s="1">
        <v>-2.7799999999999998E-2</v>
      </c>
      <c r="Q1008" s="1">
        <v>1.7500000000000002E-2</v>
      </c>
      <c r="R1008" s="1">
        <v>7.1999999999999998E-3</v>
      </c>
      <c r="S1008" s="1">
        <v>-8.5000000000000006E-3</v>
      </c>
      <c r="T1008" s="1">
        <v>0.19489999999999999</v>
      </c>
      <c r="U1008" s="1">
        <v>8.7099999999999997E-2</v>
      </c>
    </row>
    <row r="1009" spans="1:21" x14ac:dyDescent="0.25">
      <c r="A1009" t="s">
        <v>2175</v>
      </c>
      <c r="B1009" t="s">
        <v>2176</v>
      </c>
      <c r="C1009" t="s">
        <v>30</v>
      </c>
      <c r="D1009" t="s">
        <v>31</v>
      </c>
      <c r="E1009" t="s">
        <v>31</v>
      </c>
      <c r="F1009" t="str">
        <f t="shared" si="18"/>
        <v>2018-05-20</v>
      </c>
      <c r="G1009">
        <v>17.37</v>
      </c>
      <c r="H1009" t="str">
        <f>"2018-04-16"</f>
        <v>2018-04-16</v>
      </c>
      <c r="I1009" t="s">
        <v>26</v>
      </c>
      <c r="J1009" t="str">
        <f>"2018-01-03"</f>
        <v>2018-01-03</v>
      </c>
      <c r="K1009" t="s">
        <v>57</v>
      </c>
      <c r="L1009">
        <v>2.1949494899999999</v>
      </c>
      <c r="M1009">
        <v>1008</v>
      </c>
      <c r="N1009" s="1">
        <v>2.5999999999999999E-2</v>
      </c>
      <c r="O1009" s="1">
        <v>0.16969999999999999</v>
      </c>
      <c r="P1009" s="1">
        <v>-1.5299999999999999E-2</v>
      </c>
      <c r="Q1009" s="1">
        <v>-1.1999999999999999E-3</v>
      </c>
      <c r="R1009" s="1">
        <v>-1.5299999999999999E-2</v>
      </c>
      <c r="S1009" s="1">
        <v>2.7799999999999998E-2</v>
      </c>
      <c r="T1009" s="1">
        <v>6.0400000000000002E-2</v>
      </c>
      <c r="U1009" s="1">
        <v>0.1353</v>
      </c>
    </row>
    <row r="1010" spans="1:21" x14ac:dyDescent="0.25">
      <c r="A1010" t="s">
        <v>2177</v>
      </c>
      <c r="B1010" t="s">
        <v>2178</v>
      </c>
      <c r="C1010" t="s">
        <v>30</v>
      </c>
      <c r="D1010" t="s">
        <v>31</v>
      </c>
      <c r="E1010" t="s">
        <v>31</v>
      </c>
      <c r="F1010" t="str">
        <f t="shared" si="18"/>
        <v>2018-05-20</v>
      </c>
      <c r="G1010">
        <v>37.6</v>
      </c>
      <c r="H1010" t="str">
        <f>"2018-04-24"</f>
        <v>2018-04-24</v>
      </c>
      <c r="I1010" t="s">
        <v>26</v>
      </c>
      <c r="J1010" t="str">
        <f>"2018-02-12"</f>
        <v>2018-02-12</v>
      </c>
      <c r="K1010" t="s">
        <v>40</v>
      </c>
      <c r="L1010">
        <v>2.1949196500000001</v>
      </c>
      <c r="M1010">
        <v>1009</v>
      </c>
      <c r="N1010" s="1">
        <v>3.8699999999999998E-2</v>
      </c>
      <c r="O1010" s="1">
        <v>0.16950000000000001</v>
      </c>
      <c r="P1010" s="1">
        <v>-2.7000000000000001E-3</v>
      </c>
      <c r="Q1010" s="1">
        <v>-1.2999999999999999E-3</v>
      </c>
      <c r="R1010" s="1">
        <v>3.1600000000000003E-2</v>
      </c>
      <c r="S1010" s="1">
        <v>6.3600000000000004E-2</v>
      </c>
      <c r="T1010" s="1">
        <v>0.1308</v>
      </c>
      <c r="U1010" s="1">
        <v>0.19900000000000001</v>
      </c>
    </row>
    <row r="1011" spans="1:21" x14ac:dyDescent="0.25">
      <c r="A1011" t="s">
        <v>2179</v>
      </c>
      <c r="B1011" t="s">
        <v>2180</v>
      </c>
      <c r="C1011" t="s">
        <v>23</v>
      </c>
      <c r="D1011" t="s">
        <v>173</v>
      </c>
      <c r="E1011" t="s">
        <v>212</v>
      </c>
      <c r="F1011" t="str">
        <f t="shared" si="18"/>
        <v>2018-05-20</v>
      </c>
      <c r="G1011">
        <v>7.18</v>
      </c>
      <c r="H1011" t="str">
        <f>"2018-02-15"</f>
        <v>2018-02-15</v>
      </c>
      <c r="I1011" t="s">
        <v>26</v>
      </c>
      <c r="J1011" t="str">
        <f>"2018-02-07"</f>
        <v>2018-02-07</v>
      </c>
      <c r="K1011" t="s">
        <v>27</v>
      </c>
      <c r="L1011">
        <v>2.1945799500000001</v>
      </c>
      <c r="M1011">
        <v>1010</v>
      </c>
      <c r="N1011" s="1">
        <v>2.5700000000000001E-2</v>
      </c>
      <c r="O1011" s="1">
        <v>0.16750000000000001</v>
      </c>
      <c r="P1011" s="1">
        <v>-6.8699999999999997E-2</v>
      </c>
      <c r="Q1011" s="1">
        <v>9.7999999999999997E-3</v>
      </c>
      <c r="R1011" s="1">
        <v>-1.24E-2</v>
      </c>
      <c r="S1011" s="1">
        <v>0.2487</v>
      </c>
      <c r="T1011" s="1">
        <v>-6.8699999999999997E-2</v>
      </c>
      <c r="U1011" s="1">
        <v>-6.8699999999999997E-2</v>
      </c>
    </row>
    <row r="1012" spans="1:21" x14ac:dyDescent="0.25">
      <c r="A1012" t="s">
        <v>2181</v>
      </c>
      <c r="B1012" t="s">
        <v>2182</v>
      </c>
      <c r="C1012" t="s">
        <v>43</v>
      </c>
      <c r="D1012" t="s">
        <v>150</v>
      </c>
      <c r="E1012" t="s">
        <v>408</v>
      </c>
      <c r="F1012" t="str">
        <f t="shared" si="18"/>
        <v>2018-05-20</v>
      </c>
      <c r="G1012">
        <v>98.79</v>
      </c>
      <c r="H1012" t="str">
        <f>"2018-05-16"</f>
        <v>2018-05-16</v>
      </c>
      <c r="I1012" t="s">
        <v>26</v>
      </c>
      <c r="J1012" t="str">
        <f>"2018-03-15"</f>
        <v>2018-03-15</v>
      </c>
      <c r="K1012" t="s">
        <v>40</v>
      </c>
      <c r="L1012">
        <v>2.1943231399999998</v>
      </c>
      <c r="M1012">
        <v>1011</v>
      </c>
      <c r="N1012" s="1">
        <v>3.5400000000000001E-2</v>
      </c>
      <c r="O1012" s="1">
        <v>0.16589999999999999</v>
      </c>
      <c r="P1012" s="1">
        <v>0</v>
      </c>
      <c r="Q1012" s="1">
        <v>1.12E-2</v>
      </c>
      <c r="R1012" s="1">
        <v>4.8800000000000003E-2</v>
      </c>
      <c r="S1012" s="1">
        <v>8.6699999999999999E-2</v>
      </c>
      <c r="T1012" s="1">
        <v>7.5300000000000006E-2</v>
      </c>
      <c r="U1012" s="1">
        <v>0.16880000000000001</v>
      </c>
    </row>
    <row r="1013" spans="1:21" x14ac:dyDescent="0.25">
      <c r="A1013" t="s">
        <v>2183</v>
      </c>
      <c r="B1013" t="s">
        <v>2184</v>
      </c>
      <c r="C1013" t="s">
        <v>30</v>
      </c>
      <c r="D1013" t="s">
        <v>31</v>
      </c>
      <c r="E1013" t="s">
        <v>31</v>
      </c>
      <c r="F1013" t="str">
        <f t="shared" si="18"/>
        <v>2018-05-20</v>
      </c>
      <c r="G1013">
        <v>31.65</v>
      </c>
      <c r="H1013" t="str">
        <f>"2018-01-14"</f>
        <v>2018-01-14</v>
      </c>
      <c r="I1013" t="s">
        <v>26</v>
      </c>
      <c r="J1013" t="str">
        <f>"2017-12-07"</f>
        <v>2017-12-07</v>
      </c>
      <c r="K1013" t="s">
        <v>27</v>
      </c>
      <c r="L1013">
        <v>2.1942909799999999</v>
      </c>
      <c r="M1013">
        <v>1012</v>
      </c>
      <c r="N1013" s="1">
        <v>5.8500000000000003E-2</v>
      </c>
      <c r="O1013" s="1">
        <v>0.16569999999999999</v>
      </c>
      <c r="P1013" s="1">
        <v>-7.7999999999999996E-3</v>
      </c>
      <c r="Q1013" s="1">
        <v>-7.7999999999999996E-3</v>
      </c>
      <c r="R1013" s="1">
        <v>1.2800000000000001E-2</v>
      </c>
      <c r="S1013" s="1">
        <v>6.5699999999999995E-2</v>
      </c>
      <c r="T1013" s="1">
        <v>0.1086</v>
      </c>
      <c r="U1013" s="1">
        <v>8.5800000000000001E-2</v>
      </c>
    </row>
    <row r="1014" spans="1:21" x14ac:dyDescent="0.25">
      <c r="A1014" t="s">
        <v>2185</v>
      </c>
      <c r="B1014" t="s">
        <v>2186</v>
      </c>
      <c r="C1014" t="s">
        <v>37</v>
      </c>
      <c r="D1014" t="s">
        <v>66</v>
      </c>
      <c r="E1014" t="s">
        <v>72</v>
      </c>
      <c r="F1014" t="str">
        <f t="shared" si="18"/>
        <v>2018-05-20</v>
      </c>
      <c r="G1014">
        <v>21.92</v>
      </c>
      <c r="H1014" t="str">
        <f>"2018-05-21"</f>
        <v>2018-05-21</v>
      </c>
      <c r="I1014" t="s">
        <v>26</v>
      </c>
      <c r="J1014" t="str">
        <f>"2018-05-09"</f>
        <v>2018-05-09</v>
      </c>
      <c r="K1014" t="s">
        <v>27</v>
      </c>
      <c r="L1014">
        <v>2.19422293</v>
      </c>
      <c r="M1014">
        <v>1013</v>
      </c>
      <c r="N1014" s="1">
        <v>0</v>
      </c>
      <c r="O1014" s="1">
        <v>0.1653</v>
      </c>
      <c r="P1014" s="1">
        <v>0</v>
      </c>
      <c r="Q1014" s="1">
        <v>2.0500000000000001E-2</v>
      </c>
      <c r="R1014" s="1">
        <v>5.0799999999999998E-2</v>
      </c>
      <c r="S1014" s="1">
        <v>0.12759999999999999</v>
      </c>
      <c r="T1014" s="1">
        <v>6.5600000000000006E-2</v>
      </c>
      <c r="U1014" s="1">
        <v>-1.9199999999999998E-2</v>
      </c>
    </row>
    <row r="1015" spans="1:21" x14ac:dyDescent="0.25">
      <c r="A1015" t="s">
        <v>2187</v>
      </c>
      <c r="B1015" t="s">
        <v>2188</v>
      </c>
      <c r="C1015" t="s">
        <v>30</v>
      </c>
      <c r="D1015" t="s">
        <v>31</v>
      </c>
      <c r="E1015" t="s">
        <v>31</v>
      </c>
      <c r="F1015" t="str">
        <f t="shared" si="18"/>
        <v>2018-05-20</v>
      </c>
      <c r="G1015">
        <v>31.97</v>
      </c>
      <c r="H1015" t="str">
        <f>"2017-09-27"</f>
        <v>2017-09-27</v>
      </c>
      <c r="I1015" t="s">
        <v>26</v>
      </c>
      <c r="J1015" t="str">
        <f>"2017-08-10"</f>
        <v>2017-08-10</v>
      </c>
      <c r="K1015" t="s">
        <v>40</v>
      </c>
      <c r="L1015">
        <v>2.1938985899999999</v>
      </c>
      <c r="M1015">
        <v>1014</v>
      </c>
      <c r="N1015" s="1">
        <v>3.2300000000000002E-2</v>
      </c>
      <c r="O1015" s="1">
        <v>0.16339999999999999</v>
      </c>
      <c r="P1015" s="1">
        <v>-1.8100000000000002E-2</v>
      </c>
      <c r="Q1015" s="1">
        <v>1.49E-2</v>
      </c>
      <c r="R1015" s="1">
        <v>0.06</v>
      </c>
      <c r="S1015" s="1">
        <v>3.9E-2</v>
      </c>
      <c r="T1015" s="1">
        <v>4.3099999999999999E-2</v>
      </c>
      <c r="U1015" s="1">
        <v>0.1101</v>
      </c>
    </row>
    <row r="1016" spans="1:21" x14ac:dyDescent="0.25">
      <c r="A1016" t="s">
        <v>2189</v>
      </c>
      <c r="B1016" t="s">
        <v>2190</v>
      </c>
      <c r="C1016" t="s">
        <v>100</v>
      </c>
      <c r="D1016" t="s">
        <v>199</v>
      </c>
      <c r="E1016" t="s">
        <v>1131</v>
      </c>
      <c r="F1016" t="str">
        <f t="shared" si="18"/>
        <v>2018-05-20</v>
      </c>
      <c r="G1016">
        <v>120.35</v>
      </c>
      <c r="H1016" t="str">
        <f>"2018-05-10"</f>
        <v>2018-05-10</v>
      </c>
      <c r="I1016" t="s">
        <v>26</v>
      </c>
      <c r="J1016" t="str">
        <f>"2018-02-11"</f>
        <v>2018-02-11</v>
      </c>
      <c r="K1016" t="s">
        <v>40</v>
      </c>
      <c r="L1016">
        <v>2.1938939899999998</v>
      </c>
      <c r="M1016">
        <v>1015</v>
      </c>
      <c r="N1016" s="1">
        <v>2.86E-2</v>
      </c>
      <c r="O1016" s="1">
        <v>0.16339999999999999</v>
      </c>
      <c r="P1016" s="1">
        <v>0</v>
      </c>
      <c r="Q1016" s="1">
        <v>7.1000000000000004E-3</v>
      </c>
      <c r="R1016" s="1">
        <v>4.5600000000000002E-2</v>
      </c>
      <c r="S1016" s="1">
        <v>5.2499999999999998E-2</v>
      </c>
      <c r="T1016" s="1">
        <v>9.6100000000000005E-2</v>
      </c>
      <c r="U1016" s="1">
        <v>0.16619999999999999</v>
      </c>
    </row>
    <row r="1017" spans="1:21" x14ac:dyDescent="0.25">
      <c r="A1017" t="s">
        <v>2191</v>
      </c>
      <c r="B1017" t="s">
        <v>2192</v>
      </c>
      <c r="C1017" t="s">
        <v>100</v>
      </c>
      <c r="D1017" t="s">
        <v>1034</v>
      </c>
      <c r="E1017" t="s">
        <v>1281</v>
      </c>
      <c r="F1017" t="str">
        <f t="shared" si="18"/>
        <v>2018-05-20</v>
      </c>
      <c r="G1017">
        <v>8.36</v>
      </c>
      <c r="H1017" t="str">
        <f>"2018-05-17"</f>
        <v>2018-05-17</v>
      </c>
      <c r="I1017" t="s">
        <v>26</v>
      </c>
      <c r="J1017" t="str">
        <f>"2018-05-07"</f>
        <v>2018-05-07</v>
      </c>
      <c r="K1017" t="s">
        <v>27</v>
      </c>
      <c r="L1017">
        <v>2.1937876699999999</v>
      </c>
      <c r="M1017">
        <v>1016</v>
      </c>
      <c r="N1017" s="1">
        <v>1.21E-2</v>
      </c>
      <c r="O1017" s="1">
        <v>0.16270000000000001</v>
      </c>
      <c r="P1017" s="1">
        <v>-5.11E-2</v>
      </c>
      <c r="Q1017" s="1">
        <v>-2.3999999999999998E-3</v>
      </c>
      <c r="R1017" s="1">
        <v>2.3300000000000001E-2</v>
      </c>
      <c r="S1017" s="1">
        <v>1.21E-2</v>
      </c>
      <c r="T1017" s="1">
        <v>3.0800000000000001E-2</v>
      </c>
      <c r="U1017" s="1">
        <v>-0.13009999999999999</v>
      </c>
    </row>
    <row r="1018" spans="1:21" x14ac:dyDescent="0.25">
      <c r="A1018" t="s">
        <v>2193</v>
      </c>
      <c r="B1018" t="s">
        <v>2194</v>
      </c>
      <c r="C1018" t="s">
        <v>43</v>
      </c>
      <c r="D1018" t="s">
        <v>44</v>
      </c>
      <c r="E1018" t="s">
        <v>599</v>
      </c>
      <c r="F1018" t="str">
        <f t="shared" si="18"/>
        <v>2018-05-20</v>
      </c>
      <c r="G1018">
        <v>15.85</v>
      </c>
      <c r="H1018" t="str">
        <f>"2017-10-31"</f>
        <v>2017-10-31</v>
      </c>
      <c r="I1018" t="s">
        <v>26</v>
      </c>
      <c r="J1018" t="str">
        <f>"2017-09-03"</f>
        <v>2017-09-03</v>
      </c>
      <c r="K1018" t="s">
        <v>27</v>
      </c>
      <c r="L1018">
        <v>2.1935286899999999</v>
      </c>
      <c r="M1018">
        <v>1017</v>
      </c>
      <c r="N1018" s="1">
        <v>-1.55E-2</v>
      </c>
      <c r="O1018" s="1">
        <v>0.16120000000000001</v>
      </c>
      <c r="P1018" s="1">
        <v>-7.85E-2</v>
      </c>
      <c r="Q1018" s="1">
        <v>9.5999999999999992E-3</v>
      </c>
      <c r="R1018" s="1">
        <v>1.2800000000000001E-2</v>
      </c>
      <c r="S1018" s="1">
        <v>2.5899999999999999E-2</v>
      </c>
      <c r="T1018" s="1">
        <v>3.5900000000000001E-2</v>
      </c>
      <c r="U1018" s="1">
        <v>8.9300000000000004E-2</v>
      </c>
    </row>
    <row r="1019" spans="1:21" x14ac:dyDescent="0.25">
      <c r="A1019" t="s">
        <v>2195</v>
      </c>
      <c r="B1019" t="s">
        <v>2196</v>
      </c>
      <c r="C1019" t="s">
        <v>30</v>
      </c>
      <c r="D1019" t="s">
        <v>31</v>
      </c>
      <c r="E1019" t="s">
        <v>31</v>
      </c>
      <c r="F1019" t="str">
        <f t="shared" si="18"/>
        <v>2018-05-20</v>
      </c>
      <c r="G1019">
        <v>45.63</v>
      </c>
      <c r="H1019" t="str">
        <f>"2017-10-09"</f>
        <v>2017-10-09</v>
      </c>
      <c r="I1019" t="s">
        <v>26</v>
      </c>
      <c r="J1019" t="str">
        <f>"2017-09-11"</f>
        <v>2017-09-11</v>
      </c>
      <c r="K1019" t="s">
        <v>27</v>
      </c>
      <c r="L1019">
        <v>2.1934622199999998</v>
      </c>
      <c r="M1019">
        <v>1018</v>
      </c>
      <c r="N1019" s="1">
        <v>-4.24E-2</v>
      </c>
      <c r="O1019" s="1">
        <v>0.1608</v>
      </c>
      <c r="P1019" s="1">
        <v>-8.3599999999999994E-2</v>
      </c>
      <c r="Q1019" s="1">
        <v>1.49E-2</v>
      </c>
      <c r="R1019" s="1">
        <v>3.3099999999999997E-2</v>
      </c>
      <c r="S1019" s="1">
        <v>4.9000000000000002E-2</v>
      </c>
      <c r="T1019" s="1">
        <v>9.98E-2</v>
      </c>
      <c r="U1019" s="1">
        <v>0.14879999999999999</v>
      </c>
    </row>
    <row r="1020" spans="1:21" x14ac:dyDescent="0.25">
      <c r="A1020" t="s">
        <v>2197</v>
      </c>
      <c r="B1020" t="s">
        <v>2198</v>
      </c>
      <c r="C1020" t="s">
        <v>23</v>
      </c>
      <c r="D1020" t="s">
        <v>24</v>
      </c>
      <c r="E1020" t="s">
        <v>494</v>
      </c>
      <c r="F1020" t="str">
        <f t="shared" si="18"/>
        <v>2018-05-20</v>
      </c>
      <c r="G1020">
        <v>60.7</v>
      </c>
      <c r="H1020" t="str">
        <f>"2018-05-17"</f>
        <v>2018-05-17</v>
      </c>
      <c r="I1020" t="s">
        <v>26</v>
      </c>
      <c r="J1020" t="str">
        <f>"2018-03-07"</f>
        <v>2018-03-07</v>
      </c>
      <c r="K1020" t="s">
        <v>27</v>
      </c>
      <c r="L1020">
        <v>2.1934353099999999</v>
      </c>
      <c r="M1020">
        <v>1019</v>
      </c>
      <c r="N1020" s="1">
        <v>-5.0799999999999998E-2</v>
      </c>
      <c r="O1020" s="1">
        <v>0.16059999999999999</v>
      </c>
      <c r="P1020" s="1">
        <v>-6.0400000000000002E-2</v>
      </c>
      <c r="Q1020" s="1">
        <v>9.1000000000000004E-3</v>
      </c>
      <c r="R1020" s="1">
        <v>1.5100000000000001E-2</v>
      </c>
      <c r="S1020" s="1">
        <v>-4.2599999999999999E-2</v>
      </c>
      <c r="T1020" s="1">
        <v>0.1346</v>
      </c>
      <c r="U1020" s="1">
        <v>-0.1628</v>
      </c>
    </row>
    <row r="1021" spans="1:21" x14ac:dyDescent="0.25">
      <c r="A1021" t="s">
        <v>2199</v>
      </c>
      <c r="B1021" t="s">
        <v>2200</v>
      </c>
      <c r="C1021" t="s">
        <v>43</v>
      </c>
      <c r="D1021" t="s">
        <v>150</v>
      </c>
      <c r="E1021" t="s">
        <v>408</v>
      </c>
      <c r="F1021" t="str">
        <f t="shared" si="18"/>
        <v>2018-05-20</v>
      </c>
      <c r="G1021">
        <v>41.81</v>
      </c>
      <c r="H1021" t="str">
        <f>"2018-05-20"</f>
        <v>2018-05-20</v>
      </c>
      <c r="I1021" t="s">
        <v>26</v>
      </c>
      <c r="J1021" t="str">
        <f>"2018-05-09"</f>
        <v>2018-05-09</v>
      </c>
      <c r="K1021" t="s">
        <v>27</v>
      </c>
      <c r="L1021">
        <v>2.19340365</v>
      </c>
      <c r="M1021">
        <v>1020</v>
      </c>
      <c r="N1021" s="1">
        <v>1.9E-2</v>
      </c>
      <c r="O1021" s="1">
        <v>0.16039999999999999</v>
      </c>
      <c r="P1021" s="1">
        <v>0</v>
      </c>
      <c r="Q1021" s="1">
        <v>1.9E-2</v>
      </c>
      <c r="R1021" s="1">
        <v>5.79E-2</v>
      </c>
      <c r="S1021" s="1">
        <v>0.107</v>
      </c>
      <c r="T1021" s="1">
        <v>7.2099999999999997E-2</v>
      </c>
      <c r="U1021" s="1">
        <v>0.1389</v>
      </c>
    </row>
    <row r="1022" spans="1:21" x14ac:dyDescent="0.25">
      <c r="A1022" t="s">
        <v>2201</v>
      </c>
      <c r="B1022" t="s">
        <v>2202</v>
      </c>
      <c r="C1022" t="s">
        <v>30</v>
      </c>
      <c r="D1022" t="s">
        <v>31</v>
      </c>
      <c r="E1022" t="s">
        <v>31</v>
      </c>
      <c r="F1022" t="str">
        <f t="shared" si="18"/>
        <v>2018-05-20</v>
      </c>
      <c r="G1022">
        <v>17</v>
      </c>
      <c r="H1022" t="str">
        <f>"2018-05-06"</f>
        <v>2018-05-06</v>
      </c>
      <c r="I1022" t="s">
        <v>26</v>
      </c>
      <c r="J1022" t="str">
        <f>"2018-04-22"</f>
        <v>2018-04-22</v>
      </c>
      <c r="K1022" t="s">
        <v>27</v>
      </c>
      <c r="L1022">
        <v>2.1934015900000001</v>
      </c>
      <c r="M1022">
        <v>1021</v>
      </c>
      <c r="N1022" s="1">
        <v>4.9399999999999999E-2</v>
      </c>
      <c r="O1022" s="1">
        <v>0.16039999999999999</v>
      </c>
      <c r="P1022" s="1">
        <v>0</v>
      </c>
      <c r="Q1022" s="1">
        <v>1.49E-2</v>
      </c>
      <c r="R1022" s="1">
        <v>2.7199999999999998E-2</v>
      </c>
      <c r="S1022" s="1">
        <v>3.9800000000000002E-2</v>
      </c>
      <c r="T1022" s="1">
        <v>0.1258</v>
      </c>
      <c r="U1022" s="1">
        <v>0.1371</v>
      </c>
    </row>
    <row r="1023" spans="1:21" x14ac:dyDescent="0.25">
      <c r="A1023" t="s">
        <v>2203</v>
      </c>
      <c r="B1023" t="s">
        <v>2204</v>
      </c>
      <c r="C1023" t="s">
        <v>109</v>
      </c>
      <c r="D1023" t="s">
        <v>110</v>
      </c>
      <c r="E1023" t="s">
        <v>111</v>
      </c>
      <c r="F1023" t="str">
        <f t="shared" si="18"/>
        <v>2018-05-20</v>
      </c>
      <c r="G1023">
        <v>24.02</v>
      </c>
      <c r="H1023" t="str">
        <f>"2018-02-25"</f>
        <v>2018-02-25</v>
      </c>
      <c r="I1023" t="s">
        <v>26</v>
      </c>
      <c r="J1023" t="str">
        <f>"2018-02-05"</f>
        <v>2018-02-05</v>
      </c>
      <c r="K1023" t="s">
        <v>40</v>
      </c>
      <c r="L1023">
        <v>2.19330436</v>
      </c>
      <c r="M1023">
        <v>1022</v>
      </c>
      <c r="N1023" s="1">
        <v>-3.5700000000000003E-2</v>
      </c>
      <c r="O1023" s="1">
        <v>0.1598</v>
      </c>
      <c r="P1023" s="1">
        <v>-8.1100000000000005E-2</v>
      </c>
      <c r="Q1023" s="1">
        <v>5.4000000000000003E-3</v>
      </c>
      <c r="R1023" s="1">
        <v>7.0900000000000005E-2</v>
      </c>
      <c r="S1023" s="1">
        <v>-1.6400000000000001E-2</v>
      </c>
      <c r="T1023" s="1">
        <v>-3.3799999999999997E-2</v>
      </c>
      <c r="U1023" s="1">
        <v>5.0299999999999997E-2</v>
      </c>
    </row>
    <row r="1024" spans="1:21" x14ac:dyDescent="0.25">
      <c r="A1024" t="s">
        <v>2205</v>
      </c>
      <c r="B1024" t="s">
        <v>2206</v>
      </c>
      <c r="C1024" t="s">
        <v>30</v>
      </c>
      <c r="D1024" t="s">
        <v>31</v>
      </c>
      <c r="E1024" t="s">
        <v>31</v>
      </c>
      <c r="F1024" t="str">
        <f t="shared" si="18"/>
        <v>2018-05-20</v>
      </c>
      <c r="G1024">
        <v>12.94</v>
      </c>
      <c r="H1024" t="str">
        <f>"2018-01-31"</f>
        <v>2018-01-31</v>
      </c>
      <c r="I1024" t="s">
        <v>26</v>
      </c>
      <c r="J1024" t="str">
        <f>"2017-11-28"</f>
        <v>2017-11-28</v>
      </c>
      <c r="K1024" t="s">
        <v>27</v>
      </c>
      <c r="L1024">
        <v>2.1932497</v>
      </c>
      <c r="M1024">
        <v>1023</v>
      </c>
      <c r="N1024" s="1">
        <v>2.9399999999999999E-2</v>
      </c>
      <c r="O1024" s="1">
        <v>0.1595</v>
      </c>
      <c r="P1024" s="1">
        <v>-2.5600000000000001E-2</v>
      </c>
      <c r="Q1024" s="1">
        <v>1.8100000000000002E-2</v>
      </c>
      <c r="R1024" s="1">
        <v>1.09E-2</v>
      </c>
      <c r="S1024" s="1">
        <v>6.0699999999999997E-2</v>
      </c>
      <c r="T1024" s="1">
        <v>-8.0000000000000004E-4</v>
      </c>
      <c r="U1024" s="1">
        <v>0.1331</v>
      </c>
    </row>
    <row r="1025" spans="1:21" x14ac:dyDescent="0.25">
      <c r="A1025" t="s">
        <v>2207</v>
      </c>
      <c r="B1025" t="s">
        <v>2208</v>
      </c>
      <c r="C1025" t="s">
        <v>30</v>
      </c>
      <c r="D1025" t="s">
        <v>31</v>
      </c>
      <c r="E1025" t="s">
        <v>31</v>
      </c>
      <c r="F1025" t="str">
        <f t="shared" si="18"/>
        <v>2018-05-20</v>
      </c>
      <c r="G1025">
        <v>43.65</v>
      </c>
      <c r="H1025" t="str">
        <f>"2018-04-22"</f>
        <v>2018-04-22</v>
      </c>
      <c r="I1025" t="s">
        <v>26</v>
      </c>
      <c r="J1025" t="str">
        <f>"2018-04-09"</f>
        <v>2018-04-09</v>
      </c>
      <c r="K1025" t="s">
        <v>40</v>
      </c>
      <c r="L1025">
        <v>2.1930732499999999</v>
      </c>
      <c r="M1025">
        <v>1024</v>
      </c>
      <c r="N1025" s="1">
        <v>4.4299999999999999E-2</v>
      </c>
      <c r="O1025" s="1">
        <v>0.15840000000000001</v>
      </c>
      <c r="P1025" s="1">
        <v>-5.8999999999999999E-3</v>
      </c>
      <c r="Q1025" s="1">
        <v>-4.5999999999999999E-3</v>
      </c>
      <c r="R1025" s="1">
        <v>1.6500000000000001E-2</v>
      </c>
      <c r="S1025" s="1">
        <v>4.65E-2</v>
      </c>
      <c r="T1025" s="1">
        <v>0.12239999999999999</v>
      </c>
      <c r="U1025" s="1">
        <v>0.25290000000000001</v>
      </c>
    </row>
    <row r="1026" spans="1:21" x14ac:dyDescent="0.25">
      <c r="A1026" t="s">
        <v>2209</v>
      </c>
      <c r="B1026" t="s">
        <v>2210</v>
      </c>
      <c r="C1026" t="s">
        <v>30</v>
      </c>
      <c r="D1026" t="s">
        <v>31</v>
      </c>
      <c r="E1026" t="s">
        <v>31</v>
      </c>
      <c r="F1026" t="str">
        <f t="shared" si="18"/>
        <v>2018-05-20</v>
      </c>
      <c r="G1026">
        <v>18</v>
      </c>
      <c r="H1026" t="str">
        <f>"2017-09-27"</f>
        <v>2017-09-27</v>
      </c>
      <c r="I1026" t="s">
        <v>26</v>
      </c>
      <c r="J1026" t="str">
        <f>"2017-05-30"</f>
        <v>2017-05-30</v>
      </c>
      <c r="K1026" t="s">
        <v>40</v>
      </c>
      <c r="L1026">
        <v>2.1929260500000001</v>
      </c>
      <c r="M1026">
        <v>1025</v>
      </c>
      <c r="N1026" s="1">
        <v>-5.4999999999999997E-3</v>
      </c>
      <c r="O1026" s="1">
        <v>0.15759999999999999</v>
      </c>
      <c r="P1026" s="1">
        <v>-0.04</v>
      </c>
      <c r="Q1026" s="1">
        <v>8.3999999999999995E-3</v>
      </c>
      <c r="R1026" s="1">
        <v>2.86E-2</v>
      </c>
      <c r="S1026" s="1">
        <v>1.6899999999999998E-2</v>
      </c>
      <c r="T1026" s="1">
        <v>2.5600000000000001E-2</v>
      </c>
      <c r="U1026" s="1">
        <v>0.11799999999999999</v>
      </c>
    </row>
    <row r="1027" spans="1:21" x14ac:dyDescent="0.25">
      <c r="A1027" t="s">
        <v>2211</v>
      </c>
      <c r="B1027" t="s">
        <v>2212</v>
      </c>
      <c r="C1027" t="s">
        <v>30</v>
      </c>
      <c r="D1027" t="s">
        <v>31</v>
      </c>
      <c r="E1027" t="s">
        <v>31</v>
      </c>
      <c r="F1027" t="str">
        <f t="shared" si="18"/>
        <v>2018-05-20</v>
      </c>
      <c r="G1027">
        <v>23.48</v>
      </c>
      <c r="H1027" t="str">
        <f>"2017-07-25"</f>
        <v>2017-07-25</v>
      </c>
      <c r="I1027" t="s">
        <v>26</v>
      </c>
      <c r="J1027" t="str">
        <f>"2017-05-24"</f>
        <v>2017-05-24</v>
      </c>
      <c r="K1027" t="s">
        <v>40</v>
      </c>
      <c r="L1027">
        <v>2.1927750399999999</v>
      </c>
      <c r="M1027">
        <v>1026</v>
      </c>
      <c r="N1027" s="1">
        <v>5.62E-2</v>
      </c>
      <c r="O1027" s="1">
        <v>0.15670000000000001</v>
      </c>
      <c r="P1027" s="1">
        <v>-6.6000000000000003E-2</v>
      </c>
      <c r="Q1027" s="1">
        <v>1.47E-2</v>
      </c>
      <c r="R1027" s="1">
        <v>3.3000000000000002E-2</v>
      </c>
      <c r="S1027" s="1">
        <v>3.9899999999999998E-2</v>
      </c>
      <c r="T1027" s="1">
        <v>-5.1000000000000004E-3</v>
      </c>
      <c r="U1027" s="1">
        <v>0.14699999999999999</v>
      </c>
    </row>
    <row r="1028" spans="1:21" x14ac:dyDescent="0.25">
      <c r="A1028" t="s">
        <v>2213</v>
      </c>
      <c r="B1028" t="s">
        <v>2214</v>
      </c>
      <c r="C1028" t="s">
        <v>37</v>
      </c>
      <c r="D1028" t="s">
        <v>66</v>
      </c>
      <c r="E1028" t="s">
        <v>72</v>
      </c>
      <c r="F1028" t="str">
        <f t="shared" si="18"/>
        <v>2018-05-20</v>
      </c>
      <c r="G1028">
        <v>26.59</v>
      </c>
      <c r="H1028" t="str">
        <f>"2018-04-25"</f>
        <v>2018-04-25</v>
      </c>
      <c r="I1028" t="s">
        <v>26</v>
      </c>
      <c r="J1028" t="str">
        <f>"2018-04-23"</f>
        <v>2018-04-23</v>
      </c>
      <c r="K1028" t="s">
        <v>27</v>
      </c>
      <c r="L1028">
        <v>2.1925974199999998</v>
      </c>
      <c r="M1028">
        <v>1027</v>
      </c>
      <c r="N1028" s="1">
        <v>1.8800000000000001E-2</v>
      </c>
      <c r="O1028" s="1">
        <v>0.15559999999999999</v>
      </c>
      <c r="P1028" s="1">
        <v>-7.7999999999999996E-3</v>
      </c>
      <c r="Q1028" s="1">
        <v>5.3E-3</v>
      </c>
      <c r="R1028" s="1">
        <v>1.72E-2</v>
      </c>
      <c r="S1028" s="1">
        <v>3.3399999999999999E-2</v>
      </c>
      <c r="T1028" s="1">
        <v>9.8299999999999998E-2</v>
      </c>
      <c r="U1028" s="1">
        <v>0.23499999999999999</v>
      </c>
    </row>
    <row r="1029" spans="1:21" x14ac:dyDescent="0.25">
      <c r="A1029" t="s">
        <v>2215</v>
      </c>
      <c r="B1029" t="s">
        <v>2216</v>
      </c>
      <c r="C1029" t="s">
        <v>30</v>
      </c>
      <c r="D1029" t="s">
        <v>31</v>
      </c>
      <c r="E1029" t="s">
        <v>31</v>
      </c>
      <c r="F1029" t="str">
        <f t="shared" si="18"/>
        <v>2018-05-20</v>
      </c>
      <c r="G1029">
        <v>18.489999999999998</v>
      </c>
      <c r="H1029" t="str">
        <f>"2018-01-23"</f>
        <v>2018-01-23</v>
      </c>
      <c r="I1029" t="s">
        <v>26</v>
      </c>
      <c r="J1029" t="str">
        <f>"2017-10-26"</f>
        <v>2017-10-26</v>
      </c>
      <c r="K1029" t="s">
        <v>27</v>
      </c>
      <c r="L1029">
        <v>2.19236371</v>
      </c>
      <c r="M1029">
        <v>1028</v>
      </c>
      <c r="N1029" s="1">
        <v>-2.8899999999999999E-2</v>
      </c>
      <c r="O1029" s="1">
        <v>0.1542</v>
      </c>
      <c r="P1029" s="1">
        <v>-4.2999999999999997E-2</v>
      </c>
      <c r="Q1029" s="1">
        <v>1.04E-2</v>
      </c>
      <c r="R1029" s="1">
        <v>2.4899999999999999E-2</v>
      </c>
      <c r="S1029" s="1">
        <v>5.1200000000000002E-2</v>
      </c>
      <c r="T1029" s="1">
        <v>-1.7000000000000001E-2</v>
      </c>
      <c r="U1029" s="1">
        <v>1.2E-2</v>
      </c>
    </row>
    <row r="1030" spans="1:21" x14ac:dyDescent="0.25">
      <c r="A1030" t="s">
        <v>2217</v>
      </c>
      <c r="B1030" t="s">
        <v>2218</v>
      </c>
      <c r="C1030" t="s">
        <v>30</v>
      </c>
      <c r="D1030" t="s">
        <v>31</v>
      </c>
      <c r="E1030" t="s">
        <v>31</v>
      </c>
      <c r="F1030" t="str">
        <f t="shared" si="18"/>
        <v>2018-05-20</v>
      </c>
      <c r="G1030">
        <v>28.57</v>
      </c>
      <c r="H1030" t="str">
        <f>"2017-11-29"</f>
        <v>2017-11-29</v>
      </c>
      <c r="I1030" t="s">
        <v>26</v>
      </c>
      <c r="J1030" t="str">
        <f>"2017-11-07"</f>
        <v>2017-11-07</v>
      </c>
      <c r="K1030" t="s">
        <v>40</v>
      </c>
      <c r="L1030">
        <v>2.1922352300000001</v>
      </c>
      <c r="M1030">
        <v>1029</v>
      </c>
      <c r="N1030" s="1">
        <v>2.8E-3</v>
      </c>
      <c r="O1030" s="1">
        <v>0.15340000000000001</v>
      </c>
      <c r="P1030" s="1">
        <v>-2.5899999999999999E-2</v>
      </c>
      <c r="Q1030" s="1">
        <v>4.1999999999999997E-3</v>
      </c>
      <c r="R1030" s="1">
        <v>2.7300000000000001E-2</v>
      </c>
      <c r="S1030" s="1">
        <v>1.8E-3</v>
      </c>
      <c r="T1030" s="1">
        <v>5.1499999999999997E-2</v>
      </c>
      <c r="U1030" s="1">
        <v>0.18160000000000001</v>
      </c>
    </row>
    <row r="1031" spans="1:21" x14ac:dyDescent="0.25">
      <c r="A1031" t="s">
        <v>2219</v>
      </c>
      <c r="B1031" t="s">
        <v>2220</v>
      </c>
      <c r="C1031" t="s">
        <v>30</v>
      </c>
      <c r="D1031" t="s">
        <v>299</v>
      </c>
      <c r="E1031" t="s">
        <v>1250</v>
      </c>
      <c r="F1031" t="str">
        <f t="shared" si="18"/>
        <v>2018-05-20</v>
      </c>
      <c r="G1031">
        <v>10.45</v>
      </c>
      <c r="H1031" t="str">
        <f>"2018-04-18"</f>
        <v>2018-04-18</v>
      </c>
      <c r="I1031" t="s">
        <v>26</v>
      </c>
      <c r="J1031" t="str">
        <f>"2018-04-16"</f>
        <v>2018-04-16</v>
      </c>
      <c r="K1031" t="s">
        <v>27</v>
      </c>
      <c r="L1031">
        <v>2.1920249900000002</v>
      </c>
      <c r="M1031">
        <v>1030</v>
      </c>
      <c r="N1031" s="1">
        <v>-1.5100000000000001E-2</v>
      </c>
      <c r="O1031" s="1">
        <v>0.15210000000000001</v>
      </c>
      <c r="P1031" s="1">
        <v>-4.1300000000000003E-2</v>
      </c>
      <c r="Q1031" s="1">
        <v>-1.9E-3</v>
      </c>
      <c r="R1031" s="1">
        <v>-6.7000000000000002E-3</v>
      </c>
      <c r="S1031" s="1">
        <v>6.7000000000000002E-3</v>
      </c>
      <c r="T1031" s="1">
        <v>0.17150000000000001</v>
      </c>
      <c r="U1031" s="1">
        <v>3.1600000000000003E-2</v>
      </c>
    </row>
    <row r="1032" spans="1:21" x14ac:dyDescent="0.25">
      <c r="A1032" t="s">
        <v>2221</v>
      </c>
      <c r="B1032" t="s">
        <v>2222</v>
      </c>
      <c r="C1032" t="s">
        <v>30</v>
      </c>
      <c r="D1032" t="s">
        <v>31</v>
      </c>
      <c r="E1032" t="s">
        <v>31</v>
      </c>
      <c r="F1032" t="str">
        <f t="shared" si="18"/>
        <v>2018-05-20</v>
      </c>
      <c r="G1032">
        <v>25.48</v>
      </c>
      <c r="H1032" t="str">
        <f>"2017-12-05"</f>
        <v>2017-12-05</v>
      </c>
      <c r="I1032" t="s">
        <v>26</v>
      </c>
      <c r="J1032" t="str">
        <f>"2017-09-25"</f>
        <v>2017-09-25</v>
      </c>
      <c r="K1032" t="s">
        <v>40</v>
      </c>
      <c r="L1032">
        <v>2.1919831200000002</v>
      </c>
      <c r="M1032">
        <v>1031</v>
      </c>
      <c r="N1032" s="1">
        <v>7.2400000000000006E-2</v>
      </c>
      <c r="O1032" s="1">
        <v>0.15190000000000001</v>
      </c>
      <c r="P1032" s="1">
        <v>-7.3099999999999998E-2</v>
      </c>
      <c r="Q1032" s="1">
        <v>1.3899999999999999E-2</v>
      </c>
      <c r="R1032" s="1">
        <v>6.5199999999999994E-2</v>
      </c>
      <c r="S1032" s="1">
        <v>9.5399999999999999E-2</v>
      </c>
      <c r="T1032" s="1">
        <v>5.2900000000000003E-2</v>
      </c>
      <c r="U1032" s="1">
        <v>0.15870000000000001</v>
      </c>
    </row>
    <row r="1033" spans="1:21" x14ac:dyDescent="0.25">
      <c r="A1033" t="s">
        <v>2223</v>
      </c>
      <c r="B1033" t="s">
        <v>2224</v>
      </c>
      <c r="C1033" t="s">
        <v>30</v>
      </c>
      <c r="D1033" t="s">
        <v>31</v>
      </c>
      <c r="E1033" t="s">
        <v>31</v>
      </c>
      <c r="F1033" t="str">
        <f t="shared" si="18"/>
        <v>2018-05-20</v>
      </c>
      <c r="G1033">
        <v>90.6</v>
      </c>
      <c r="H1033" t="str">
        <f>"2017-09-27"</f>
        <v>2017-09-27</v>
      </c>
      <c r="I1033" t="s">
        <v>26</v>
      </c>
      <c r="J1033" t="str">
        <f>"2017-07-16"</f>
        <v>2017-07-16</v>
      </c>
      <c r="K1033" t="s">
        <v>40</v>
      </c>
      <c r="L1033">
        <v>2.19186785</v>
      </c>
      <c r="M1033">
        <v>1032</v>
      </c>
      <c r="N1033" s="1">
        <v>1.8499999999999999E-2</v>
      </c>
      <c r="O1033" s="1">
        <v>0.1512</v>
      </c>
      <c r="P1033" s="1">
        <v>-3.4099999999999998E-2</v>
      </c>
      <c r="Q1033" s="1">
        <v>2.1399999999999999E-2</v>
      </c>
      <c r="R1033" s="1">
        <v>3.3099999999999997E-2</v>
      </c>
      <c r="S1033" s="1">
        <v>2.7799999999999998E-2</v>
      </c>
      <c r="T1033" s="1">
        <v>1.5699999999999999E-2</v>
      </c>
      <c r="U1033" s="1">
        <v>8.3099999999999993E-2</v>
      </c>
    </row>
    <row r="1034" spans="1:21" x14ac:dyDescent="0.25">
      <c r="A1034" t="s">
        <v>2225</v>
      </c>
      <c r="B1034" t="s">
        <v>2226</v>
      </c>
      <c r="C1034" t="s">
        <v>23</v>
      </c>
      <c r="D1034" t="s">
        <v>24</v>
      </c>
      <c r="E1034" t="s">
        <v>25</v>
      </c>
      <c r="F1034" t="str">
        <f t="shared" si="18"/>
        <v>2018-05-20</v>
      </c>
      <c r="G1034">
        <v>46.91</v>
      </c>
      <c r="H1034" t="str">
        <f>"2018-05-17"</f>
        <v>2018-05-17</v>
      </c>
      <c r="I1034" t="s">
        <v>26</v>
      </c>
      <c r="J1034" t="str">
        <f>"2018-02-11"</f>
        <v>2018-02-11</v>
      </c>
      <c r="K1034" t="s">
        <v>40</v>
      </c>
      <c r="L1034">
        <v>2.1917198</v>
      </c>
      <c r="M1034">
        <v>1033</v>
      </c>
      <c r="N1034" s="1">
        <v>1.7600000000000001E-2</v>
      </c>
      <c r="O1034" s="1">
        <v>0.15029999999999999</v>
      </c>
      <c r="P1034" s="1">
        <v>0</v>
      </c>
      <c r="Q1034" s="1">
        <v>7.7000000000000002E-3</v>
      </c>
      <c r="R1034" s="1">
        <v>7.9899999999999999E-2</v>
      </c>
      <c r="S1034" s="1">
        <v>8.2400000000000001E-2</v>
      </c>
      <c r="T1034" s="1">
        <v>0.1119</v>
      </c>
      <c r="U1034" s="1">
        <v>0.56259999999999999</v>
      </c>
    </row>
    <row r="1035" spans="1:21" x14ac:dyDescent="0.25">
      <c r="A1035" t="s">
        <v>2227</v>
      </c>
      <c r="B1035" t="s">
        <v>2228</v>
      </c>
      <c r="C1035" t="s">
        <v>30</v>
      </c>
      <c r="D1035" t="s">
        <v>31</v>
      </c>
      <c r="E1035" t="s">
        <v>31</v>
      </c>
      <c r="F1035" t="str">
        <f t="shared" si="18"/>
        <v>2018-05-20</v>
      </c>
      <c r="G1035">
        <v>32.700000000000003</v>
      </c>
      <c r="H1035" t="str">
        <f>"2017-12-07"</f>
        <v>2017-12-07</v>
      </c>
      <c r="I1035" t="s">
        <v>26</v>
      </c>
      <c r="J1035" t="str">
        <f>"2017-11-21"</f>
        <v>2017-11-21</v>
      </c>
      <c r="K1035" t="s">
        <v>27</v>
      </c>
      <c r="L1035">
        <v>2.19156415</v>
      </c>
      <c r="M1035">
        <v>1034</v>
      </c>
      <c r="N1035" s="1">
        <v>-3.0000000000000001E-3</v>
      </c>
      <c r="O1035" s="1">
        <v>0.14940000000000001</v>
      </c>
      <c r="P1035" s="1">
        <v>-2.9700000000000001E-2</v>
      </c>
      <c r="Q1035" s="1">
        <v>9.2999999999999992E-3</v>
      </c>
      <c r="R1035" s="1">
        <v>4.1399999999999999E-2</v>
      </c>
      <c r="S1035" s="1">
        <v>4.6399999999999997E-2</v>
      </c>
      <c r="T1035" s="1">
        <v>4.6399999999999997E-2</v>
      </c>
      <c r="U1035" s="1">
        <v>4.4699999999999997E-2</v>
      </c>
    </row>
    <row r="1036" spans="1:21" x14ac:dyDescent="0.25">
      <c r="A1036" t="s">
        <v>2229</v>
      </c>
      <c r="B1036" t="s">
        <v>2230</v>
      </c>
      <c r="C1036" t="s">
        <v>30</v>
      </c>
      <c r="D1036" t="s">
        <v>31</v>
      </c>
      <c r="E1036" t="s">
        <v>31</v>
      </c>
      <c r="F1036" t="str">
        <f t="shared" si="18"/>
        <v>2018-05-20</v>
      </c>
      <c r="G1036">
        <v>28.33</v>
      </c>
      <c r="H1036" t="str">
        <f>"2017-10-02"</f>
        <v>2017-10-02</v>
      </c>
      <c r="I1036" t="s">
        <v>26</v>
      </c>
      <c r="J1036" t="str">
        <f>"2017-06-21"</f>
        <v>2017-06-21</v>
      </c>
      <c r="K1036" t="s">
        <v>40</v>
      </c>
      <c r="L1036">
        <v>2.1913155099999999</v>
      </c>
      <c r="M1036">
        <v>1035</v>
      </c>
      <c r="N1036" s="1">
        <v>-2.5100000000000001E-2</v>
      </c>
      <c r="O1036" s="1">
        <v>0.1479</v>
      </c>
      <c r="P1036" s="1">
        <v>-6.0100000000000001E-2</v>
      </c>
      <c r="Q1036" s="1">
        <v>1.9400000000000001E-2</v>
      </c>
      <c r="R1036" s="1">
        <v>4.4999999999999998E-2</v>
      </c>
      <c r="S1036" s="1">
        <v>-4.4200000000000003E-2</v>
      </c>
      <c r="T1036" s="1">
        <v>-2.07E-2</v>
      </c>
      <c r="U1036" s="1">
        <v>-1.4E-3</v>
      </c>
    </row>
    <row r="1037" spans="1:21" x14ac:dyDescent="0.25">
      <c r="A1037" t="s">
        <v>2231</v>
      </c>
      <c r="B1037" t="s">
        <v>2232</v>
      </c>
      <c r="C1037" t="s">
        <v>30</v>
      </c>
      <c r="D1037" t="s">
        <v>31</v>
      </c>
      <c r="E1037" t="s">
        <v>31</v>
      </c>
      <c r="F1037" t="str">
        <f t="shared" ref="F1037:F1100" si="19">"2018-05-20"</f>
        <v>2018-05-20</v>
      </c>
      <c r="G1037">
        <v>60.41</v>
      </c>
      <c r="H1037" t="str">
        <f>"2018-03-13"</f>
        <v>2018-03-13</v>
      </c>
      <c r="I1037" t="s">
        <v>26</v>
      </c>
      <c r="J1037" t="str">
        <f>"2018-02-15"</f>
        <v>2018-02-15</v>
      </c>
      <c r="K1037" t="s">
        <v>27</v>
      </c>
      <c r="L1037">
        <v>2.1910499699999999</v>
      </c>
      <c r="M1037">
        <v>1036</v>
      </c>
      <c r="N1037" s="1">
        <v>5.9799999999999999E-2</v>
      </c>
      <c r="O1037" s="1">
        <v>0.14630000000000001</v>
      </c>
      <c r="P1037" s="1">
        <v>-5.7999999999999996E-3</v>
      </c>
      <c r="Q1037" s="1">
        <v>4.7000000000000002E-3</v>
      </c>
      <c r="R1037" s="1">
        <v>1.26E-2</v>
      </c>
      <c r="S1037" s="1">
        <v>0.1062</v>
      </c>
      <c r="T1037" s="1">
        <v>8.8300000000000003E-2</v>
      </c>
      <c r="U1037" s="1">
        <v>0.1072</v>
      </c>
    </row>
    <row r="1038" spans="1:21" x14ac:dyDescent="0.25">
      <c r="A1038" t="s">
        <v>2233</v>
      </c>
      <c r="B1038" t="s">
        <v>2234</v>
      </c>
      <c r="C1038" t="s">
        <v>43</v>
      </c>
      <c r="D1038" t="s">
        <v>150</v>
      </c>
      <c r="E1038" t="s">
        <v>408</v>
      </c>
      <c r="F1038" t="str">
        <f t="shared" si="19"/>
        <v>2018-05-20</v>
      </c>
      <c r="G1038">
        <v>78.099999999999994</v>
      </c>
      <c r="H1038" t="str">
        <f>"2018-05-08"</f>
        <v>2018-05-08</v>
      </c>
      <c r="I1038" t="s">
        <v>26</v>
      </c>
      <c r="J1038" t="str">
        <f>"2018-04-09"</f>
        <v>2018-04-09</v>
      </c>
      <c r="K1038" t="s">
        <v>40</v>
      </c>
      <c r="L1038">
        <v>2.1910002400000002</v>
      </c>
      <c r="M1038">
        <v>1037</v>
      </c>
      <c r="N1038" s="1">
        <v>7.7200000000000005E-2</v>
      </c>
      <c r="O1038" s="1">
        <v>0.14599999999999999</v>
      </c>
      <c r="P1038" s="1">
        <v>0</v>
      </c>
      <c r="Q1038" s="1">
        <v>1.43E-2</v>
      </c>
      <c r="R1038" s="1">
        <v>7.1300000000000002E-2</v>
      </c>
      <c r="S1038" s="1">
        <v>4.9000000000000002E-2</v>
      </c>
      <c r="T1038" s="1">
        <v>0.15359999999999999</v>
      </c>
      <c r="U1038" s="1">
        <v>0.10390000000000001</v>
      </c>
    </row>
    <row r="1039" spans="1:21" x14ac:dyDescent="0.25">
      <c r="A1039" t="s">
        <v>2235</v>
      </c>
      <c r="B1039" t="s">
        <v>2236</v>
      </c>
      <c r="C1039" t="s">
        <v>30</v>
      </c>
      <c r="D1039" t="s">
        <v>48</v>
      </c>
      <c r="E1039" t="s">
        <v>387</v>
      </c>
      <c r="F1039" t="str">
        <f t="shared" si="19"/>
        <v>2018-05-20</v>
      </c>
      <c r="G1039">
        <v>38.549999999999997</v>
      </c>
      <c r="H1039" t="str">
        <f>"2018-03-08"</f>
        <v>2018-03-08</v>
      </c>
      <c r="I1039" t="s">
        <v>26</v>
      </c>
      <c r="J1039" t="str">
        <f>"2018-02-08"</f>
        <v>2018-02-08</v>
      </c>
      <c r="K1039" t="s">
        <v>40</v>
      </c>
      <c r="L1039">
        <v>2.1906528199999999</v>
      </c>
      <c r="M1039">
        <v>1038</v>
      </c>
      <c r="N1039" s="1">
        <v>2.9399999999999999E-2</v>
      </c>
      <c r="O1039" s="1">
        <v>0.1439</v>
      </c>
      <c r="P1039" s="1">
        <v>0</v>
      </c>
      <c r="Q1039" s="1">
        <v>3.8999999999999998E-3</v>
      </c>
      <c r="R1039" s="1">
        <v>4.3299999999999998E-2</v>
      </c>
      <c r="S1039" s="1">
        <v>6.0499999999999998E-2</v>
      </c>
      <c r="T1039" s="1">
        <v>8.1299999999999997E-2</v>
      </c>
      <c r="U1039" s="1">
        <v>0.12720000000000001</v>
      </c>
    </row>
    <row r="1040" spans="1:21" x14ac:dyDescent="0.25">
      <c r="A1040" t="s">
        <v>2237</v>
      </c>
      <c r="B1040" t="s">
        <v>2238</v>
      </c>
      <c r="C1040" t="s">
        <v>30</v>
      </c>
      <c r="D1040" t="s">
        <v>31</v>
      </c>
      <c r="E1040" t="s">
        <v>31</v>
      </c>
      <c r="F1040" t="str">
        <f t="shared" si="19"/>
        <v>2018-05-20</v>
      </c>
      <c r="G1040">
        <v>37.4</v>
      </c>
      <c r="H1040" t="str">
        <f>"2018-05-17"</f>
        <v>2018-05-17</v>
      </c>
      <c r="I1040" t="s">
        <v>26</v>
      </c>
      <c r="J1040" t="str">
        <f>"2018-05-15"</f>
        <v>2018-05-15</v>
      </c>
      <c r="K1040" t="s">
        <v>27</v>
      </c>
      <c r="L1040">
        <v>2.19033079</v>
      </c>
      <c r="M1040">
        <v>1039</v>
      </c>
      <c r="N1040" s="1">
        <v>5.4000000000000003E-3</v>
      </c>
      <c r="O1040" s="1">
        <v>0.14199999999999999</v>
      </c>
      <c r="P1040" s="1">
        <v>0</v>
      </c>
      <c r="Q1040" s="1">
        <v>1.3599999999999999E-2</v>
      </c>
      <c r="R1040" s="1">
        <v>3.1699999999999999E-2</v>
      </c>
      <c r="S1040" s="1">
        <v>0.1525</v>
      </c>
      <c r="T1040" s="1">
        <v>0.1081</v>
      </c>
      <c r="U1040" s="1">
        <v>9.8400000000000001E-2</v>
      </c>
    </row>
    <row r="1041" spans="1:21" x14ac:dyDescent="0.25">
      <c r="A1041" t="s">
        <v>2239</v>
      </c>
      <c r="B1041" t="s">
        <v>2240</v>
      </c>
      <c r="C1041" t="s">
        <v>23</v>
      </c>
      <c r="D1041" t="s">
        <v>173</v>
      </c>
      <c r="E1041" t="s">
        <v>212</v>
      </c>
      <c r="F1041" t="str">
        <f t="shared" si="19"/>
        <v>2018-05-20</v>
      </c>
      <c r="G1041">
        <v>46.45</v>
      </c>
      <c r="H1041" t="str">
        <f>"2018-04-10"</f>
        <v>2018-04-10</v>
      </c>
      <c r="I1041" t="s">
        <v>26</v>
      </c>
      <c r="J1041" t="str">
        <f>"2018-03-25"</f>
        <v>2018-03-25</v>
      </c>
      <c r="K1041" t="s">
        <v>40</v>
      </c>
      <c r="L1041">
        <v>2.1901662200000001</v>
      </c>
      <c r="M1041">
        <v>1040</v>
      </c>
      <c r="N1041" s="1">
        <v>6.7299999999999999E-2</v>
      </c>
      <c r="O1041" s="1">
        <v>0.14099999999999999</v>
      </c>
      <c r="P1041" s="1">
        <v>-3.0700000000000002E-2</v>
      </c>
      <c r="Q1041" s="1">
        <v>2.0000000000000001E-4</v>
      </c>
      <c r="R1041" s="1">
        <v>0.106</v>
      </c>
      <c r="S1041" s="1">
        <v>5.0700000000000002E-2</v>
      </c>
      <c r="T1041" s="1">
        <v>5.9799999999999999E-2</v>
      </c>
      <c r="U1041" s="1">
        <v>0.64190000000000003</v>
      </c>
    </row>
    <row r="1042" spans="1:21" x14ac:dyDescent="0.25">
      <c r="A1042" t="s">
        <v>2241</v>
      </c>
      <c r="B1042" t="s">
        <v>2242</v>
      </c>
      <c r="C1042" t="s">
        <v>37</v>
      </c>
      <c r="D1042" t="s">
        <v>66</v>
      </c>
      <c r="E1042" t="s">
        <v>72</v>
      </c>
      <c r="F1042" t="str">
        <f t="shared" si="19"/>
        <v>2018-05-20</v>
      </c>
      <c r="G1042">
        <v>599.6</v>
      </c>
      <c r="H1042" t="str">
        <f>"2018-04-29"</f>
        <v>2018-04-29</v>
      </c>
      <c r="I1042" t="s">
        <v>26</v>
      </c>
      <c r="J1042" t="str">
        <f>"2018-01-04"</f>
        <v>2018-01-04</v>
      </c>
      <c r="K1042" t="s">
        <v>40</v>
      </c>
      <c r="L1042">
        <v>2.1896988099999999</v>
      </c>
      <c r="M1042">
        <v>1041</v>
      </c>
      <c r="N1042" s="1">
        <v>-4.5100000000000001E-2</v>
      </c>
      <c r="O1042" s="1">
        <v>0.13819999999999999</v>
      </c>
      <c r="P1042" s="1">
        <v>-5.6899999999999999E-2</v>
      </c>
      <c r="Q1042" s="1">
        <v>8.6999999999999994E-3</v>
      </c>
      <c r="R1042" s="1">
        <v>2.4500000000000001E-2</v>
      </c>
      <c r="S1042" s="1">
        <v>-5.5E-2</v>
      </c>
      <c r="T1042" s="1">
        <v>9.0200000000000002E-2</v>
      </c>
      <c r="U1042" s="1">
        <v>0.1187</v>
      </c>
    </row>
    <row r="1043" spans="1:21" x14ac:dyDescent="0.25">
      <c r="A1043" t="s">
        <v>2243</v>
      </c>
      <c r="B1043" t="s">
        <v>2244</v>
      </c>
      <c r="C1043" t="s">
        <v>30</v>
      </c>
      <c r="D1043" t="s">
        <v>299</v>
      </c>
      <c r="E1043" t="s">
        <v>1087</v>
      </c>
      <c r="F1043" t="str">
        <f t="shared" si="19"/>
        <v>2018-05-20</v>
      </c>
      <c r="G1043">
        <v>31.57</v>
      </c>
      <c r="H1043" t="str">
        <f>"2018-05-06"</f>
        <v>2018-05-06</v>
      </c>
      <c r="I1043" t="s">
        <v>26</v>
      </c>
      <c r="J1043" t="str">
        <f>"2018-02-07"</f>
        <v>2018-02-07</v>
      </c>
      <c r="K1043" t="s">
        <v>40</v>
      </c>
      <c r="L1043">
        <v>2.1896096100000002</v>
      </c>
      <c r="M1043">
        <v>1042</v>
      </c>
      <c r="N1043" s="1">
        <v>1.12E-2</v>
      </c>
      <c r="O1043" s="1">
        <v>0.13769999999999999</v>
      </c>
      <c r="P1043" s="1">
        <v>-2.2599999999999999E-2</v>
      </c>
      <c r="Q1043" s="1">
        <v>1.2200000000000001E-2</v>
      </c>
      <c r="R1043" s="1">
        <v>-7.4999999999999997E-3</v>
      </c>
      <c r="S1043" s="1">
        <v>7.7799999999999994E-2</v>
      </c>
      <c r="T1043" s="1">
        <v>9.5799999999999996E-2</v>
      </c>
      <c r="U1043" s="1">
        <v>9.8100000000000007E-2</v>
      </c>
    </row>
    <row r="1044" spans="1:21" x14ac:dyDescent="0.25">
      <c r="A1044" t="s">
        <v>2245</v>
      </c>
      <c r="B1044" t="s">
        <v>2246</v>
      </c>
      <c r="C1044" t="s">
        <v>30</v>
      </c>
      <c r="D1044" t="s">
        <v>31</v>
      </c>
      <c r="E1044" t="s">
        <v>31</v>
      </c>
      <c r="F1044" t="str">
        <f t="shared" si="19"/>
        <v>2018-05-20</v>
      </c>
      <c r="G1044">
        <v>29.45</v>
      </c>
      <c r="H1044" t="str">
        <f>"2017-09-27"</f>
        <v>2017-09-27</v>
      </c>
      <c r="I1044" t="s">
        <v>26</v>
      </c>
      <c r="J1044" t="str">
        <f>"2017-06-06"</f>
        <v>2017-06-06</v>
      </c>
      <c r="K1044" t="s">
        <v>40</v>
      </c>
      <c r="L1044">
        <v>2.1895109399999999</v>
      </c>
      <c r="M1044">
        <v>1043</v>
      </c>
      <c r="N1044" s="1">
        <v>-4.6899999999999997E-2</v>
      </c>
      <c r="O1044" s="1">
        <v>0.1371</v>
      </c>
      <c r="P1044" s="1">
        <v>-9.5200000000000007E-2</v>
      </c>
      <c r="Q1044" s="1">
        <v>2.7900000000000001E-2</v>
      </c>
      <c r="R1044" s="1">
        <v>4.99E-2</v>
      </c>
      <c r="S1044" s="1">
        <v>-5.1499999999999997E-2</v>
      </c>
      <c r="T1044" s="1">
        <v>-6.3600000000000004E-2</v>
      </c>
      <c r="U1044" s="1">
        <v>7.0900000000000005E-2</v>
      </c>
    </row>
    <row r="1045" spans="1:21" x14ac:dyDescent="0.25">
      <c r="A1045" t="s">
        <v>2247</v>
      </c>
      <c r="B1045" t="s">
        <v>2248</v>
      </c>
      <c r="C1045" t="s">
        <v>30</v>
      </c>
      <c r="D1045" t="s">
        <v>31</v>
      </c>
      <c r="E1045" t="s">
        <v>31</v>
      </c>
      <c r="F1045" t="str">
        <f t="shared" si="19"/>
        <v>2018-05-20</v>
      </c>
      <c r="G1045">
        <v>114.8</v>
      </c>
      <c r="H1045" t="str">
        <f>"2018-05-03"</f>
        <v>2018-05-03</v>
      </c>
      <c r="I1045" t="s">
        <v>26</v>
      </c>
      <c r="J1045" t="str">
        <f>"2018-03-25"</f>
        <v>2018-03-25</v>
      </c>
      <c r="K1045" t="s">
        <v>40</v>
      </c>
      <c r="L1045">
        <v>2.1894389400000001</v>
      </c>
      <c r="M1045">
        <v>1044</v>
      </c>
      <c r="N1045" s="1">
        <v>3.7699999999999997E-2</v>
      </c>
      <c r="O1045" s="1">
        <v>0.1366</v>
      </c>
      <c r="P1045" s="1">
        <v>-4.0000000000000002E-4</v>
      </c>
      <c r="Q1045" s="1">
        <v>7.4999999999999997E-3</v>
      </c>
      <c r="R1045" s="1">
        <v>2.8199999999999999E-2</v>
      </c>
      <c r="S1045" s="1">
        <v>4.53E-2</v>
      </c>
      <c r="T1045" s="1">
        <v>9.5100000000000004E-2</v>
      </c>
      <c r="U1045" s="1">
        <v>0.13819999999999999</v>
      </c>
    </row>
    <row r="1046" spans="1:21" x14ac:dyDescent="0.25">
      <c r="A1046" t="s">
        <v>2249</v>
      </c>
      <c r="B1046" t="s">
        <v>2250</v>
      </c>
      <c r="C1046" t="s">
        <v>30</v>
      </c>
      <c r="D1046" t="s">
        <v>31</v>
      </c>
      <c r="E1046" t="s">
        <v>31</v>
      </c>
      <c r="F1046" t="str">
        <f t="shared" si="19"/>
        <v>2018-05-20</v>
      </c>
      <c r="G1046">
        <v>17.14</v>
      </c>
      <c r="H1046" t="str">
        <f>"2017-10-22"</f>
        <v>2017-10-22</v>
      </c>
      <c r="I1046" t="s">
        <v>26</v>
      </c>
      <c r="J1046" t="str">
        <f>"2017-09-19"</f>
        <v>2017-09-19</v>
      </c>
      <c r="K1046" t="s">
        <v>27</v>
      </c>
      <c r="L1046">
        <v>2.1891832199999999</v>
      </c>
      <c r="M1046">
        <v>1045</v>
      </c>
      <c r="N1046" s="1">
        <v>-2.9399999999999999E-2</v>
      </c>
      <c r="O1046" s="1">
        <v>0.1351</v>
      </c>
      <c r="P1046" s="1">
        <v>-2.9399999999999999E-2</v>
      </c>
      <c r="Q1046" s="1">
        <v>1.12E-2</v>
      </c>
      <c r="R1046" s="1">
        <v>3.32E-2</v>
      </c>
      <c r="S1046" s="1">
        <v>1.84E-2</v>
      </c>
      <c r="T1046" s="1">
        <v>0.01</v>
      </c>
      <c r="U1046" s="1">
        <v>0.1217</v>
      </c>
    </row>
    <row r="1047" spans="1:21" x14ac:dyDescent="0.25">
      <c r="A1047" t="s">
        <v>2251</v>
      </c>
      <c r="B1047" t="s">
        <v>2252</v>
      </c>
      <c r="C1047" t="s">
        <v>30</v>
      </c>
      <c r="D1047" t="s">
        <v>31</v>
      </c>
      <c r="E1047" t="s">
        <v>31</v>
      </c>
      <c r="F1047" t="str">
        <f t="shared" si="19"/>
        <v>2018-05-20</v>
      </c>
      <c r="G1047">
        <v>57.65</v>
      </c>
      <c r="H1047" t="str">
        <f>"2018-05-16"</f>
        <v>2018-05-16</v>
      </c>
      <c r="I1047" t="s">
        <v>26</v>
      </c>
      <c r="J1047" t="str">
        <f>"2018-04-11"</f>
        <v>2018-04-11</v>
      </c>
      <c r="K1047" t="s">
        <v>57</v>
      </c>
      <c r="L1047">
        <v>2.1891404200000002</v>
      </c>
      <c r="M1047">
        <v>1046</v>
      </c>
      <c r="N1047" s="1">
        <v>1.4999999999999999E-2</v>
      </c>
      <c r="O1047" s="1">
        <v>0.1348</v>
      </c>
      <c r="P1047" s="1">
        <v>0</v>
      </c>
      <c r="Q1047" s="1">
        <v>1.32E-2</v>
      </c>
      <c r="R1047" s="1">
        <v>4.7199999999999999E-2</v>
      </c>
      <c r="S1047" s="1">
        <v>8.6699999999999999E-2</v>
      </c>
      <c r="T1047" s="1">
        <v>0.14380000000000001</v>
      </c>
      <c r="U1047" s="1">
        <v>0.1706</v>
      </c>
    </row>
    <row r="1048" spans="1:21" x14ac:dyDescent="0.25">
      <c r="A1048" t="s">
        <v>2253</v>
      </c>
      <c r="B1048" t="s">
        <v>2254</v>
      </c>
      <c r="C1048" t="s">
        <v>109</v>
      </c>
      <c r="D1048" t="s">
        <v>110</v>
      </c>
      <c r="E1048" t="s">
        <v>732</v>
      </c>
      <c r="F1048" t="str">
        <f t="shared" si="19"/>
        <v>2018-05-20</v>
      </c>
      <c r="G1048">
        <v>63.1</v>
      </c>
      <c r="H1048" t="str">
        <f>"2018-05-07"</f>
        <v>2018-05-07</v>
      </c>
      <c r="I1048" t="s">
        <v>26</v>
      </c>
      <c r="J1048" t="str">
        <f>"2018-03-29"</f>
        <v>2018-03-29</v>
      </c>
      <c r="K1048" t="s">
        <v>40</v>
      </c>
      <c r="L1048">
        <v>2.1884707300000001</v>
      </c>
      <c r="M1048">
        <v>1047</v>
      </c>
      <c r="N1048" s="1">
        <v>-2.2499999999999999E-2</v>
      </c>
      <c r="O1048" s="1">
        <v>0.1308</v>
      </c>
      <c r="P1048" s="1">
        <v>-2.92E-2</v>
      </c>
      <c r="Q1048" s="1">
        <v>2.3999999999999998E-3</v>
      </c>
      <c r="R1048" s="1">
        <v>8.8000000000000005E-3</v>
      </c>
      <c r="S1048" s="1">
        <v>6.0499999999999998E-2</v>
      </c>
      <c r="T1048" s="1">
        <v>0.108</v>
      </c>
      <c r="U1048" s="1">
        <v>7.0400000000000004E-2</v>
      </c>
    </row>
    <row r="1049" spans="1:21" x14ac:dyDescent="0.25">
      <c r="A1049" t="s">
        <v>2255</v>
      </c>
      <c r="B1049" t="s">
        <v>2256</v>
      </c>
      <c r="C1049" t="s">
        <v>37</v>
      </c>
      <c r="D1049" t="s">
        <v>38</v>
      </c>
      <c r="E1049" t="s">
        <v>39</v>
      </c>
      <c r="F1049" t="str">
        <f t="shared" si="19"/>
        <v>2018-05-20</v>
      </c>
      <c r="G1049">
        <v>181.25</v>
      </c>
      <c r="H1049" t="str">
        <f>"2018-05-13"</f>
        <v>2018-05-13</v>
      </c>
      <c r="I1049" t="s">
        <v>26</v>
      </c>
      <c r="J1049" t="str">
        <f>"2018-04-02"</f>
        <v>2018-04-02</v>
      </c>
      <c r="K1049" t="s">
        <v>40</v>
      </c>
      <c r="L1049">
        <v>2.1882725700000001</v>
      </c>
      <c r="M1049">
        <v>1048</v>
      </c>
      <c r="N1049" s="1">
        <v>-2.76E-2</v>
      </c>
      <c r="O1049" s="1">
        <v>0.12959999999999999</v>
      </c>
      <c r="P1049" s="1">
        <v>-4.2500000000000003E-2</v>
      </c>
      <c r="Q1049" s="1">
        <v>-1.3299999999999999E-2</v>
      </c>
      <c r="R1049" s="1">
        <v>1.9E-3</v>
      </c>
      <c r="S1049" s="1">
        <v>7.7299999999999994E-2</v>
      </c>
      <c r="T1049" s="1">
        <v>-9.8900000000000002E-2</v>
      </c>
      <c r="U1049" s="1">
        <v>1.2958000000000001</v>
      </c>
    </row>
    <row r="1050" spans="1:21" x14ac:dyDescent="0.25">
      <c r="A1050" t="s">
        <v>2257</v>
      </c>
      <c r="B1050" t="s">
        <v>2258</v>
      </c>
      <c r="C1050" t="s">
        <v>43</v>
      </c>
      <c r="D1050" t="s">
        <v>1342</v>
      </c>
      <c r="E1050" t="s">
        <v>1343</v>
      </c>
      <c r="F1050" t="str">
        <f t="shared" si="19"/>
        <v>2018-05-20</v>
      </c>
      <c r="G1050">
        <v>44.95</v>
      </c>
      <c r="H1050" t="str">
        <f>"2018-05-02"</f>
        <v>2018-05-02</v>
      </c>
      <c r="I1050" t="s">
        <v>26</v>
      </c>
      <c r="J1050" t="str">
        <f>"2018-02-14"</f>
        <v>2018-02-14</v>
      </c>
      <c r="K1050" t="s">
        <v>40</v>
      </c>
      <c r="L1050">
        <v>2.18823283</v>
      </c>
      <c r="M1050">
        <v>1049</v>
      </c>
      <c r="N1050" s="1">
        <v>2.63E-2</v>
      </c>
      <c r="O1050" s="1">
        <v>0.12939999999999999</v>
      </c>
      <c r="P1050" s="1">
        <v>0</v>
      </c>
      <c r="Q1050" s="1">
        <v>1.5800000000000002E-2</v>
      </c>
      <c r="R1050" s="1">
        <v>3.4500000000000003E-2</v>
      </c>
      <c r="S1050" s="1">
        <v>2.63E-2</v>
      </c>
      <c r="T1050" s="1">
        <v>8.3099999999999993E-2</v>
      </c>
      <c r="U1050" s="1">
        <v>0.18290000000000001</v>
      </c>
    </row>
    <row r="1051" spans="1:21" x14ac:dyDescent="0.25">
      <c r="A1051" t="s">
        <v>2259</v>
      </c>
      <c r="B1051" t="s">
        <v>2260</v>
      </c>
      <c r="C1051" t="s">
        <v>30</v>
      </c>
      <c r="D1051" t="s">
        <v>31</v>
      </c>
      <c r="E1051" t="s">
        <v>31</v>
      </c>
      <c r="F1051" t="str">
        <f t="shared" si="19"/>
        <v>2018-05-20</v>
      </c>
      <c r="G1051">
        <v>59.11</v>
      </c>
      <c r="H1051" t="str">
        <f>"2018-04-25"</f>
        <v>2018-04-25</v>
      </c>
      <c r="I1051" t="s">
        <v>26</v>
      </c>
      <c r="J1051" t="str">
        <f>"2018-03-13"</f>
        <v>2018-03-13</v>
      </c>
      <c r="K1051" t="s">
        <v>27</v>
      </c>
      <c r="L1051">
        <v>2.18815253</v>
      </c>
      <c r="M1051">
        <v>1050</v>
      </c>
      <c r="N1051" s="1">
        <v>1.15E-2</v>
      </c>
      <c r="O1051" s="1">
        <v>0.12889999999999999</v>
      </c>
      <c r="P1051" s="1">
        <v>0</v>
      </c>
      <c r="Q1051" s="1">
        <v>1.72E-2</v>
      </c>
      <c r="R1051" s="1">
        <v>1.83E-2</v>
      </c>
      <c r="S1051" s="1">
        <v>5.91E-2</v>
      </c>
      <c r="T1051" s="1">
        <v>4.7500000000000001E-2</v>
      </c>
      <c r="U1051" s="1">
        <v>0.1014</v>
      </c>
    </row>
    <row r="1052" spans="1:21" x14ac:dyDescent="0.25">
      <c r="A1052" t="s">
        <v>2261</v>
      </c>
      <c r="B1052" t="s">
        <v>2262</v>
      </c>
      <c r="C1052" t="s">
        <v>30</v>
      </c>
      <c r="D1052" t="s">
        <v>31</v>
      </c>
      <c r="E1052" t="s">
        <v>31</v>
      </c>
      <c r="F1052" t="str">
        <f t="shared" si="19"/>
        <v>2018-05-20</v>
      </c>
      <c r="G1052">
        <v>24.52</v>
      </c>
      <c r="H1052" t="str">
        <f>"2018-01-30"</f>
        <v>2018-01-30</v>
      </c>
      <c r="I1052" t="s">
        <v>26</v>
      </c>
      <c r="J1052" t="str">
        <f>"2018-01-07"</f>
        <v>2018-01-07</v>
      </c>
      <c r="K1052" t="s">
        <v>27</v>
      </c>
      <c r="L1052">
        <v>2.18815224</v>
      </c>
      <c r="M1052">
        <v>1051</v>
      </c>
      <c r="N1052" s="1">
        <v>2.2499999999999999E-2</v>
      </c>
      <c r="O1052" s="1">
        <v>0.12889999999999999</v>
      </c>
      <c r="P1052" s="1">
        <v>-5.7000000000000002E-3</v>
      </c>
      <c r="Q1052" s="1">
        <v>1.95E-2</v>
      </c>
      <c r="R1052" s="1">
        <v>5.96E-2</v>
      </c>
      <c r="S1052" s="1">
        <v>7.8299999999999995E-2</v>
      </c>
      <c r="T1052" s="1">
        <v>3.2000000000000001E-2</v>
      </c>
      <c r="U1052" s="1">
        <v>0.1389</v>
      </c>
    </row>
    <row r="1053" spans="1:21" x14ac:dyDescent="0.25">
      <c r="A1053" t="s">
        <v>2263</v>
      </c>
      <c r="B1053" t="s">
        <v>2264</v>
      </c>
      <c r="C1053" t="s">
        <v>43</v>
      </c>
      <c r="D1053" t="s">
        <v>169</v>
      </c>
      <c r="E1053" t="s">
        <v>904</v>
      </c>
      <c r="F1053" t="str">
        <f t="shared" si="19"/>
        <v>2018-05-20</v>
      </c>
      <c r="G1053">
        <v>19.239999999999998</v>
      </c>
      <c r="H1053" t="str">
        <f>"2018-05-21"</f>
        <v>2018-05-21</v>
      </c>
      <c r="I1053" t="s">
        <v>26</v>
      </c>
      <c r="J1053" t="str">
        <f>"2018-04-12"</f>
        <v>2018-04-12</v>
      </c>
      <c r="K1053" t="s">
        <v>27</v>
      </c>
      <c r="L1053">
        <v>2.18763409</v>
      </c>
      <c r="M1053">
        <v>1052</v>
      </c>
      <c r="N1053" s="1">
        <v>0</v>
      </c>
      <c r="O1053" s="1">
        <v>0.1258</v>
      </c>
      <c r="P1053" s="1">
        <v>-8.2100000000000006E-2</v>
      </c>
      <c r="Q1053" s="1">
        <v>4.6199999999999998E-2</v>
      </c>
      <c r="R1053" s="1">
        <v>-1.9400000000000001E-2</v>
      </c>
      <c r="S1053" s="1">
        <v>-7.85E-2</v>
      </c>
      <c r="T1053" s="1">
        <v>0.16039999999999999</v>
      </c>
      <c r="U1053" s="1">
        <v>-6.8699999999999997E-2</v>
      </c>
    </row>
    <row r="1054" spans="1:21" x14ac:dyDescent="0.25">
      <c r="A1054" t="s">
        <v>2265</v>
      </c>
      <c r="B1054" t="s">
        <v>2266</v>
      </c>
      <c r="C1054" t="s">
        <v>23</v>
      </c>
      <c r="D1054" t="s">
        <v>24</v>
      </c>
      <c r="E1054" t="s">
        <v>747</v>
      </c>
      <c r="F1054" t="str">
        <f t="shared" si="19"/>
        <v>2018-05-20</v>
      </c>
      <c r="G1054">
        <v>39.200000000000003</v>
      </c>
      <c r="H1054" t="str">
        <f>"2018-04-26"</f>
        <v>2018-04-26</v>
      </c>
      <c r="I1054" t="s">
        <v>26</v>
      </c>
      <c r="J1054" t="str">
        <f>"2018-04-05"</f>
        <v>2018-04-05</v>
      </c>
      <c r="K1054" t="s">
        <v>27</v>
      </c>
      <c r="L1054">
        <v>2.18747011</v>
      </c>
      <c r="M1054">
        <v>1053</v>
      </c>
      <c r="N1054" s="1">
        <v>-7.0000000000000007E-2</v>
      </c>
      <c r="O1054" s="1">
        <v>0.12479999999999999</v>
      </c>
      <c r="P1054" s="1">
        <v>-7.6600000000000001E-2</v>
      </c>
      <c r="Q1054" s="1">
        <v>8.9999999999999993E-3</v>
      </c>
      <c r="R1054" s="1">
        <v>5.3800000000000001E-2</v>
      </c>
      <c r="S1054" s="1">
        <v>-8.8000000000000005E-3</v>
      </c>
      <c r="T1054" s="1">
        <v>3.6999999999999998E-2</v>
      </c>
      <c r="U1054" s="1">
        <v>-0.21440000000000001</v>
      </c>
    </row>
    <row r="1055" spans="1:21" x14ac:dyDescent="0.25">
      <c r="A1055" t="s">
        <v>2267</v>
      </c>
      <c r="B1055" t="s">
        <v>2268</v>
      </c>
      <c r="C1055" t="s">
        <v>43</v>
      </c>
      <c r="D1055" t="s">
        <v>44</v>
      </c>
      <c r="E1055" t="s">
        <v>246</v>
      </c>
      <c r="F1055" t="str">
        <f t="shared" si="19"/>
        <v>2018-05-20</v>
      </c>
      <c r="G1055">
        <v>176.7</v>
      </c>
      <c r="H1055" t="str">
        <f>"2018-05-13"</f>
        <v>2018-05-13</v>
      </c>
      <c r="I1055" t="s">
        <v>26</v>
      </c>
      <c r="J1055" t="str">
        <f>"2018-04-09"</f>
        <v>2018-04-09</v>
      </c>
      <c r="K1055" t="s">
        <v>40</v>
      </c>
      <c r="L1055">
        <v>2.1872813999999998</v>
      </c>
      <c r="M1055">
        <v>1054</v>
      </c>
      <c r="N1055" s="1">
        <v>2.29E-2</v>
      </c>
      <c r="O1055" s="1">
        <v>0.1237</v>
      </c>
      <c r="P1055" s="1">
        <v>0</v>
      </c>
      <c r="Q1055" s="1">
        <v>4.3E-3</v>
      </c>
      <c r="R1055" s="1">
        <v>3.1199999999999999E-2</v>
      </c>
      <c r="S1055" s="1">
        <v>9.7900000000000001E-2</v>
      </c>
      <c r="T1055" s="1">
        <v>0.111</v>
      </c>
      <c r="U1055" s="1">
        <v>0.28089999999999998</v>
      </c>
    </row>
    <row r="1056" spans="1:21" x14ac:dyDescent="0.25">
      <c r="A1056" t="s">
        <v>2269</v>
      </c>
      <c r="B1056" t="s">
        <v>2270</v>
      </c>
      <c r="C1056" t="s">
        <v>114</v>
      </c>
      <c r="D1056" t="s">
        <v>809</v>
      </c>
      <c r="E1056" t="s">
        <v>1783</v>
      </c>
      <c r="F1056" t="str">
        <f t="shared" si="19"/>
        <v>2018-05-20</v>
      </c>
      <c r="G1056">
        <v>32.200000000000003</v>
      </c>
      <c r="H1056" t="str">
        <f>"2018-05-21"</f>
        <v>2018-05-21</v>
      </c>
      <c r="I1056" t="s">
        <v>26</v>
      </c>
      <c r="J1056" t="str">
        <f>"2018-02-26"</f>
        <v>2018-02-26</v>
      </c>
      <c r="K1056" t="s">
        <v>40</v>
      </c>
      <c r="L1056">
        <v>2.1866666700000001</v>
      </c>
      <c r="M1056">
        <v>1055</v>
      </c>
      <c r="N1056" s="1">
        <v>0</v>
      </c>
      <c r="O1056" s="1">
        <v>0.12</v>
      </c>
      <c r="P1056" s="1">
        <v>0</v>
      </c>
      <c r="Q1056" s="1">
        <v>2.2200000000000001E-2</v>
      </c>
      <c r="R1056" s="1">
        <v>8.5999999999999993E-2</v>
      </c>
      <c r="S1056" s="1">
        <v>9.5200000000000007E-2</v>
      </c>
      <c r="T1056" s="1">
        <v>1.9E-2</v>
      </c>
      <c r="U1056" s="1">
        <v>0.18820000000000001</v>
      </c>
    </row>
    <row r="1057" spans="1:21" x14ac:dyDescent="0.25">
      <c r="A1057" t="s">
        <v>2271</v>
      </c>
      <c r="B1057" t="s">
        <v>2272</v>
      </c>
      <c r="C1057" t="s">
        <v>43</v>
      </c>
      <c r="D1057" t="s">
        <v>169</v>
      </c>
      <c r="E1057" t="s">
        <v>904</v>
      </c>
      <c r="F1057" t="str">
        <f t="shared" si="19"/>
        <v>2018-05-20</v>
      </c>
      <c r="G1057">
        <v>8.0500000000000007</v>
      </c>
      <c r="H1057" t="str">
        <f>"2018-05-07"</f>
        <v>2018-05-07</v>
      </c>
      <c r="I1057" t="s">
        <v>26</v>
      </c>
      <c r="J1057" t="str">
        <f>"2018-04-17"</f>
        <v>2018-04-17</v>
      </c>
      <c r="K1057" t="s">
        <v>27</v>
      </c>
      <c r="L1057">
        <v>2.1850574699999998</v>
      </c>
      <c r="M1057">
        <v>1056</v>
      </c>
      <c r="N1057" s="1">
        <v>-3.5900000000000001E-2</v>
      </c>
      <c r="O1057" s="1">
        <v>0.1103</v>
      </c>
      <c r="P1057" s="1">
        <v>-6.9400000000000003E-2</v>
      </c>
      <c r="Q1057" s="1">
        <v>1.26E-2</v>
      </c>
      <c r="R1057" s="1">
        <v>-4.1700000000000001E-2</v>
      </c>
      <c r="S1057" s="1">
        <v>-6.1999999999999998E-3</v>
      </c>
      <c r="T1057" s="1">
        <v>6.6199999999999995E-2</v>
      </c>
      <c r="U1057" s="1">
        <v>3.2099999999999997E-2</v>
      </c>
    </row>
    <row r="1058" spans="1:21" x14ac:dyDescent="0.25">
      <c r="A1058" t="s">
        <v>2273</v>
      </c>
      <c r="B1058" t="s">
        <v>2274</v>
      </c>
      <c r="C1058" t="s">
        <v>30</v>
      </c>
      <c r="D1058" t="s">
        <v>347</v>
      </c>
      <c r="E1058" t="s">
        <v>532</v>
      </c>
      <c r="F1058" t="str">
        <f t="shared" si="19"/>
        <v>2018-05-20</v>
      </c>
      <c r="G1058">
        <v>214.95</v>
      </c>
      <c r="H1058" t="str">
        <f>"2018-04-16"</f>
        <v>2018-04-16</v>
      </c>
      <c r="I1058" t="s">
        <v>26</v>
      </c>
      <c r="J1058" t="str">
        <f>"2018-01-03"</f>
        <v>2018-01-03</v>
      </c>
      <c r="K1058" t="s">
        <v>40</v>
      </c>
      <c r="L1058">
        <v>2.18504649</v>
      </c>
      <c r="M1058">
        <v>1057</v>
      </c>
      <c r="N1058" s="1">
        <v>-3.0000000000000001E-3</v>
      </c>
      <c r="O1058" s="1">
        <v>0.1103</v>
      </c>
      <c r="P1058" s="1">
        <v>-6.1999999999999998E-3</v>
      </c>
      <c r="Q1058" s="1">
        <v>1.2999999999999999E-2</v>
      </c>
      <c r="R1058" s="1">
        <v>4.02E-2</v>
      </c>
      <c r="S1058" s="1">
        <v>-5.0000000000000001E-4</v>
      </c>
      <c r="T1058" s="1">
        <v>8.2100000000000006E-2</v>
      </c>
      <c r="U1058" s="1">
        <v>0.15559999999999999</v>
      </c>
    </row>
    <row r="1059" spans="1:21" x14ac:dyDescent="0.25">
      <c r="A1059" t="s">
        <v>2275</v>
      </c>
      <c r="B1059" t="s">
        <v>2276</v>
      </c>
      <c r="C1059" t="s">
        <v>37</v>
      </c>
      <c r="D1059" t="s">
        <v>38</v>
      </c>
      <c r="E1059" t="s">
        <v>97</v>
      </c>
      <c r="F1059" t="str">
        <f t="shared" si="19"/>
        <v>2018-05-20</v>
      </c>
      <c r="G1059">
        <v>19.43</v>
      </c>
      <c r="H1059" t="str">
        <f>"2018-03-11"</f>
        <v>2018-03-11</v>
      </c>
      <c r="I1059" t="s">
        <v>26</v>
      </c>
      <c r="J1059" t="str">
        <f>"2018-03-07"</f>
        <v>2018-03-07</v>
      </c>
      <c r="K1059" t="s">
        <v>40</v>
      </c>
      <c r="L1059">
        <v>2.1845204200000001</v>
      </c>
      <c r="M1059">
        <v>1058</v>
      </c>
      <c r="N1059" s="1">
        <v>4.07E-2</v>
      </c>
      <c r="O1059" s="1">
        <v>0.1071</v>
      </c>
      <c r="P1059" s="1">
        <v>-6.4100000000000004E-2</v>
      </c>
      <c r="Q1059" s="1">
        <v>-3.5700000000000003E-2</v>
      </c>
      <c r="R1059" s="1">
        <v>8.1199999999999994E-2</v>
      </c>
      <c r="S1059" s="1">
        <v>6.4100000000000004E-2</v>
      </c>
      <c r="T1059" s="1">
        <v>-0.1414</v>
      </c>
      <c r="U1059" s="1">
        <v>2.2766000000000002</v>
      </c>
    </row>
    <row r="1060" spans="1:21" x14ac:dyDescent="0.25">
      <c r="A1060" t="s">
        <v>2277</v>
      </c>
      <c r="B1060" t="s">
        <v>2278</v>
      </c>
      <c r="C1060" t="s">
        <v>30</v>
      </c>
      <c r="D1060" t="s">
        <v>31</v>
      </c>
      <c r="E1060" t="s">
        <v>31</v>
      </c>
      <c r="F1060" t="str">
        <f t="shared" si="19"/>
        <v>2018-05-20</v>
      </c>
      <c r="G1060">
        <v>34.32</v>
      </c>
      <c r="H1060" t="str">
        <f>"2017-06-11"</f>
        <v>2017-06-11</v>
      </c>
      <c r="I1060" t="s">
        <v>26</v>
      </c>
      <c r="J1060" t="str">
        <f>"2017-03-14"</f>
        <v>2017-03-14</v>
      </c>
      <c r="K1060" t="s">
        <v>40</v>
      </c>
      <c r="L1060">
        <v>2.1837930999999999</v>
      </c>
      <c r="M1060">
        <v>1059</v>
      </c>
      <c r="N1060" s="1">
        <v>-3.6999999999999998E-2</v>
      </c>
      <c r="O1060" s="1">
        <v>0.1028</v>
      </c>
      <c r="P1060" s="1">
        <v>-7.4899999999999994E-2</v>
      </c>
      <c r="Q1060" s="1">
        <v>1.3599999999999999E-2</v>
      </c>
      <c r="R1060" s="1">
        <v>3.0599999999999999E-2</v>
      </c>
      <c r="S1060" s="1">
        <v>-3.27E-2</v>
      </c>
      <c r="T1060" s="1">
        <v>-5.1999999999999998E-3</v>
      </c>
      <c r="U1060" s="1">
        <v>4.8800000000000003E-2</v>
      </c>
    </row>
    <row r="1061" spans="1:21" x14ac:dyDescent="0.25">
      <c r="A1061" t="s">
        <v>2279</v>
      </c>
      <c r="B1061" t="s">
        <v>2280</v>
      </c>
      <c r="C1061" t="s">
        <v>30</v>
      </c>
      <c r="D1061" t="s">
        <v>31</v>
      </c>
      <c r="E1061" t="s">
        <v>31</v>
      </c>
      <c r="F1061" t="str">
        <f t="shared" si="19"/>
        <v>2018-05-20</v>
      </c>
      <c r="G1061">
        <v>79.39</v>
      </c>
      <c r="H1061" t="str">
        <f>"2018-05-07"</f>
        <v>2018-05-07</v>
      </c>
      <c r="I1061" t="s">
        <v>26</v>
      </c>
      <c r="J1061" t="str">
        <f>"2018-04-08"</f>
        <v>2018-04-08</v>
      </c>
      <c r="K1061" t="s">
        <v>40</v>
      </c>
      <c r="L1061">
        <v>2.1837731499999999</v>
      </c>
      <c r="M1061">
        <v>1060</v>
      </c>
      <c r="N1061" s="1">
        <v>2.3699999999999999E-2</v>
      </c>
      <c r="O1061" s="1">
        <v>0.1026</v>
      </c>
      <c r="P1061" s="1">
        <v>-3.3E-3</v>
      </c>
      <c r="Q1061" s="1">
        <v>9.2999999999999992E-3</v>
      </c>
      <c r="R1061" s="1">
        <v>1.35E-2</v>
      </c>
      <c r="S1061" s="1">
        <v>4.19E-2</v>
      </c>
      <c r="T1061" s="1">
        <v>4.3499999999999997E-2</v>
      </c>
      <c r="U1061" s="1">
        <v>0.1188</v>
      </c>
    </row>
    <row r="1062" spans="1:21" x14ac:dyDescent="0.25">
      <c r="A1062" t="s">
        <v>2281</v>
      </c>
      <c r="B1062" t="s">
        <v>2282</v>
      </c>
      <c r="C1062" t="s">
        <v>30</v>
      </c>
      <c r="D1062" t="s">
        <v>31</v>
      </c>
      <c r="E1062" t="s">
        <v>31</v>
      </c>
      <c r="F1062" t="str">
        <f t="shared" si="19"/>
        <v>2018-05-20</v>
      </c>
      <c r="G1062">
        <v>29.25</v>
      </c>
      <c r="H1062" t="str">
        <f>"2018-02-26"</f>
        <v>2018-02-26</v>
      </c>
      <c r="I1062" t="s">
        <v>26</v>
      </c>
      <c r="J1062" t="str">
        <f>"2018-01-02"</f>
        <v>2018-01-02</v>
      </c>
      <c r="K1062" t="s">
        <v>57</v>
      </c>
      <c r="L1062">
        <v>2.18292683</v>
      </c>
      <c r="M1062">
        <v>1061</v>
      </c>
      <c r="N1062" s="1">
        <v>-0.05</v>
      </c>
      <c r="O1062" s="1">
        <v>9.7600000000000006E-2</v>
      </c>
      <c r="P1062" s="1">
        <v>-8.4500000000000006E-2</v>
      </c>
      <c r="Q1062" s="1">
        <v>5.7999999999999996E-3</v>
      </c>
      <c r="R1062" s="1">
        <v>-4.7999999999999996E-3</v>
      </c>
      <c r="S1062" s="1">
        <v>-2.1399999999999999E-2</v>
      </c>
      <c r="T1062" s="1">
        <v>-0.05</v>
      </c>
      <c r="U1062" s="1">
        <v>2.2700000000000001E-2</v>
      </c>
    </row>
    <row r="1063" spans="1:21" x14ac:dyDescent="0.25">
      <c r="A1063" t="s">
        <v>2283</v>
      </c>
      <c r="B1063" t="s">
        <v>2284</v>
      </c>
      <c r="C1063" t="s">
        <v>30</v>
      </c>
      <c r="D1063" t="s">
        <v>31</v>
      </c>
      <c r="E1063" t="s">
        <v>31</v>
      </c>
      <c r="F1063" t="str">
        <f t="shared" si="19"/>
        <v>2018-05-20</v>
      </c>
      <c r="G1063">
        <v>46.12</v>
      </c>
      <c r="H1063" t="str">
        <f>"2018-05-08"</f>
        <v>2018-05-08</v>
      </c>
      <c r="I1063" t="s">
        <v>26</v>
      </c>
      <c r="J1063" t="str">
        <f>"2018-04-18"</f>
        <v>2018-04-18</v>
      </c>
      <c r="K1063" t="s">
        <v>40</v>
      </c>
      <c r="L1063">
        <v>2.18262453</v>
      </c>
      <c r="M1063">
        <v>1062</v>
      </c>
      <c r="N1063" s="1">
        <v>3.9699999999999999E-2</v>
      </c>
      <c r="O1063" s="1">
        <v>9.5699999999999993E-2</v>
      </c>
      <c r="P1063" s="1">
        <v>0</v>
      </c>
      <c r="Q1063" s="1">
        <v>1.8800000000000001E-2</v>
      </c>
      <c r="R1063" s="1">
        <v>4.53E-2</v>
      </c>
      <c r="S1063" s="1">
        <v>6.1199999999999997E-2</v>
      </c>
      <c r="T1063" s="1">
        <v>7.7299999999999994E-2</v>
      </c>
      <c r="U1063" s="1">
        <v>0.14610000000000001</v>
      </c>
    </row>
    <row r="1064" spans="1:21" x14ac:dyDescent="0.25">
      <c r="A1064" t="s">
        <v>2285</v>
      </c>
      <c r="B1064" t="s">
        <v>2286</v>
      </c>
      <c r="C1064" t="s">
        <v>43</v>
      </c>
      <c r="D1064" t="s">
        <v>1342</v>
      </c>
      <c r="E1064" t="s">
        <v>1343</v>
      </c>
      <c r="F1064" t="str">
        <f t="shared" si="19"/>
        <v>2018-05-20</v>
      </c>
      <c r="G1064">
        <v>32.35</v>
      </c>
      <c r="H1064" t="str">
        <f>"2018-05-21"</f>
        <v>2018-05-21</v>
      </c>
      <c r="I1064" t="s">
        <v>26</v>
      </c>
      <c r="J1064" t="str">
        <f>"2018-04-09"</f>
        <v>2018-04-09</v>
      </c>
      <c r="K1064" t="s">
        <v>57</v>
      </c>
      <c r="L1064">
        <v>2.1815376</v>
      </c>
      <c r="M1064">
        <v>1063</v>
      </c>
      <c r="N1064" s="1">
        <v>0</v>
      </c>
      <c r="O1064" s="1">
        <v>8.9200000000000002E-2</v>
      </c>
      <c r="P1064" s="1">
        <v>0</v>
      </c>
      <c r="Q1064" s="1">
        <v>2.86E-2</v>
      </c>
      <c r="R1064" s="1">
        <v>6.2399999999999997E-2</v>
      </c>
      <c r="S1064" s="1">
        <v>6.1999999999999998E-3</v>
      </c>
      <c r="T1064" s="1">
        <v>0.106</v>
      </c>
      <c r="U1064" s="1">
        <v>4.6899999999999997E-2</v>
      </c>
    </row>
    <row r="1065" spans="1:21" x14ac:dyDescent="0.25">
      <c r="A1065" t="s">
        <v>2287</v>
      </c>
      <c r="B1065" t="s">
        <v>2288</v>
      </c>
      <c r="C1065" t="s">
        <v>30</v>
      </c>
      <c r="D1065" t="s">
        <v>299</v>
      </c>
      <c r="E1065" t="s">
        <v>2289</v>
      </c>
      <c r="F1065" t="str">
        <f t="shared" si="19"/>
        <v>2018-05-20</v>
      </c>
      <c r="G1065">
        <v>50.35</v>
      </c>
      <c r="H1065" t="str">
        <f>"2018-05-09"</f>
        <v>2018-05-09</v>
      </c>
      <c r="I1065" t="s">
        <v>26</v>
      </c>
      <c r="J1065" t="str">
        <f>"2018-03-25"</f>
        <v>2018-03-25</v>
      </c>
      <c r="K1065" t="s">
        <v>40</v>
      </c>
      <c r="L1065">
        <v>2.1804659499999999</v>
      </c>
      <c r="M1065">
        <v>1064</v>
      </c>
      <c r="N1065" s="1">
        <v>-1.0200000000000001E-2</v>
      </c>
      <c r="O1065" s="1">
        <v>8.2799999999999999E-2</v>
      </c>
      <c r="P1065" s="1">
        <v>-1.6400000000000001E-2</v>
      </c>
      <c r="Q1065" s="1">
        <v>1.0999999999999999E-2</v>
      </c>
      <c r="R1065" s="1">
        <v>-5.3E-3</v>
      </c>
      <c r="S1065" s="1">
        <v>5.5100000000000003E-2</v>
      </c>
      <c r="T1065" s="1">
        <v>5.8900000000000001E-2</v>
      </c>
      <c r="U1065" s="1">
        <v>0.1085</v>
      </c>
    </row>
    <row r="1066" spans="1:21" x14ac:dyDescent="0.25">
      <c r="A1066" t="s">
        <v>2290</v>
      </c>
      <c r="B1066" t="s">
        <v>2291</v>
      </c>
      <c r="C1066" t="s">
        <v>43</v>
      </c>
      <c r="D1066" t="s">
        <v>44</v>
      </c>
      <c r="E1066" t="s">
        <v>320</v>
      </c>
      <c r="F1066" t="str">
        <f t="shared" si="19"/>
        <v>2018-05-20</v>
      </c>
      <c r="G1066">
        <v>61.74</v>
      </c>
      <c r="H1066" t="str">
        <f>"2017-11-21"</f>
        <v>2017-11-21</v>
      </c>
      <c r="I1066" t="s">
        <v>26</v>
      </c>
      <c r="J1066" t="str">
        <f>"2017-11-07"</f>
        <v>2017-11-07</v>
      </c>
      <c r="K1066" t="s">
        <v>57</v>
      </c>
      <c r="L1066">
        <v>2.1803537300000002</v>
      </c>
      <c r="M1066">
        <v>1065</v>
      </c>
      <c r="N1066" s="1">
        <v>1.11E-2</v>
      </c>
      <c r="O1066" s="1">
        <v>8.2100000000000006E-2</v>
      </c>
      <c r="P1066" s="1">
        <v>-0.05</v>
      </c>
      <c r="Q1066" s="1">
        <v>9.4999999999999998E-3</v>
      </c>
      <c r="R1066" s="1">
        <v>1.0800000000000001E-2</v>
      </c>
      <c r="S1066" s="1">
        <v>7.0000000000000001E-3</v>
      </c>
      <c r="T1066" s="1">
        <v>3.9399999999999998E-2</v>
      </c>
      <c r="U1066" s="1">
        <v>7.8700000000000006E-2</v>
      </c>
    </row>
    <row r="1067" spans="1:21" x14ac:dyDescent="0.25">
      <c r="A1067" t="s">
        <v>2292</v>
      </c>
      <c r="B1067" t="s">
        <v>2293</v>
      </c>
      <c r="C1067" t="s">
        <v>43</v>
      </c>
      <c r="D1067" t="s">
        <v>44</v>
      </c>
      <c r="E1067" t="s">
        <v>320</v>
      </c>
      <c r="F1067" t="str">
        <f t="shared" si="19"/>
        <v>2018-05-20</v>
      </c>
      <c r="G1067">
        <v>34.22</v>
      </c>
      <c r="H1067" t="str">
        <f>"2018-05-14"</f>
        <v>2018-05-14</v>
      </c>
      <c r="I1067" t="s">
        <v>26</v>
      </c>
      <c r="J1067" t="str">
        <f>"2018-03-11"</f>
        <v>2018-03-11</v>
      </c>
      <c r="K1067" t="s">
        <v>27</v>
      </c>
      <c r="L1067">
        <v>2.1799158799999998</v>
      </c>
      <c r="M1067">
        <v>1066</v>
      </c>
      <c r="N1067" s="1">
        <v>-4.7000000000000002E-3</v>
      </c>
      <c r="O1067" s="1">
        <v>7.9500000000000001E-2</v>
      </c>
      <c r="P1067" s="1">
        <v>-6.9900000000000004E-2</v>
      </c>
      <c r="Q1067" s="1">
        <v>-4.1000000000000003E-3</v>
      </c>
      <c r="R1067" s="1">
        <v>-4.7000000000000002E-3</v>
      </c>
      <c r="S1067" s="1">
        <v>-1.38E-2</v>
      </c>
      <c r="T1067" s="1">
        <v>1.21E-2</v>
      </c>
      <c r="U1067" s="1">
        <v>-0.1208</v>
      </c>
    </row>
    <row r="1068" spans="1:21" x14ac:dyDescent="0.25">
      <c r="A1068" t="s">
        <v>2294</v>
      </c>
      <c r="B1068" t="s">
        <v>2295</v>
      </c>
      <c r="C1068" t="s">
        <v>30</v>
      </c>
      <c r="D1068" t="s">
        <v>31</v>
      </c>
      <c r="E1068" t="s">
        <v>31</v>
      </c>
      <c r="F1068" t="str">
        <f t="shared" si="19"/>
        <v>2018-05-20</v>
      </c>
      <c r="G1068">
        <v>47.19</v>
      </c>
      <c r="H1068" t="str">
        <f>"2018-04-29"</f>
        <v>2018-04-29</v>
      </c>
      <c r="I1068" t="s">
        <v>26</v>
      </c>
      <c r="J1068" t="str">
        <f>"2018-03-25"</f>
        <v>2018-03-25</v>
      </c>
      <c r="K1068" t="s">
        <v>40</v>
      </c>
      <c r="L1068">
        <v>2.1798947800000001</v>
      </c>
      <c r="M1068">
        <v>1067</v>
      </c>
      <c r="N1068" s="1">
        <v>7.9000000000000008E-3</v>
      </c>
      <c r="O1068" s="1">
        <v>7.9399999999999998E-2</v>
      </c>
      <c r="P1068" s="1">
        <v>-1.5800000000000002E-2</v>
      </c>
      <c r="Q1068" s="1">
        <v>6.1999999999999998E-3</v>
      </c>
      <c r="R1068" s="1">
        <v>2.81E-2</v>
      </c>
      <c r="S1068" s="1">
        <v>-8.6E-3</v>
      </c>
      <c r="T1068" s="1">
        <v>0.107</v>
      </c>
      <c r="U1068" s="1">
        <v>0.1663</v>
      </c>
    </row>
    <row r="1069" spans="1:21" x14ac:dyDescent="0.25">
      <c r="A1069" t="s">
        <v>2296</v>
      </c>
      <c r="B1069" t="s">
        <v>2297</v>
      </c>
      <c r="C1069" t="s">
        <v>109</v>
      </c>
      <c r="D1069" t="s">
        <v>110</v>
      </c>
      <c r="E1069" t="s">
        <v>111</v>
      </c>
      <c r="F1069" t="str">
        <f t="shared" si="19"/>
        <v>2018-05-20</v>
      </c>
      <c r="G1069">
        <v>31.75</v>
      </c>
      <c r="H1069" t="str">
        <f>"2018-05-10"</f>
        <v>2018-05-10</v>
      </c>
      <c r="I1069" t="s">
        <v>26</v>
      </c>
      <c r="J1069" t="str">
        <f>"2018-05-03"</f>
        <v>2018-05-03</v>
      </c>
      <c r="K1069" t="s">
        <v>57</v>
      </c>
      <c r="L1069">
        <v>2.1796830800000002</v>
      </c>
      <c r="M1069">
        <v>1068</v>
      </c>
      <c r="N1069" s="1">
        <v>-3.0999999999999999E-3</v>
      </c>
      <c r="O1069" s="1">
        <v>7.8100000000000003E-2</v>
      </c>
      <c r="P1069" s="1">
        <v>-4.7000000000000002E-3</v>
      </c>
      <c r="Q1069" s="1">
        <v>-4.7000000000000002E-3</v>
      </c>
      <c r="R1069" s="1">
        <v>3.2000000000000002E-3</v>
      </c>
      <c r="S1069" s="1">
        <v>5.1299999999999998E-2</v>
      </c>
      <c r="T1069" s="1">
        <v>5.3100000000000001E-2</v>
      </c>
      <c r="U1069" s="1">
        <v>-5.6500000000000002E-2</v>
      </c>
    </row>
    <row r="1070" spans="1:21" x14ac:dyDescent="0.25">
      <c r="A1070" t="s">
        <v>2298</v>
      </c>
      <c r="B1070" t="s">
        <v>2299</v>
      </c>
      <c r="C1070" t="s">
        <v>30</v>
      </c>
      <c r="D1070" t="s">
        <v>31</v>
      </c>
      <c r="E1070" t="s">
        <v>31</v>
      </c>
      <c r="F1070" t="str">
        <f t="shared" si="19"/>
        <v>2018-05-20</v>
      </c>
      <c r="G1070">
        <v>57.12</v>
      </c>
      <c r="H1070" t="str">
        <f>"2018-04-23"</f>
        <v>2018-04-23</v>
      </c>
      <c r="I1070" t="s">
        <v>26</v>
      </c>
      <c r="J1070" t="str">
        <f>"2018-01-02"</f>
        <v>2018-01-02</v>
      </c>
      <c r="K1070" t="s">
        <v>40</v>
      </c>
      <c r="L1070">
        <v>2.1794533500000002</v>
      </c>
      <c r="M1070">
        <v>1069</v>
      </c>
      <c r="N1070" s="1">
        <v>4.1999999999999997E-3</v>
      </c>
      <c r="O1070" s="1">
        <v>7.6700000000000004E-2</v>
      </c>
      <c r="P1070" s="1">
        <v>0</v>
      </c>
      <c r="Q1070" s="1">
        <v>2.1299999999999999E-2</v>
      </c>
      <c r="R1070" s="1">
        <v>3.6999999999999998E-2</v>
      </c>
      <c r="S1070" s="1">
        <v>4.1999999999999997E-3</v>
      </c>
      <c r="T1070" s="1">
        <v>4.4200000000000003E-2</v>
      </c>
      <c r="U1070" s="1">
        <v>0.17849999999999999</v>
      </c>
    </row>
    <row r="1071" spans="1:21" x14ac:dyDescent="0.25">
      <c r="A1071" t="s">
        <v>2300</v>
      </c>
      <c r="B1071" t="s">
        <v>2301</v>
      </c>
      <c r="C1071" t="s">
        <v>30</v>
      </c>
      <c r="D1071" t="s">
        <v>31</v>
      </c>
      <c r="E1071" t="s">
        <v>31</v>
      </c>
      <c r="F1071" t="str">
        <f t="shared" si="19"/>
        <v>2018-05-20</v>
      </c>
      <c r="G1071">
        <v>39.31</v>
      </c>
      <c r="H1071" t="str">
        <f>"2018-05-17"</f>
        <v>2018-05-17</v>
      </c>
      <c r="I1071" t="s">
        <v>26</v>
      </c>
      <c r="J1071" t="str">
        <f>"2018-02-12"</f>
        <v>2018-02-12</v>
      </c>
      <c r="K1071" t="s">
        <v>40</v>
      </c>
      <c r="L1071">
        <v>2.1791051600000002</v>
      </c>
      <c r="M1071">
        <v>1070</v>
      </c>
      <c r="N1071" s="1">
        <v>1.6799999999999999E-2</v>
      </c>
      <c r="O1071" s="1">
        <v>7.46E-2</v>
      </c>
      <c r="P1071" s="1">
        <v>0</v>
      </c>
      <c r="Q1071" s="1">
        <v>1.0800000000000001E-2</v>
      </c>
      <c r="R1071" s="1">
        <v>5.28E-2</v>
      </c>
      <c r="S1071" s="1">
        <v>4.19E-2</v>
      </c>
      <c r="T1071" s="1">
        <v>2.4799999999999999E-2</v>
      </c>
      <c r="U1071" s="1">
        <v>0.1212</v>
      </c>
    </row>
    <row r="1072" spans="1:21" x14ac:dyDescent="0.25">
      <c r="A1072" t="s">
        <v>2302</v>
      </c>
      <c r="B1072" t="s">
        <v>2303</v>
      </c>
      <c r="C1072" t="s">
        <v>23</v>
      </c>
      <c r="D1072" t="s">
        <v>52</v>
      </c>
      <c r="E1072" t="s">
        <v>139</v>
      </c>
      <c r="F1072" t="str">
        <f t="shared" si="19"/>
        <v>2018-05-20</v>
      </c>
      <c r="G1072">
        <v>84.35</v>
      </c>
      <c r="H1072" t="str">
        <f>"2018-05-21"</f>
        <v>2018-05-21</v>
      </c>
      <c r="I1072" t="s">
        <v>26</v>
      </c>
      <c r="J1072" t="str">
        <f>"2018-04-26"</f>
        <v>2018-04-26</v>
      </c>
      <c r="K1072" t="s">
        <v>27</v>
      </c>
      <c r="L1072">
        <v>2.1788592000000002</v>
      </c>
      <c r="M1072">
        <v>1071</v>
      </c>
      <c r="N1072" s="1">
        <v>0</v>
      </c>
      <c r="O1072" s="1">
        <v>7.3200000000000001E-2</v>
      </c>
      <c r="P1072" s="1">
        <v>-7.0499999999999993E-2</v>
      </c>
      <c r="Q1072" s="1">
        <v>1.6299999999999999E-2</v>
      </c>
      <c r="R1072" s="1">
        <v>2.24E-2</v>
      </c>
      <c r="S1072" s="1">
        <v>-5.0099999999999999E-2</v>
      </c>
      <c r="T1072" s="1">
        <v>4.9099999999999998E-2</v>
      </c>
      <c r="U1072" s="1">
        <v>-5.0599999999999999E-2</v>
      </c>
    </row>
    <row r="1073" spans="1:21" x14ac:dyDescent="0.25">
      <c r="A1073" t="s">
        <v>2304</v>
      </c>
      <c r="B1073" t="s">
        <v>2305</v>
      </c>
      <c r="C1073" t="s">
        <v>114</v>
      </c>
      <c r="D1073" t="s">
        <v>809</v>
      </c>
      <c r="E1073" t="s">
        <v>1783</v>
      </c>
      <c r="F1073" t="str">
        <f t="shared" si="19"/>
        <v>2018-05-20</v>
      </c>
      <c r="G1073">
        <v>37.78</v>
      </c>
      <c r="H1073" t="str">
        <f>"2018-02-26"</f>
        <v>2018-02-26</v>
      </c>
      <c r="I1073" t="s">
        <v>26</v>
      </c>
      <c r="J1073" t="str">
        <f>"2018-02-05"</f>
        <v>2018-02-05</v>
      </c>
      <c r="K1073" t="s">
        <v>57</v>
      </c>
      <c r="L1073">
        <v>2.1787302500000001</v>
      </c>
      <c r="M1073">
        <v>1072</v>
      </c>
      <c r="N1073" s="1">
        <v>-4.2299999999999997E-2</v>
      </c>
      <c r="O1073" s="1">
        <v>7.2400000000000006E-2</v>
      </c>
      <c r="P1073" s="1">
        <v>-5.1700000000000003E-2</v>
      </c>
      <c r="Q1073" s="1">
        <v>1.72E-2</v>
      </c>
      <c r="R1073" s="1">
        <v>5.2999999999999999E-2</v>
      </c>
      <c r="S1073" s="1">
        <v>6.8099999999999994E-2</v>
      </c>
      <c r="T1073" s="1">
        <v>-4.2299999999999997E-2</v>
      </c>
      <c r="U1073" s="1">
        <v>-0.1125</v>
      </c>
    </row>
    <row r="1074" spans="1:21" x14ac:dyDescent="0.25">
      <c r="A1074" t="s">
        <v>2306</v>
      </c>
      <c r="B1074" t="s">
        <v>2307</v>
      </c>
      <c r="C1074" t="s">
        <v>30</v>
      </c>
      <c r="D1074" t="s">
        <v>31</v>
      </c>
      <c r="E1074" t="s">
        <v>31</v>
      </c>
      <c r="F1074" t="str">
        <f t="shared" si="19"/>
        <v>2018-05-20</v>
      </c>
      <c r="G1074">
        <v>13.62</v>
      </c>
      <c r="H1074" t="str">
        <f>"2017-10-16"</f>
        <v>2017-10-16</v>
      </c>
      <c r="I1074" t="s">
        <v>26</v>
      </c>
      <c r="J1074" t="str">
        <f>"2017-06-25"</f>
        <v>2017-06-25</v>
      </c>
      <c r="K1074" t="s">
        <v>40</v>
      </c>
      <c r="L1074">
        <v>2.1773437499999999</v>
      </c>
      <c r="M1074">
        <v>1073</v>
      </c>
      <c r="N1074" s="1">
        <v>-8.6999999999999994E-3</v>
      </c>
      <c r="O1074" s="1">
        <v>6.4100000000000004E-2</v>
      </c>
      <c r="P1074" s="1">
        <v>-6.3899999999999998E-2</v>
      </c>
      <c r="Q1074" s="1">
        <v>5.8999999999999999E-3</v>
      </c>
      <c r="R1074" s="1">
        <v>1.34E-2</v>
      </c>
      <c r="S1074" s="1">
        <v>-8.0000000000000002E-3</v>
      </c>
      <c r="T1074" s="1">
        <v>-1.7299999999999999E-2</v>
      </c>
      <c r="U1074" s="1">
        <v>3.2599999999999997E-2</v>
      </c>
    </row>
    <row r="1075" spans="1:21" x14ac:dyDescent="0.25">
      <c r="A1075" t="s">
        <v>2308</v>
      </c>
      <c r="B1075" t="s">
        <v>2309</v>
      </c>
      <c r="C1075" t="s">
        <v>30</v>
      </c>
      <c r="D1075" t="s">
        <v>347</v>
      </c>
      <c r="E1075" t="s">
        <v>523</v>
      </c>
      <c r="F1075" t="str">
        <f t="shared" si="19"/>
        <v>2018-05-20</v>
      </c>
      <c r="G1075">
        <v>23.15</v>
      </c>
      <c r="H1075" t="str">
        <f>"2018-04-05"</f>
        <v>2018-04-05</v>
      </c>
      <c r="I1075" t="s">
        <v>26</v>
      </c>
      <c r="J1075" t="str">
        <f>"2018-02-12"</f>
        <v>2018-02-12</v>
      </c>
      <c r="K1075" t="s">
        <v>57</v>
      </c>
      <c r="L1075">
        <v>2.1753787899999999</v>
      </c>
      <c r="M1075">
        <v>1074</v>
      </c>
      <c r="N1075" s="1">
        <v>-1.7000000000000001E-2</v>
      </c>
      <c r="O1075" s="1">
        <v>5.2299999999999999E-2</v>
      </c>
      <c r="P1075" s="1">
        <v>-2.7300000000000001E-2</v>
      </c>
      <c r="Q1075" s="1">
        <v>-2.2000000000000001E-3</v>
      </c>
      <c r="R1075" s="1">
        <v>1.3100000000000001E-2</v>
      </c>
      <c r="S1075" s="1">
        <v>-1.49E-2</v>
      </c>
      <c r="T1075" s="1">
        <v>6.4999999999999997E-3</v>
      </c>
      <c r="U1075" s="1">
        <v>-4.5400000000000003E-2</v>
      </c>
    </row>
    <row r="1076" spans="1:21" x14ac:dyDescent="0.25">
      <c r="A1076" t="s">
        <v>2310</v>
      </c>
      <c r="B1076" t="s">
        <v>2311</v>
      </c>
      <c r="C1076" t="s">
        <v>518</v>
      </c>
      <c r="D1076" t="s">
        <v>519</v>
      </c>
      <c r="E1076" t="s">
        <v>1639</v>
      </c>
      <c r="F1076" t="str">
        <f t="shared" si="19"/>
        <v>2018-05-20</v>
      </c>
      <c r="G1076">
        <v>88.57</v>
      </c>
      <c r="H1076" t="str">
        <f>"2018-05-03"</f>
        <v>2018-05-03</v>
      </c>
      <c r="I1076" t="s">
        <v>26</v>
      </c>
      <c r="J1076" t="str">
        <f>"2018-04-19"</f>
        <v>2018-04-19</v>
      </c>
      <c r="K1076" t="s">
        <v>27</v>
      </c>
      <c r="L1076">
        <v>2.1737075400000001</v>
      </c>
      <c r="M1076">
        <v>1075</v>
      </c>
      <c r="N1076" s="1">
        <v>-7.1800000000000003E-2</v>
      </c>
      <c r="O1076" s="1">
        <v>4.2200000000000001E-2</v>
      </c>
      <c r="P1076" s="1">
        <v>-7.1800000000000003E-2</v>
      </c>
      <c r="Q1076" s="1">
        <v>7.6E-3</v>
      </c>
      <c r="R1076" s="1">
        <v>-2.1100000000000001E-2</v>
      </c>
      <c r="S1076" s="1">
        <v>-2.1399999999999999E-2</v>
      </c>
      <c r="T1076" s="1">
        <v>5.5500000000000001E-2</v>
      </c>
      <c r="U1076" s="1">
        <v>5.04E-2</v>
      </c>
    </row>
    <row r="1077" spans="1:21" x14ac:dyDescent="0.25">
      <c r="A1077" t="s">
        <v>2312</v>
      </c>
      <c r="B1077" t="s">
        <v>2313</v>
      </c>
      <c r="C1077" t="s">
        <v>30</v>
      </c>
      <c r="D1077" t="s">
        <v>31</v>
      </c>
      <c r="E1077" t="s">
        <v>31</v>
      </c>
      <c r="F1077" t="str">
        <f t="shared" si="19"/>
        <v>2018-05-20</v>
      </c>
      <c r="G1077">
        <v>26</v>
      </c>
      <c r="H1077" t="str">
        <f>"2018-05-21"</f>
        <v>2018-05-21</v>
      </c>
      <c r="I1077" t="s">
        <v>26</v>
      </c>
      <c r="J1077" t="str">
        <f>"2018-05-09"</f>
        <v>2018-05-09</v>
      </c>
      <c r="K1077" t="s">
        <v>57</v>
      </c>
      <c r="L1077">
        <v>2.1719576699999998</v>
      </c>
      <c r="M1077">
        <v>1076</v>
      </c>
      <c r="N1077" s="1">
        <v>0</v>
      </c>
      <c r="O1077" s="1">
        <v>3.1699999999999999E-2</v>
      </c>
      <c r="P1077" s="1">
        <v>0</v>
      </c>
      <c r="Q1077" s="1">
        <v>1.17E-2</v>
      </c>
      <c r="R1077" s="1">
        <v>3.1699999999999999E-2</v>
      </c>
      <c r="S1077" s="1">
        <v>9.7000000000000003E-3</v>
      </c>
      <c r="T1077" s="1">
        <v>1.3599999999999999E-2</v>
      </c>
      <c r="U1077" s="1">
        <v>3.5900000000000001E-2</v>
      </c>
    </row>
    <row r="1078" spans="1:21" x14ac:dyDescent="0.25">
      <c r="A1078" t="s">
        <v>2314</v>
      </c>
      <c r="B1078" t="s">
        <v>2315</v>
      </c>
      <c r="C1078" t="s">
        <v>43</v>
      </c>
      <c r="D1078" t="s">
        <v>150</v>
      </c>
      <c r="E1078" t="s">
        <v>408</v>
      </c>
      <c r="F1078" t="str">
        <f t="shared" si="19"/>
        <v>2018-05-20</v>
      </c>
      <c r="G1078">
        <v>38.619999999999997</v>
      </c>
      <c r="H1078" t="str">
        <f>"2018-02-06"</f>
        <v>2018-02-06</v>
      </c>
      <c r="I1078" t="s">
        <v>26</v>
      </c>
      <c r="J1078" t="str">
        <f>"2018-02-05"</f>
        <v>2018-02-05</v>
      </c>
      <c r="K1078" t="s">
        <v>40</v>
      </c>
      <c r="L1078">
        <v>2.1713246399999999</v>
      </c>
      <c r="M1078">
        <v>1077</v>
      </c>
      <c r="N1078" s="1">
        <v>1.47E-2</v>
      </c>
      <c r="O1078" s="1">
        <v>2.7900000000000001E-2</v>
      </c>
      <c r="P1078" s="1">
        <v>0</v>
      </c>
      <c r="Q1078" s="1">
        <v>3.2099999999999997E-2</v>
      </c>
      <c r="R1078" s="1">
        <v>5.7799999999999997E-2</v>
      </c>
      <c r="S1078" s="1">
        <v>2.3599999999999999E-2</v>
      </c>
      <c r="T1078" s="1">
        <v>5.6099999999999997E-2</v>
      </c>
      <c r="U1078" s="1">
        <v>0.57889999999999997</v>
      </c>
    </row>
    <row r="1079" spans="1:21" x14ac:dyDescent="0.25">
      <c r="A1079" t="s">
        <v>2316</v>
      </c>
      <c r="B1079" t="s">
        <v>2317</v>
      </c>
      <c r="C1079" t="s">
        <v>30</v>
      </c>
      <c r="D1079" t="s">
        <v>77</v>
      </c>
      <c r="E1079" t="s">
        <v>1008</v>
      </c>
      <c r="F1079" t="str">
        <f t="shared" si="19"/>
        <v>2018-05-20</v>
      </c>
      <c r="G1079">
        <v>18</v>
      </c>
      <c r="H1079" t="str">
        <f>"2017-12-13"</f>
        <v>2017-12-13</v>
      </c>
      <c r="I1079" t="s">
        <v>26</v>
      </c>
      <c r="J1079" t="str">
        <f>"2017-09-17"</f>
        <v>2017-09-17</v>
      </c>
      <c r="K1079" t="s">
        <v>40</v>
      </c>
      <c r="L1079">
        <v>2.1699716699999998</v>
      </c>
      <c r="M1079">
        <v>1078</v>
      </c>
      <c r="N1079" s="1">
        <v>-4.5100000000000001E-2</v>
      </c>
      <c r="O1079" s="1">
        <v>1.9800000000000002E-2</v>
      </c>
      <c r="P1079" s="1">
        <v>-8.8599999999999998E-2</v>
      </c>
      <c r="Q1079" s="1">
        <v>2.8E-3</v>
      </c>
      <c r="R1079" s="1">
        <v>2.8E-3</v>
      </c>
      <c r="S1079" s="1">
        <v>0</v>
      </c>
      <c r="T1079" s="1">
        <v>-1.0999999999999999E-2</v>
      </c>
      <c r="U1079" s="1">
        <v>3.4500000000000003E-2</v>
      </c>
    </row>
    <row r="1080" spans="1:21" x14ac:dyDescent="0.25">
      <c r="A1080" t="s">
        <v>2318</v>
      </c>
      <c r="B1080" t="s">
        <v>2319</v>
      </c>
      <c r="C1080" t="s">
        <v>37</v>
      </c>
      <c r="D1080" t="s">
        <v>38</v>
      </c>
      <c r="E1080" t="s">
        <v>39</v>
      </c>
      <c r="F1080" t="str">
        <f t="shared" si="19"/>
        <v>2018-05-20</v>
      </c>
      <c r="G1080">
        <v>16.850000000000001</v>
      </c>
      <c r="H1080" t="str">
        <f>"2018-04-10"</f>
        <v>2018-04-10</v>
      </c>
      <c r="I1080" t="s">
        <v>26</v>
      </c>
      <c r="J1080" t="str">
        <f>"2018-04-08"</f>
        <v>2018-04-08</v>
      </c>
      <c r="K1080" t="s">
        <v>40</v>
      </c>
      <c r="L1080">
        <v>2.1681636700000002</v>
      </c>
      <c r="M1080">
        <v>1079</v>
      </c>
      <c r="N1080" s="1">
        <v>-3.1600000000000003E-2</v>
      </c>
      <c r="O1080" s="1">
        <v>8.9999999999999993E-3</v>
      </c>
      <c r="P1080" s="1">
        <v>-5.8700000000000002E-2</v>
      </c>
      <c r="Q1080" s="1">
        <v>-3.0000000000000001E-3</v>
      </c>
      <c r="R1080" s="1">
        <v>-8.8000000000000005E-3</v>
      </c>
      <c r="S1080" s="1">
        <v>8.0100000000000005E-2</v>
      </c>
      <c r="T1080" s="1">
        <v>-0.25609999999999999</v>
      </c>
      <c r="U1080" s="1">
        <v>0.80210000000000004</v>
      </c>
    </row>
    <row r="1081" spans="1:21" x14ac:dyDescent="0.25">
      <c r="A1081" t="s">
        <v>2320</v>
      </c>
      <c r="B1081" t="s">
        <v>2321</v>
      </c>
      <c r="C1081" t="s">
        <v>23</v>
      </c>
      <c r="D1081" t="s">
        <v>24</v>
      </c>
      <c r="E1081" t="s">
        <v>164</v>
      </c>
      <c r="F1081" t="str">
        <f t="shared" si="19"/>
        <v>2018-05-20</v>
      </c>
      <c r="G1081">
        <v>15.71</v>
      </c>
      <c r="H1081" t="str">
        <f>"2018-01-11"</f>
        <v>2018-01-11</v>
      </c>
      <c r="I1081" t="s">
        <v>26</v>
      </c>
      <c r="J1081" t="str">
        <f>"2017-12-11"</f>
        <v>2017-12-11</v>
      </c>
      <c r="K1081" t="s">
        <v>27</v>
      </c>
      <c r="L1081">
        <v>2.1677343599999999</v>
      </c>
      <c r="M1081">
        <v>1080</v>
      </c>
      <c r="N1081" s="1">
        <v>-6.4299999999999996E-2</v>
      </c>
      <c r="O1081" s="1">
        <v>6.4000000000000003E-3</v>
      </c>
      <c r="P1081" s="1">
        <v>-9.7100000000000006E-2</v>
      </c>
      <c r="Q1081" s="1">
        <v>1.6799999999999999E-2</v>
      </c>
      <c r="R1081" s="1">
        <v>-1.32E-2</v>
      </c>
      <c r="S1081" s="1">
        <v>-2.5399999999999999E-2</v>
      </c>
      <c r="T1081" s="1">
        <v>-8.5599999999999996E-2</v>
      </c>
      <c r="U1081" s="1">
        <v>-1.8700000000000001E-2</v>
      </c>
    </row>
    <row r="1082" spans="1:21" x14ac:dyDescent="0.25">
      <c r="A1082" t="s">
        <v>2322</v>
      </c>
      <c r="B1082" t="s">
        <v>2323</v>
      </c>
      <c r="C1082" t="s">
        <v>30</v>
      </c>
      <c r="D1082" t="s">
        <v>31</v>
      </c>
      <c r="E1082" t="s">
        <v>31</v>
      </c>
      <c r="F1082" t="str">
        <f t="shared" si="19"/>
        <v>2018-05-20</v>
      </c>
      <c r="G1082">
        <v>17.41</v>
      </c>
      <c r="H1082" t="str">
        <f>"2018-05-06"</f>
        <v>2018-05-06</v>
      </c>
      <c r="I1082" t="s">
        <v>26</v>
      </c>
      <c r="J1082" t="str">
        <f>"2018-04-30"</f>
        <v>2018-04-30</v>
      </c>
      <c r="K1082" t="s">
        <v>27</v>
      </c>
      <c r="L1082">
        <v>2.1646802900000002</v>
      </c>
      <c r="M1082">
        <v>1081</v>
      </c>
      <c r="N1082" s="1">
        <v>-5.8400000000000001E-2</v>
      </c>
      <c r="O1082" s="1">
        <v>-1.1900000000000001E-2</v>
      </c>
      <c r="P1082" s="1">
        <v>-5.8900000000000001E-2</v>
      </c>
      <c r="Q1082" s="1">
        <v>-1.3299999999999999E-2</v>
      </c>
      <c r="R1082" s="1">
        <v>-1.47E-2</v>
      </c>
      <c r="S1082" s="1">
        <v>-5.5899999999999998E-2</v>
      </c>
      <c r="T1082" s="1">
        <v>-1.0800000000000001E-2</v>
      </c>
      <c r="U1082" s="1">
        <v>-5.3800000000000001E-2</v>
      </c>
    </row>
    <row r="1083" spans="1:21" x14ac:dyDescent="0.25">
      <c r="A1083" t="s">
        <v>2324</v>
      </c>
      <c r="B1083" t="s">
        <v>2325</v>
      </c>
      <c r="C1083" t="s">
        <v>43</v>
      </c>
      <c r="D1083" t="s">
        <v>44</v>
      </c>
      <c r="E1083" t="s">
        <v>246</v>
      </c>
      <c r="F1083" t="str">
        <f t="shared" si="19"/>
        <v>2018-05-20</v>
      </c>
      <c r="G1083">
        <v>38.299999999999997</v>
      </c>
      <c r="H1083" t="str">
        <f>"2018-01-30"</f>
        <v>2018-01-30</v>
      </c>
      <c r="I1083" t="s">
        <v>26</v>
      </c>
      <c r="J1083" t="str">
        <f>"2016-12-13"</f>
        <v>2016-12-13</v>
      </c>
      <c r="K1083" t="s">
        <v>57</v>
      </c>
      <c r="L1083">
        <v>2.2134894100000002</v>
      </c>
      <c r="M1083">
        <v>1082</v>
      </c>
      <c r="N1083" s="1">
        <v>-6.93E-2</v>
      </c>
      <c r="O1083" s="1">
        <v>0.28089999999999998</v>
      </c>
      <c r="P1083" s="1">
        <v>-0.10199999999999999</v>
      </c>
      <c r="Q1083" s="1">
        <v>0.02</v>
      </c>
      <c r="R1083" s="1">
        <v>3.9300000000000002E-2</v>
      </c>
      <c r="S1083" s="1">
        <v>1.2999999999999999E-3</v>
      </c>
      <c r="T1083" s="1">
        <v>-9.6699999999999994E-2</v>
      </c>
      <c r="U1083" s="1">
        <v>-7.0400000000000004E-2</v>
      </c>
    </row>
    <row r="1084" spans="1:21" x14ac:dyDescent="0.25">
      <c r="A1084" t="s">
        <v>2326</v>
      </c>
      <c r="B1084" t="s">
        <v>2327</v>
      </c>
      <c r="C1084" t="s">
        <v>30</v>
      </c>
      <c r="D1084" t="s">
        <v>299</v>
      </c>
      <c r="E1084" t="s">
        <v>300</v>
      </c>
      <c r="F1084" t="str">
        <f t="shared" si="19"/>
        <v>2018-05-20</v>
      </c>
      <c r="G1084">
        <v>20.85</v>
      </c>
      <c r="H1084" t="str">
        <f>"2017-03-05"</f>
        <v>2017-03-05</v>
      </c>
      <c r="I1084" t="s">
        <v>26</v>
      </c>
      <c r="J1084" t="str">
        <f>"2016-11-17"</f>
        <v>2016-11-17</v>
      </c>
      <c r="K1084" t="s">
        <v>57</v>
      </c>
      <c r="L1084">
        <v>2.2122785600000001</v>
      </c>
      <c r="M1084">
        <v>1083</v>
      </c>
      <c r="N1084" s="1">
        <v>0.19350000000000001</v>
      </c>
      <c r="O1084" s="1">
        <v>0.2737</v>
      </c>
      <c r="P1084" s="1">
        <v>-0.1009</v>
      </c>
      <c r="Q1084" s="1">
        <v>-6.1999999999999998E-3</v>
      </c>
      <c r="R1084" s="1">
        <v>0</v>
      </c>
      <c r="S1084" s="1">
        <v>1.1599999999999999E-2</v>
      </c>
      <c r="T1084" s="1">
        <v>6.8699999999999997E-2</v>
      </c>
      <c r="U1084" s="1">
        <v>7.4200000000000002E-2</v>
      </c>
    </row>
    <row r="1085" spans="1:21" x14ac:dyDescent="0.25">
      <c r="A1085" t="s">
        <v>2328</v>
      </c>
      <c r="B1085" t="s">
        <v>2329</v>
      </c>
      <c r="C1085" t="s">
        <v>43</v>
      </c>
      <c r="D1085" t="s">
        <v>193</v>
      </c>
      <c r="E1085" t="s">
        <v>194</v>
      </c>
      <c r="F1085" t="str">
        <f t="shared" si="19"/>
        <v>2018-05-20</v>
      </c>
      <c r="G1085">
        <v>17.829999999999998</v>
      </c>
      <c r="H1085" t="str">
        <f>"2016-08-10"</f>
        <v>2016-08-10</v>
      </c>
      <c r="I1085" t="s">
        <v>26</v>
      </c>
      <c r="J1085" t="str">
        <f>"2016-08-02"</f>
        <v>2016-08-02</v>
      </c>
      <c r="K1085" t="s">
        <v>27</v>
      </c>
      <c r="L1085">
        <v>2.21195911</v>
      </c>
      <c r="M1085">
        <v>1084</v>
      </c>
      <c r="N1085" s="1">
        <v>0.1474</v>
      </c>
      <c r="O1085" s="1">
        <v>0.27179999999999999</v>
      </c>
      <c r="P1085" s="1">
        <v>-0.17419999999999999</v>
      </c>
      <c r="Q1085" s="1">
        <v>2.8899999999999999E-2</v>
      </c>
      <c r="R1085" s="1">
        <v>5.7500000000000002E-2</v>
      </c>
      <c r="S1085" s="1">
        <v>6.5100000000000005E-2</v>
      </c>
      <c r="T1085" s="1">
        <v>0.15329999999999999</v>
      </c>
      <c r="U1085" s="1">
        <v>0.2072</v>
      </c>
    </row>
    <row r="1086" spans="1:21" x14ac:dyDescent="0.25">
      <c r="A1086" t="s">
        <v>2330</v>
      </c>
      <c r="B1086" t="s">
        <v>2331</v>
      </c>
      <c r="C1086" t="s">
        <v>23</v>
      </c>
      <c r="D1086" t="s">
        <v>173</v>
      </c>
      <c r="E1086" t="s">
        <v>212</v>
      </c>
      <c r="F1086" t="str">
        <f t="shared" si="19"/>
        <v>2018-05-20</v>
      </c>
      <c r="G1086">
        <v>28.64</v>
      </c>
      <c r="H1086" t="str">
        <f>"2017-12-18"</f>
        <v>2017-12-18</v>
      </c>
      <c r="I1086" t="s">
        <v>26</v>
      </c>
      <c r="J1086" t="str">
        <f>"2017-08-24"</f>
        <v>2017-08-24</v>
      </c>
      <c r="K1086" t="s">
        <v>57</v>
      </c>
      <c r="L1086">
        <v>2.2113965200000001</v>
      </c>
      <c r="M1086">
        <v>1085</v>
      </c>
      <c r="N1086" s="1">
        <v>3.6200000000000003E-2</v>
      </c>
      <c r="O1086" s="1">
        <v>0.26840000000000003</v>
      </c>
      <c r="P1086" s="1">
        <v>-0.1144</v>
      </c>
      <c r="Q1086" s="1">
        <v>2.3199999999999998E-2</v>
      </c>
      <c r="R1086" s="1">
        <v>5.2600000000000001E-2</v>
      </c>
      <c r="S1086" s="1">
        <v>0.12089999999999999</v>
      </c>
      <c r="T1086" s="1">
        <v>6.9999999999999999E-4</v>
      </c>
      <c r="U1086" s="1">
        <v>0.10580000000000001</v>
      </c>
    </row>
    <row r="1087" spans="1:21" x14ac:dyDescent="0.25">
      <c r="A1087" t="s">
        <v>2332</v>
      </c>
      <c r="B1087" t="s">
        <v>2333</v>
      </c>
      <c r="C1087" t="s">
        <v>37</v>
      </c>
      <c r="D1087" t="s">
        <v>38</v>
      </c>
      <c r="E1087" t="s">
        <v>97</v>
      </c>
      <c r="F1087" t="str">
        <f t="shared" si="19"/>
        <v>2018-05-20</v>
      </c>
      <c r="G1087">
        <v>16.55</v>
      </c>
      <c r="H1087" t="str">
        <f>"2017-06-20"</f>
        <v>2017-06-20</v>
      </c>
      <c r="I1087" t="s">
        <v>26</v>
      </c>
      <c r="J1087" t="str">
        <f>"2017-01-23"</f>
        <v>2017-01-23</v>
      </c>
      <c r="K1087" t="s">
        <v>40</v>
      </c>
      <c r="L1087">
        <v>2.2113665400000002</v>
      </c>
      <c r="M1087">
        <v>1086</v>
      </c>
      <c r="N1087" s="1">
        <v>8.8800000000000004E-2</v>
      </c>
      <c r="O1087" s="1">
        <v>0.26819999999999999</v>
      </c>
      <c r="P1087" s="1">
        <v>-0.1807</v>
      </c>
      <c r="Q1087" s="1">
        <v>-2.6499999999999999E-2</v>
      </c>
      <c r="R1087" s="1">
        <v>-1.49E-2</v>
      </c>
      <c r="S1087" s="1">
        <v>0.107</v>
      </c>
      <c r="T1087" s="1">
        <v>-0.13800000000000001</v>
      </c>
      <c r="U1087" s="1">
        <v>0.16550000000000001</v>
      </c>
    </row>
    <row r="1088" spans="1:21" x14ac:dyDescent="0.25">
      <c r="A1088" t="s">
        <v>2334</v>
      </c>
      <c r="B1088" t="s">
        <v>2335</v>
      </c>
      <c r="C1088" t="s">
        <v>37</v>
      </c>
      <c r="D1088" t="s">
        <v>66</v>
      </c>
      <c r="E1088" t="s">
        <v>72</v>
      </c>
      <c r="F1088" t="str">
        <f t="shared" si="19"/>
        <v>2018-05-20</v>
      </c>
      <c r="G1088">
        <v>5</v>
      </c>
      <c r="H1088" t="str">
        <f>"2017-11-15"</f>
        <v>2017-11-15</v>
      </c>
      <c r="I1088" t="s">
        <v>26</v>
      </c>
      <c r="J1088" t="str">
        <f>"2017-10-29"</f>
        <v>2017-10-29</v>
      </c>
      <c r="K1088" t="s">
        <v>27</v>
      </c>
      <c r="L1088">
        <v>2.21097046</v>
      </c>
      <c r="M1088">
        <v>1087</v>
      </c>
      <c r="N1088" s="1">
        <v>6.3799999999999996E-2</v>
      </c>
      <c r="O1088" s="1">
        <v>0.26579999999999998</v>
      </c>
      <c r="P1088" s="1">
        <v>-0.1525</v>
      </c>
      <c r="Q1088" s="1">
        <v>0</v>
      </c>
      <c r="R1088" s="1">
        <v>4.1700000000000001E-2</v>
      </c>
      <c r="S1088" s="1">
        <v>-9.9000000000000008E-3</v>
      </c>
      <c r="T1088" s="1">
        <v>-3.85E-2</v>
      </c>
      <c r="U1088" s="1">
        <v>0.2346</v>
      </c>
    </row>
    <row r="1089" spans="1:21" x14ac:dyDescent="0.25">
      <c r="A1089" t="s">
        <v>2336</v>
      </c>
      <c r="B1089" t="s">
        <v>2337</v>
      </c>
      <c r="C1089" t="s">
        <v>43</v>
      </c>
      <c r="D1089" t="s">
        <v>193</v>
      </c>
      <c r="E1089" t="s">
        <v>239</v>
      </c>
      <c r="F1089" t="str">
        <f t="shared" si="19"/>
        <v>2018-05-20</v>
      </c>
      <c r="G1089">
        <v>88.6</v>
      </c>
      <c r="H1089" t="str">
        <f>"2017-02-27"</f>
        <v>2017-02-27</v>
      </c>
      <c r="I1089" t="s">
        <v>26</v>
      </c>
      <c r="J1089" t="str">
        <f>"2017-01-09"</f>
        <v>2017-01-09</v>
      </c>
      <c r="K1089" t="s">
        <v>40</v>
      </c>
      <c r="L1089">
        <v>2.2109523800000002</v>
      </c>
      <c r="M1089">
        <v>1088</v>
      </c>
      <c r="N1089" s="1">
        <v>3.8699999999999998E-2</v>
      </c>
      <c r="O1089" s="1">
        <v>0.26569999999999999</v>
      </c>
      <c r="P1089" s="1">
        <v>-0.3674</v>
      </c>
      <c r="Q1089" s="1">
        <v>-1.2800000000000001E-2</v>
      </c>
      <c r="R1089" s="1">
        <v>8.1100000000000005E-2</v>
      </c>
      <c r="S1089" s="1">
        <v>1.78E-2</v>
      </c>
      <c r="T1089" s="1">
        <v>-0.34370000000000001</v>
      </c>
      <c r="U1089" s="1">
        <v>6.7999999999999996E-3</v>
      </c>
    </row>
    <row r="1090" spans="1:21" x14ac:dyDescent="0.25">
      <c r="A1090" t="s">
        <v>2338</v>
      </c>
      <c r="B1090" t="s">
        <v>2339</v>
      </c>
      <c r="C1090" t="s">
        <v>109</v>
      </c>
      <c r="D1090" t="s">
        <v>156</v>
      </c>
      <c r="E1090" t="s">
        <v>284</v>
      </c>
      <c r="F1090" t="str">
        <f t="shared" si="19"/>
        <v>2018-05-20</v>
      </c>
      <c r="G1090">
        <v>24.71</v>
      </c>
      <c r="H1090" t="str">
        <f>"2018-03-15"</f>
        <v>2018-03-15</v>
      </c>
      <c r="I1090" t="s">
        <v>26</v>
      </c>
      <c r="J1090" t="str">
        <f>"2018-03-08"</f>
        <v>2018-03-08</v>
      </c>
      <c r="K1090" t="s">
        <v>27</v>
      </c>
      <c r="L1090">
        <v>2.2104411499999999</v>
      </c>
      <c r="M1090">
        <v>1089</v>
      </c>
      <c r="N1090" s="1">
        <v>-9.3899999999999997E-2</v>
      </c>
      <c r="O1090" s="1">
        <v>0.2626</v>
      </c>
      <c r="P1090" s="1">
        <v>-0.1011</v>
      </c>
      <c r="Q1090" s="1">
        <v>-2.3300000000000001E-2</v>
      </c>
      <c r="R1090" s="1">
        <v>-1.5900000000000001E-2</v>
      </c>
      <c r="S1090" s="1">
        <v>-6.0100000000000001E-2</v>
      </c>
      <c r="T1090" s="1">
        <v>4.2599999999999999E-2</v>
      </c>
      <c r="U1090" s="1">
        <v>1.1900000000000001E-2</v>
      </c>
    </row>
    <row r="1091" spans="1:21" x14ac:dyDescent="0.25">
      <c r="A1091" t="s">
        <v>2340</v>
      </c>
      <c r="B1091" t="s">
        <v>2341</v>
      </c>
      <c r="C1091" t="s">
        <v>518</v>
      </c>
      <c r="D1091" t="s">
        <v>573</v>
      </c>
      <c r="E1091" t="s">
        <v>574</v>
      </c>
      <c r="F1091" t="str">
        <f t="shared" si="19"/>
        <v>2018-05-20</v>
      </c>
      <c r="G1091">
        <v>12.6</v>
      </c>
      <c r="H1091" t="str">
        <f>"2017-05-02"</f>
        <v>2017-05-02</v>
      </c>
      <c r="I1091" t="s">
        <v>26</v>
      </c>
      <c r="J1091" t="str">
        <f>"2017-04-02"</f>
        <v>2017-04-02</v>
      </c>
      <c r="K1091" t="s">
        <v>27</v>
      </c>
      <c r="L1091">
        <v>2.20895522</v>
      </c>
      <c r="M1091">
        <v>1090</v>
      </c>
      <c r="N1091" s="1">
        <v>6.7799999999999999E-2</v>
      </c>
      <c r="O1091" s="1">
        <v>0.25369999999999998</v>
      </c>
      <c r="P1091" s="1">
        <v>-0.14860000000000001</v>
      </c>
      <c r="Q1091" s="1">
        <v>-1.18E-2</v>
      </c>
      <c r="R1091" s="1">
        <v>-3.4500000000000003E-2</v>
      </c>
      <c r="S1091" s="1">
        <v>-0.10639999999999999</v>
      </c>
      <c r="T1091" s="1">
        <v>-3.8199999999999998E-2</v>
      </c>
      <c r="U1091" s="1">
        <v>8.1500000000000003E-2</v>
      </c>
    </row>
    <row r="1092" spans="1:21" x14ac:dyDescent="0.25">
      <c r="A1092" t="s">
        <v>2342</v>
      </c>
      <c r="B1092" t="s">
        <v>2343</v>
      </c>
      <c r="C1092" t="s">
        <v>43</v>
      </c>
      <c r="D1092" t="s">
        <v>193</v>
      </c>
      <c r="E1092" t="s">
        <v>194</v>
      </c>
      <c r="F1092" t="str">
        <f t="shared" si="19"/>
        <v>2018-05-20</v>
      </c>
      <c r="G1092">
        <v>59.3</v>
      </c>
      <c r="H1092" t="str">
        <f>"2017-08-01"</f>
        <v>2017-08-01</v>
      </c>
      <c r="I1092" t="s">
        <v>26</v>
      </c>
      <c r="J1092" t="str">
        <f>"2017-07-27"</f>
        <v>2017-07-27</v>
      </c>
      <c r="K1092" t="s">
        <v>57</v>
      </c>
      <c r="L1092">
        <v>2.2086411899999998</v>
      </c>
      <c r="M1092">
        <v>1091</v>
      </c>
      <c r="N1092" s="1">
        <v>8.8700000000000001E-2</v>
      </c>
      <c r="O1092" s="1">
        <v>0.25180000000000002</v>
      </c>
      <c r="P1092" s="1">
        <v>-0.12590000000000001</v>
      </c>
      <c r="Q1092" s="1">
        <v>-2E-3</v>
      </c>
      <c r="R1092" s="1">
        <v>3.5099999999999999E-2</v>
      </c>
      <c r="S1092" s="1">
        <v>7.51E-2</v>
      </c>
      <c r="T1092" s="1">
        <v>-2.47E-2</v>
      </c>
      <c r="U1092" s="1">
        <v>0.28160000000000002</v>
      </c>
    </row>
    <row r="1093" spans="1:21" x14ac:dyDescent="0.25">
      <c r="A1093" t="s">
        <v>2344</v>
      </c>
      <c r="B1093" t="s">
        <v>2345</v>
      </c>
      <c r="C1093" t="s">
        <v>37</v>
      </c>
      <c r="D1093" t="s">
        <v>66</v>
      </c>
      <c r="E1093" t="s">
        <v>72</v>
      </c>
      <c r="F1093" t="str">
        <f t="shared" si="19"/>
        <v>2018-05-20</v>
      </c>
      <c r="G1093">
        <v>83.7</v>
      </c>
      <c r="H1093" t="str">
        <f>"2017-10-05"</f>
        <v>2017-10-05</v>
      </c>
      <c r="I1093" t="s">
        <v>26</v>
      </c>
      <c r="J1093" t="str">
        <f>"2017-09-13"</f>
        <v>2017-09-13</v>
      </c>
      <c r="K1093" t="s">
        <v>27</v>
      </c>
      <c r="L1093">
        <v>2.2068198699999999</v>
      </c>
      <c r="M1093">
        <v>1092</v>
      </c>
      <c r="N1093" s="1">
        <v>-3.0000000000000001E-3</v>
      </c>
      <c r="O1093" s="1">
        <v>0.2409</v>
      </c>
      <c r="P1093" s="1">
        <v>-0.12859999999999999</v>
      </c>
      <c r="Q1093" s="1">
        <v>-5.9999999999999995E-4</v>
      </c>
      <c r="R1093" s="1">
        <v>5.9999999999999995E-4</v>
      </c>
      <c r="S1093" s="1">
        <v>5.4000000000000003E-3</v>
      </c>
      <c r="T1093" s="1">
        <v>-2.5000000000000001E-2</v>
      </c>
      <c r="U1093" s="1">
        <v>0.1545</v>
      </c>
    </row>
    <row r="1094" spans="1:21" x14ac:dyDescent="0.25">
      <c r="A1094" t="s">
        <v>2346</v>
      </c>
      <c r="B1094" t="s">
        <v>2347</v>
      </c>
      <c r="C1094" t="s">
        <v>30</v>
      </c>
      <c r="D1094" t="s">
        <v>48</v>
      </c>
      <c r="E1094" t="s">
        <v>387</v>
      </c>
      <c r="F1094" t="str">
        <f t="shared" si="19"/>
        <v>2018-05-20</v>
      </c>
      <c r="G1094">
        <v>32.950000000000003</v>
      </c>
      <c r="H1094" t="str">
        <f>"2017-06-25"</f>
        <v>2017-06-25</v>
      </c>
      <c r="I1094" t="s">
        <v>26</v>
      </c>
      <c r="J1094" t="str">
        <f>"2017-03-07"</f>
        <v>2017-03-07</v>
      </c>
      <c r="K1094" t="s">
        <v>40</v>
      </c>
      <c r="L1094">
        <v>2.2062210499999999</v>
      </c>
      <c r="M1094">
        <v>1093</v>
      </c>
      <c r="N1094" s="1">
        <v>0.1076</v>
      </c>
      <c r="O1094" s="1">
        <v>0.23730000000000001</v>
      </c>
      <c r="P1094" s="1">
        <v>-0.2031</v>
      </c>
      <c r="Q1094" s="1">
        <v>7.6E-3</v>
      </c>
      <c r="R1094" s="1">
        <v>-3.0000000000000001E-3</v>
      </c>
      <c r="S1094" s="1">
        <v>9.1999999999999998E-3</v>
      </c>
      <c r="T1094" s="1">
        <v>-5.1799999999999999E-2</v>
      </c>
      <c r="U1094" s="1">
        <v>0.18099999999999999</v>
      </c>
    </row>
    <row r="1095" spans="1:21" x14ac:dyDescent="0.25">
      <c r="A1095" t="s">
        <v>2348</v>
      </c>
      <c r="B1095" t="s">
        <v>2349</v>
      </c>
      <c r="C1095" t="s">
        <v>23</v>
      </c>
      <c r="D1095" t="s">
        <v>173</v>
      </c>
      <c r="E1095" t="s">
        <v>212</v>
      </c>
      <c r="F1095" t="str">
        <f t="shared" si="19"/>
        <v>2018-05-20</v>
      </c>
      <c r="G1095">
        <v>4.6500000000000004</v>
      </c>
      <c r="H1095" t="str">
        <f>"2018-01-22"</f>
        <v>2018-01-22</v>
      </c>
      <c r="I1095" t="s">
        <v>26</v>
      </c>
      <c r="J1095" t="str">
        <f>"2017-11-30"</f>
        <v>2017-11-30</v>
      </c>
      <c r="K1095" t="s">
        <v>27</v>
      </c>
      <c r="L1095">
        <v>2.2039473699999999</v>
      </c>
      <c r="M1095">
        <v>1094</v>
      </c>
      <c r="N1095" s="1">
        <v>-6.0600000000000001E-2</v>
      </c>
      <c r="O1095" s="1">
        <v>0.22370000000000001</v>
      </c>
      <c r="P1095" s="1">
        <v>-0.1226</v>
      </c>
      <c r="Q1095" s="1">
        <v>1.09E-2</v>
      </c>
      <c r="R1095" s="1">
        <v>-1.06E-2</v>
      </c>
      <c r="S1095" s="1">
        <v>-6.0600000000000001E-2</v>
      </c>
      <c r="T1095" s="1">
        <v>-0.1226</v>
      </c>
      <c r="U1095" s="1">
        <v>0.22370000000000001</v>
      </c>
    </row>
    <row r="1096" spans="1:21" x14ac:dyDescent="0.25">
      <c r="A1096" t="s">
        <v>2350</v>
      </c>
      <c r="B1096" t="s">
        <v>2351</v>
      </c>
      <c r="C1096" t="s">
        <v>30</v>
      </c>
      <c r="D1096" t="s">
        <v>31</v>
      </c>
      <c r="E1096" t="s">
        <v>31</v>
      </c>
      <c r="F1096" t="str">
        <f t="shared" si="19"/>
        <v>2018-05-20</v>
      </c>
      <c r="G1096">
        <v>57.78</v>
      </c>
      <c r="H1096" t="str">
        <f>"2016-08-23"</f>
        <v>2016-08-23</v>
      </c>
      <c r="I1096" t="s">
        <v>26</v>
      </c>
      <c r="J1096" t="str">
        <f>"2016-08-10"</f>
        <v>2016-08-10</v>
      </c>
      <c r="K1096" t="s">
        <v>40</v>
      </c>
      <c r="L1096">
        <v>2.2037664000000001</v>
      </c>
      <c r="M1096">
        <v>1095</v>
      </c>
      <c r="N1096" s="1">
        <v>0.18640000000000001</v>
      </c>
      <c r="O1096" s="1">
        <v>0.22259999999999999</v>
      </c>
      <c r="P1096" s="1">
        <v>-0.1157</v>
      </c>
      <c r="Q1096" s="1">
        <v>8.8999999999999999E-3</v>
      </c>
      <c r="R1096" s="1">
        <v>2.3400000000000001E-2</v>
      </c>
      <c r="S1096" s="1">
        <v>8.6E-3</v>
      </c>
      <c r="T1096" s="1">
        <v>-3.5900000000000001E-2</v>
      </c>
      <c r="U1096" s="1">
        <v>9.5799999999999996E-2</v>
      </c>
    </row>
    <row r="1097" spans="1:21" x14ac:dyDescent="0.25">
      <c r="A1097" t="s">
        <v>2352</v>
      </c>
      <c r="B1097" t="s">
        <v>2353</v>
      </c>
      <c r="C1097" t="s">
        <v>43</v>
      </c>
      <c r="D1097" t="s">
        <v>44</v>
      </c>
      <c r="E1097" t="s">
        <v>246</v>
      </c>
      <c r="F1097" t="str">
        <f t="shared" si="19"/>
        <v>2018-05-20</v>
      </c>
      <c r="G1097">
        <v>18.75</v>
      </c>
      <c r="H1097" t="str">
        <f>"2017-05-07"</f>
        <v>2017-05-07</v>
      </c>
      <c r="I1097" t="s">
        <v>26</v>
      </c>
      <c r="J1097" t="str">
        <f>"2017-03-21"</f>
        <v>2017-03-21</v>
      </c>
      <c r="K1097" t="s">
        <v>57</v>
      </c>
      <c r="L1097">
        <v>2.2035830600000001</v>
      </c>
      <c r="M1097">
        <v>1096</v>
      </c>
      <c r="N1097" s="1">
        <v>7.1400000000000005E-2</v>
      </c>
      <c r="O1097" s="1">
        <v>0.2215</v>
      </c>
      <c r="P1097" s="1">
        <v>-0.11559999999999999</v>
      </c>
      <c r="Q1097" s="1">
        <v>0</v>
      </c>
      <c r="R1097" s="1">
        <v>3.5900000000000001E-2</v>
      </c>
      <c r="S1097" s="1">
        <v>-8.5400000000000004E-2</v>
      </c>
      <c r="T1097" s="1">
        <v>-8.3099999999999993E-2</v>
      </c>
      <c r="U1097" s="1">
        <v>0.14330000000000001</v>
      </c>
    </row>
    <row r="1098" spans="1:21" x14ac:dyDescent="0.25">
      <c r="A1098" t="s">
        <v>2354</v>
      </c>
      <c r="B1098" t="s">
        <v>2355</v>
      </c>
      <c r="C1098" t="s">
        <v>37</v>
      </c>
      <c r="D1098" t="s">
        <v>38</v>
      </c>
      <c r="E1098" t="s">
        <v>39</v>
      </c>
      <c r="F1098" t="str">
        <f t="shared" si="19"/>
        <v>2018-05-20</v>
      </c>
      <c r="G1098">
        <v>21.95</v>
      </c>
      <c r="H1098" t="str">
        <f>"2017-12-11"</f>
        <v>2017-12-11</v>
      </c>
      <c r="I1098" t="s">
        <v>26</v>
      </c>
      <c r="J1098" t="str">
        <f>"2017-11-20"</f>
        <v>2017-11-20</v>
      </c>
      <c r="K1098" t="s">
        <v>27</v>
      </c>
      <c r="L1098">
        <v>2.20324074</v>
      </c>
      <c r="M1098">
        <v>1097</v>
      </c>
      <c r="N1098" s="1">
        <v>-0.23649999999999999</v>
      </c>
      <c r="O1098" s="1">
        <v>0.21940000000000001</v>
      </c>
      <c r="P1098" s="1">
        <v>-0.26829999999999998</v>
      </c>
      <c r="Q1098" s="1">
        <v>1.6199999999999999E-2</v>
      </c>
      <c r="R1098" s="1">
        <v>9.7500000000000003E-2</v>
      </c>
      <c r="S1098" s="1">
        <v>-0.1095</v>
      </c>
      <c r="T1098" s="1">
        <v>-0.17169999999999999</v>
      </c>
      <c r="U1098" s="1">
        <v>-0.2271</v>
      </c>
    </row>
    <row r="1099" spans="1:21" x14ac:dyDescent="0.25">
      <c r="A1099" t="s">
        <v>2356</v>
      </c>
      <c r="B1099" t="s">
        <v>2357</v>
      </c>
      <c r="C1099" t="s">
        <v>30</v>
      </c>
      <c r="D1099" t="s">
        <v>31</v>
      </c>
      <c r="E1099" t="s">
        <v>31</v>
      </c>
      <c r="F1099" t="str">
        <f t="shared" si="19"/>
        <v>2018-05-20</v>
      </c>
      <c r="G1099">
        <v>19.45</v>
      </c>
      <c r="H1099" t="str">
        <f>"2017-09-11"</f>
        <v>2017-09-11</v>
      </c>
      <c r="I1099" t="s">
        <v>26</v>
      </c>
      <c r="J1099" t="str">
        <f>"2017-05-17"</f>
        <v>2017-05-17</v>
      </c>
      <c r="K1099" t="s">
        <v>40</v>
      </c>
      <c r="L1099">
        <v>2.2019730000000002</v>
      </c>
      <c r="M1099">
        <v>1098</v>
      </c>
      <c r="N1099" s="1">
        <v>8.0600000000000005E-2</v>
      </c>
      <c r="O1099" s="1">
        <v>0.21179999999999999</v>
      </c>
      <c r="P1099" s="1">
        <v>-0.1016</v>
      </c>
      <c r="Q1099" s="1">
        <v>1.04E-2</v>
      </c>
      <c r="R1099" s="1">
        <v>1.83E-2</v>
      </c>
      <c r="S1099" s="1">
        <v>-3.7100000000000001E-2</v>
      </c>
      <c r="T1099" s="1">
        <v>-6.2700000000000006E-2</v>
      </c>
      <c r="U1099" s="1">
        <v>0.17519999999999999</v>
      </c>
    </row>
    <row r="1100" spans="1:21" x14ac:dyDescent="0.25">
      <c r="A1100" t="s">
        <v>2358</v>
      </c>
      <c r="B1100" t="s">
        <v>2359</v>
      </c>
      <c r="C1100" t="s">
        <v>43</v>
      </c>
      <c r="D1100" t="s">
        <v>150</v>
      </c>
      <c r="E1100" t="s">
        <v>151</v>
      </c>
      <c r="F1100" t="str">
        <f t="shared" si="19"/>
        <v>2018-05-20</v>
      </c>
      <c r="G1100">
        <v>40.44</v>
      </c>
      <c r="H1100" t="str">
        <f>"2017-10-12"</f>
        <v>2017-10-12</v>
      </c>
      <c r="I1100" t="s">
        <v>26</v>
      </c>
      <c r="J1100" t="str">
        <f>"2017-08-16"</f>
        <v>2017-08-16</v>
      </c>
      <c r="K1100" t="s">
        <v>40</v>
      </c>
      <c r="L1100">
        <v>2.20179641</v>
      </c>
      <c r="M1100">
        <v>1099</v>
      </c>
      <c r="N1100" s="1">
        <v>-3.1600000000000003E-2</v>
      </c>
      <c r="O1100" s="1">
        <v>0.21079999999999999</v>
      </c>
      <c r="P1100" s="1">
        <v>-0.22109999999999999</v>
      </c>
      <c r="Q1100" s="1">
        <v>2.0199999999999999E-2</v>
      </c>
      <c r="R1100" s="1">
        <v>3.8300000000000001E-2</v>
      </c>
      <c r="S1100" s="1">
        <v>3.6900000000000002E-2</v>
      </c>
      <c r="T1100" s="1">
        <v>-8.3599999999999994E-2</v>
      </c>
      <c r="U1100" s="1">
        <v>4.4400000000000002E-2</v>
      </c>
    </row>
    <row r="1101" spans="1:21" x14ac:dyDescent="0.25">
      <c r="A1101" t="s">
        <v>2360</v>
      </c>
      <c r="B1101" t="s">
        <v>2361</v>
      </c>
      <c r="C1101" t="s">
        <v>23</v>
      </c>
      <c r="D1101" t="s">
        <v>173</v>
      </c>
      <c r="E1101" t="s">
        <v>1429</v>
      </c>
      <c r="F1101" t="str">
        <f t="shared" ref="F1101:F1164" si="20">"2018-05-20"</f>
        <v>2018-05-20</v>
      </c>
      <c r="G1101">
        <v>19.899999999999999</v>
      </c>
      <c r="H1101" t="str">
        <f>"2018-02-06"</f>
        <v>2018-02-06</v>
      </c>
      <c r="I1101" t="s">
        <v>26</v>
      </c>
      <c r="J1101" t="str">
        <f>"2017-11-02"</f>
        <v>2017-11-02</v>
      </c>
      <c r="K1101" t="s">
        <v>57</v>
      </c>
      <c r="L1101">
        <v>2.2016210699999998</v>
      </c>
      <c r="M1101">
        <v>1100</v>
      </c>
      <c r="N1101" s="1">
        <v>-0.22869999999999999</v>
      </c>
      <c r="O1101" s="1">
        <v>0.2097</v>
      </c>
      <c r="P1101" s="1">
        <v>-0.22869999999999999</v>
      </c>
      <c r="Q1101" s="1">
        <v>-7.4999999999999997E-3</v>
      </c>
      <c r="R1101" s="1">
        <v>2.5000000000000001E-3</v>
      </c>
      <c r="S1101" s="1">
        <v>-0.12529999999999999</v>
      </c>
      <c r="T1101" s="1">
        <v>-0.22270000000000001</v>
      </c>
      <c r="U1101" s="1">
        <v>-7.6600000000000001E-2</v>
      </c>
    </row>
    <row r="1102" spans="1:21" x14ac:dyDescent="0.25">
      <c r="A1102" t="s">
        <v>2362</v>
      </c>
      <c r="B1102" t="s">
        <v>2363</v>
      </c>
      <c r="C1102" t="s">
        <v>109</v>
      </c>
      <c r="D1102" t="s">
        <v>110</v>
      </c>
      <c r="E1102" t="s">
        <v>251</v>
      </c>
      <c r="F1102" t="str">
        <f t="shared" si="20"/>
        <v>2018-05-20</v>
      </c>
      <c r="G1102">
        <v>16.100000000000001</v>
      </c>
      <c r="H1102" t="str">
        <f>"2018-01-08"</f>
        <v>2018-01-08</v>
      </c>
      <c r="I1102" t="s">
        <v>26</v>
      </c>
      <c r="J1102" t="str">
        <f>"2017-08-01"</f>
        <v>2017-08-01</v>
      </c>
      <c r="K1102" t="s">
        <v>57</v>
      </c>
      <c r="L1102">
        <v>2.20145145</v>
      </c>
      <c r="M1102">
        <v>1101</v>
      </c>
      <c r="N1102" s="1">
        <v>1.26E-2</v>
      </c>
      <c r="O1102" s="1">
        <v>0.2087</v>
      </c>
      <c r="P1102" s="1">
        <v>-0.1245</v>
      </c>
      <c r="Q1102" s="1">
        <v>1.1999999999999999E-3</v>
      </c>
      <c r="R1102" s="1">
        <v>1.0699999999999999E-2</v>
      </c>
      <c r="S1102" s="1">
        <v>-2.4199999999999999E-2</v>
      </c>
      <c r="T1102" s="1">
        <v>-0.1149</v>
      </c>
      <c r="U1102" s="1">
        <v>7.6899999999999996E-2</v>
      </c>
    </row>
    <row r="1103" spans="1:21" x14ac:dyDescent="0.25">
      <c r="A1103" t="s">
        <v>2364</v>
      </c>
      <c r="B1103" t="s">
        <v>2365</v>
      </c>
      <c r="C1103" t="s">
        <v>109</v>
      </c>
      <c r="D1103" t="s">
        <v>156</v>
      </c>
      <c r="E1103" t="s">
        <v>277</v>
      </c>
      <c r="F1103" t="str">
        <f t="shared" si="20"/>
        <v>2018-05-20</v>
      </c>
      <c r="G1103">
        <v>7.53</v>
      </c>
      <c r="H1103" t="str">
        <f>"2017-11-20"</f>
        <v>2017-11-20</v>
      </c>
      <c r="I1103" t="s">
        <v>26</v>
      </c>
      <c r="J1103" t="str">
        <f>"2017-08-08"</f>
        <v>2017-08-08</v>
      </c>
      <c r="K1103" t="s">
        <v>40</v>
      </c>
      <c r="L1103">
        <v>2.2008000000000001</v>
      </c>
      <c r="M1103">
        <v>1102</v>
      </c>
      <c r="N1103" s="1">
        <v>-6.3399999999999998E-2</v>
      </c>
      <c r="O1103" s="1">
        <v>0.20480000000000001</v>
      </c>
      <c r="P1103" s="1">
        <v>-0.15679999999999999</v>
      </c>
      <c r="Q1103" s="1">
        <v>2.7000000000000001E-3</v>
      </c>
      <c r="R1103" s="1">
        <v>4.2900000000000001E-2</v>
      </c>
      <c r="S1103" s="1">
        <v>6.7000000000000002E-3</v>
      </c>
      <c r="T1103" s="1">
        <v>-4.6800000000000001E-2</v>
      </c>
      <c r="U1103" s="1">
        <v>-5.7599999999999998E-2</v>
      </c>
    </row>
    <row r="1104" spans="1:21" x14ac:dyDescent="0.25">
      <c r="A1104" t="s">
        <v>2366</v>
      </c>
      <c r="B1104" t="s">
        <v>2367</v>
      </c>
      <c r="C1104" t="s">
        <v>100</v>
      </c>
      <c r="D1104" t="s">
        <v>199</v>
      </c>
      <c r="E1104" t="s">
        <v>200</v>
      </c>
      <c r="F1104" t="str">
        <f t="shared" si="20"/>
        <v>2018-05-20</v>
      </c>
      <c r="G1104">
        <v>40.950000000000003</v>
      </c>
      <c r="H1104" t="str">
        <f>"2017-09-14"</f>
        <v>2017-09-14</v>
      </c>
      <c r="I1104" t="s">
        <v>26</v>
      </c>
      <c r="J1104" t="str">
        <f>"2017-05-22"</f>
        <v>2017-05-22</v>
      </c>
      <c r="K1104" t="s">
        <v>40</v>
      </c>
      <c r="L1104">
        <v>2.2007352899999999</v>
      </c>
      <c r="M1104">
        <v>1103</v>
      </c>
      <c r="N1104" s="1">
        <v>8.6E-3</v>
      </c>
      <c r="O1104" s="1">
        <v>0.2044</v>
      </c>
      <c r="P1104" s="1">
        <v>-0.2041</v>
      </c>
      <c r="Q1104" s="1">
        <v>1.49E-2</v>
      </c>
      <c r="R1104" s="1">
        <v>6.7799999999999999E-2</v>
      </c>
      <c r="S1104" s="1">
        <v>-9.7000000000000003E-2</v>
      </c>
      <c r="T1104" s="1">
        <v>-1.3299999999999999E-2</v>
      </c>
      <c r="U1104" s="1">
        <v>9.7900000000000001E-2</v>
      </c>
    </row>
    <row r="1105" spans="1:21" x14ac:dyDescent="0.25">
      <c r="A1105" t="s">
        <v>2368</v>
      </c>
      <c r="B1105" t="s">
        <v>2369</v>
      </c>
      <c r="C1105" t="s">
        <v>109</v>
      </c>
      <c r="D1105" t="s">
        <v>110</v>
      </c>
      <c r="E1105" t="s">
        <v>111</v>
      </c>
      <c r="F1105" t="str">
        <f t="shared" si="20"/>
        <v>2018-05-20</v>
      </c>
      <c r="G1105">
        <v>4.2</v>
      </c>
      <c r="H1105" t="str">
        <f>"2018-03-01"</f>
        <v>2018-03-01</v>
      </c>
      <c r="I1105" t="s">
        <v>26</v>
      </c>
      <c r="J1105" t="str">
        <f>"2017-10-22"</f>
        <v>2017-10-22</v>
      </c>
      <c r="K1105" t="s">
        <v>57</v>
      </c>
      <c r="L1105">
        <v>2.2000000000000002</v>
      </c>
      <c r="M1105">
        <v>1104</v>
      </c>
      <c r="N1105" s="1">
        <v>-0.125</v>
      </c>
      <c r="O1105" s="1">
        <v>0.2</v>
      </c>
      <c r="P1105" s="1">
        <v>-0.1923</v>
      </c>
      <c r="Q1105" s="1">
        <v>1.2E-2</v>
      </c>
      <c r="R1105" s="1">
        <v>6.0000000000000001E-3</v>
      </c>
      <c r="S1105" s="1">
        <v>-0.125</v>
      </c>
      <c r="T1105" s="1">
        <v>-0.1515</v>
      </c>
      <c r="U1105" s="1">
        <v>-0.215</v>
      </c>
    </row>
    <row r="1106" spans="1:21" x14ac:dyDescent="0.25">
      <c r="A1106" t="s">
        <v>2370</v>
      </c>
      <c r="B1106" t="s">
        <v>2371</v>
      </c>
      <c r="C1106" t="s">
        <v>114</v>
      </c>
      <c r="D1106" t="s">
        <v>225</v>
      </c>
      <c r="E1106" t="s">
        <v>226</v>
      </c>
      <c r="F1106" t="str">
        <f t="shared" si="20"/>
        <v>2018-05-20</v>
      </c>
      <c r="G1106">
        <v>31.91</v>
      </c>
      <c r="H1106" t="str">
        <f>"2017-06-04"</f>
        <v>2017-06-04</v>
      </c>
      <c r="I1106" t="s">
        <v>26</v>
      </c>
      <c r="J1106" t="str">
        <f>"2017-03-06"</f>
        <v>2017-03-06</v>
      </c>
      <c r="K1106" t="s">
        <v>40</v>
      </c>
      <c r="L1106">
        <v>2.1995622300000002</v>
      </c>
      <c r="M1106">
        <v>1105</v>
      </c>
      <c r="N1106" s="1">
        <v>9.5799999999999996E-2</v>
      </c>
      <c r="O1106" s="1">
        <v>0.19739999999999999</v>
      </c>
      <c r="P1106" s="1">
        <v>-0.17879999999999999</v>
      </c>
      <c r="Q1106" s="1">
        <v>1.11E-2</v>
      </c>
      <c r="R1106" s="1">
        <v>-2.5000000000000001E-3</v>
      </c>
      <c r="S1106" s="1">
        <v>-7.9100000000000004E-2</v>
      </c>
      <c r="T1106" s="1">
        <v>-0.1082</v>
      </c>
      <c r="U1106" s="1">
        <v>0.15160000000000001</v>
      </c>
    </row>
    <row r="1107" spans="1:21" x14ac:dyDescent="0.25">
      <c r="A1107" t="s">
        <v>2372</v>
      </c>
      <c r="B1107" t="s">
        <v>2373</v>
      </c>
      <c r="C1107" t="s">
        <v>23</v>
      </c>
      <c r="D1107" t="s">
        <v>52</v>
      </c>
      <c r="E1107" t="s">
        <v>53</v>
      </c>
      <c r="F1107" t="str">
        <f t="shared" si="20"/>
        <v>2018-05-20</v>
      </c>
      <c r="G1107">
        <v>7.9</v>
      </c>
      <c r="H1107" t="str">
        <f>"2018-04-29"</f>
        <v>2018-04-29</v>
      </c>
      <c r="I1107" t="s">
        <v>26</v>
      </c>
      <c r="J1107" t="str">
        <f>"2018-04-12"</f>
        <v>2018-04-12</v>
      </c>
      <c r="K1107" t="s">
        <v>27</v>
      </c>
      <c r="L1107">
        <v>2.1994949500000001</v>
      </c>
      <c r="M1107">
        <v>1106</v>
      </c>
      <c r="N1107" s="1">
        <v>-0.1124</v>
      </c>
      <c r="O1107" s="1">
        <v>0.19700000000000001</v>
      </c>
      <c r="P1107" s="1">
        <v>-0.1222</v>
      </c>
      <c r="Q1107" s="1">
        <v>0</v>
      </c>
      <c r="R1107" s="1">
        <v>6.4000000000000003E-3</v>
      </c>
      <c r="S1107" s="1">
        <v>-9.7100000000000006E-2</v>
      </c>
      <c r="T1107" s="1">
        <v>0.254</v>
      </c>
      <c r="U1107" s="1">
        <v>-0.41039999999999999</v>
      </c>
    </row>
    <row r="1108" spans="1:21" x14ac:dyDescent="0.25">
      <c r="A1108" t="s">
        <v>2374</v>
      </c>
      <c r="B1108" t="s">
        <v>2375</v>
      </c>
      <c r="C1108" t="s">
        <v>23</v>
      </c>
      <c r="D1108" t="s">
        <v>52</v>
      </c>
      <c r="E1108" t="s">
        <v>56</v>
      </c>
      <c r="F1108" t="str">
        <f t="shared" si="20"/>
        <v>2018-05-20</v>
      </c>
      <c r="G1108">
        <v>41.03</v>
      </c>
      <c r="H1108" t="str">
        <f>"2018-02-15"</f>
        <v>2018-02-15</v>
      </c>
      <c r="I1108" t="s">
        <v>26</v>
      </c>
      <c r="J1108" t="str">
        <f>"2017-11-01"</f>
        <v>2017-11-01</v>
      </c>
      <c r="K1108" t="s">
        <v>40</v>
      </c>
      <c r="L1108">
        <v>2.1985578800000001</v>
      </c>
      <c r="M1108">
        <v>1107</v>
      </c>
      <c r="N1108" s="1">
        <v>-6.3E-2</v>
      </c>
      <c r="O1108" s="1">
        <v>0.1913</v>
      </c>
      <c r="P1108" s="1">
        <v>-0.1608</v>
      </c>
      <c r="Q1108" s="1">
        <v>-2.2000000000000001E-3</v>
      </c>
      <c r="R1108" s="1">
        <v>1.43E-2</v>
      </c>
      <c r="S1108" s="1">
        <v>-9.2499999999999999E-2</v>
      </c>
      <c r="T1108" s="1">
        <v>-0.10059999999999999</v>
      </c>
      <c r="U1108" s="1">
        <v>0.1787</v>
      </c>
    </row>
    <row r="1109" spans="1:21" x14ac:dyDescent="0.25">
      <c r="A1109" t="s">
        <v>2376</v>
      </c>
      <c r="B1109" t="s">
        <v>2377</v>
      </c>
      <c r="C1109" t="s">
        <v>109</v>
      </c>
      <c r="D1109" t="s">
        <v>156</v>
      </c>
      <c r="E1109" t="s">
        <v>277</v>
      </c>
      <c r="F1109" t="str">
        <f t="shared" si="20"/>
        <v>2018-05-20</v>
      </c>
      <c r="G1109">
        <v>13.42</v>
      </c>
      <c r="H1109" t="str">
        <f>"2017-09-12"</f>
        <v>2017-09-12</v>
      </c>
      <c r="I1109" t="s">
        <v>26</v>
      </c>
      <c r="J1109" t="str">
        <f>"2017-09-10"</f>
        <v>2017-09-10</v>
      </c>
      <c r="K1109" t="s">
        <v>27</v>
      </c>
      <c r="L1109">
        <v>2.1974109999999998</v>
      </c>
      <c r="M1109">
        <v>1108</v>
      </c>
      <c r="N1109" s="1">
        <v>1.9800000000000002E-2</v>
      </c>
      <c r="O1109" s="1">
        <v>0.1845</v>
      </c>
      <c r="P1109" s="1">
        <v>-0.12909999999999999</v>
      </c>
      <c r="Q1109" s="1">
        <v>3.0000000000000001E-3</v>
      </c>
      <c r="R1109" s="1">
        <v>2.3599999999999999E-2</v>
      </c>
      <c r="S1109" s="1">
        <v>-8.8999999999999999E-3</v>
      </c>
      <c r="T1109" s="1">
        <v>3.0700000000000002E-2</v>
      </c>
      <c r="U1109" s="1">
        <v>0.1128</v>
      </c>
    </row>
    <row r="1110" spans="1:21" x14ac:dyDescent="0.25">
      <c r="A1110" t="s">
        <v>2</v>
      </c>
      <c r="B1110" t="s">
        <v>2378</v>
      </c>
      <c r="C1110" t="s">
        <v>109</v>
      </c>
      <c r="D1110" t="s">
        <v>110</v>
      </c>
      <c r="E1110" t="s">
        <v>111</v>
      </c>
      <c r="F1110" t="str">
        <f t="shared" si="20"/>
        <v>2018-05-20</v>
      </c>
      <c r="G1110">
        <v>21.6</v>
      </c>
      <c r="H1110" t="str">
        <f>"2017-10-19"</f>
        <v>2017-10-19</v>
      </c>
      <c r="I1110" t="s">
        <v>26</v>
      </c>
      <c r="J1110" t="str">
        <f>"2017-10-03"</f>
        <v>2017-10-03</v>
      </c>
      <c r="K1110" t="s">
        <v>27</v>
      </c>
      <c r="L1110">
        <v>2.1972602700000001</v>
      </c>
      <c r="M1110">
        <v>1109</v>
      </c>
      <c r="N1110" s="1">
        <v>-1.5900000000000001E-2</v>
      </c>
      <c r="O1110" s="1">
        <v>0.18360000000000001</v>
      </c>
      <c r="P1110" s="1">
        <v>-0.15629999999999999</v>
      </c>
      <c r="Q1110" s="1">
        <v>1.89E-2</v>
      </c>
      <c r="R1110" s="1">
        <v>3.3500000000000002E-2</v>
      </c>
      <c r="S1110" s="1">
        <v>-6.7000000000000004E-2</v>
      </c>
      <c r="T1110" s="1">
        <v>-9.4299999999999995E-2</v>
      </c>
      <c r="U1110" s="1">
        <v>0.1221</v>
      </c>
    </row>
    <row r="1111" spans="1:21" x14ac:dyDescent="0.25">
      <c r="A1111" t="s">
        <v>2379</v>
      </c>
      <c r="B1111" t="s">
        <v>2380</v>
      </c>
      <c r="C1111" t="s">
        <v>30</v>
      </c>
      <c r="D1111" t="s">
        <v>31</v>
      </c>
      <c r="E1111" t="s">
        <v>31</v>
      </c>
      <c r="F1111" t="str">
        <f t="shared" si="20"/>
        <v>2018-05-20</v>
      </c>
      <c r="G1111">
        <v>23.75</v>
      </c>
      <c r="H1111" t="str">
        <f>"2017-10-18"</f>
        <v>2017-10-18</v>
      </c>
      <c r="I1111" t="s">
        <v>26</v>
      </c>
      <c r="J1111" t="str">
        <f>"2017-08-29"</f>
        <v>2017-08-29</v>
      </c>
      <c r="K1111" t="s">
        <v>40</v>
      </c>
      <c r="L1111">
        <v>2.1969320099999998</v>
      </c>
      <c r="M1111">
        <v>1110</v>
      </c>
      <c r="N1111" s="1">
        <v>4.1700000000000001E-2</v>
      </c>
      <c r="O1111" s="1">
        <v>0.18160000000000001</v>
      </c>
      <c r="P1111" s="1">
        <v>-0.12039999999999999</v>
      </c>
      <c r="Q1111" s="1">
        <v>-8.3999999999999995E-3</v>
      </c>
      <c r="R1111" s="1">
        <v>-1.04E-2</v>
      </c>
      <c r="S1111" s="1">
        <v>-4.1999999999999997E-3</v>
      </c>
      <c r="T1111" s="1">
        <v>-2.06E-2</v>
      </c>
      <c r="U1111" s="1">
        <v>0.16420000000000001</v>
      </c>
    </row>
    <row r="1112" spans="1:21" x14ac:dyDescent="0.25">
      <c r="A1112" t="s">
        <v>2381</v>
      </c>
      <c r="B1112" t="s">
        <v>2382</v>
      </c>
      <c r="C1112" t="s">
        <v>114</v>
      </c>
      <c r="D1112" t="s">
        <v>809</v>
      </c>
      <c r="E1112" t="s">
        <v>810</v>
      </c>
      <c r="F1112" t="str">
        <f t="shared" si="20"/>
        <v>2018-05-20</v>
      </c>
      <c r="G1112">
        <v>28.61</v>
      </c>
      <c r="H1112" t="str">
        <f>"2017-10-19"</f>
        <v>2017-10-19</v>
      </c>
      <c r="I1112" t="s">
        <v>26</v>
      </c>
      <c r="J1112" t="str">
        <f>"2017-08-10"</f>
        <v>2017-08-10</v>
      </c>
      <c r="K1112" t="s">
        <v>40</v>
      </c>
      <c r="L1112">
        <v>2.1966323000000001</v>
      </c>
      <c r="M1112">
        <v>1111</v>
      </c>
      <c r="N1112" s="1">
        <v>-2.3999999999999998E-3</v>
      </c>
      <c r="O1112" s="1">
        <v>0.17979999999999999</v>
      </c>
      <c r="P1112" s="1">
        <v>-0.23219999999999999</v>
      </c>
      <c r="Q1112" s="1">
        <v>6.9999999999999999E-4</v>
      </c>
      <c r="R1112" s="1">
        <v>-2.4899999999999999E-2</v>
      </c>
      <c r="S1112" s="1">
        <v>-0.1153</v>
      </c>
      <c r="T1112" s="1">
        <v>-0.1153</v>
      </c>
      <c r="U1112" s="1">
        <v>1.8E-3</v>
      </c>
    </row>
    <row r="1113" spans="1:21" x14ac:dyDescent="0.25">
      <c r="A1113" t="s">
        <v>2383</v>
      </c>
      <c r="B1113" t="s">
        <v>2384</v>
      </c>
      <c r="C1113" t="s">
        <v>30</v>
      </c>
      <c r="D1113" t="s">
        <v>48</v>
      </c>
      <c r="E1113" t="s">
        <v>387</v>
      </c>
      <c r="F1113" t="str">
        <f t="shared" si="20"/>
        <v>2018-05-20</v>
      </c>
      <c r="G1113">
        <v>15.58</v>
      </c>
      <c r="H1113" t="str">
        <f>"2017-10-12"</f>
        <v>2017-10-12</v>
      </c>
      <c r="I1113" t="s">
        <v>26</v>
      </c>
      <c r="J1113" t="str">
        <f>"2017-08-09"</f>
        <v>2017-08-09</v>
      </c>
      <c r="K1113" t="s">
        <v>40</v>
      </c>
      <c r="L1113">
        <v>2.1958270500000001</v>
      </c>
      <c r="M1113">
        <v>1112</v>
      </c>
      <c r="N1113" s="1">
        <v>1.0999999999999999E-2</v>
      </c>
      <c r="O1113" s="1">
        <v>0.17499999999999999</v>
      </c>
      <c r="P1113" s="1">
        <v>-0.156</v>
      </c>
      <c r="Q1113" s="1">
        <v>-5.9999999999999995E-4</v>
      </c>
      <c r="R1113" s="1">
        <v>5.1999999999999998E-3</v>
      </c>
      <c r="S1113" s="1">
        <v>4.4200000000000003E-2</v>
      </c>
      <c r="T1113" s="1">
        <v>-1.2E-2</v>
      </c>
      <c r="U1113" s="1">
        <v>9.4100000000000003E-2</v>
      </c>
    </row>
    <row r="1114" spans="1:21" x14ac:dyDescent="0.25">
      <c r="A1114" t="s">
        <v>2385</v>
      </c>
      <c r="B1114" t="s">
        <v>2386</v>
      </c>
      <c r="C1114" t="s">
        <v>109</v>
      </c>
      <c r="D1114" t="s">
        <v>110</v>
      </c>
      <c r="E1114" t="s">
        <v>251</v>
      </c>
      <c r="F1114" t="str">
        <f t="shared" si="20"/>
        <v>2018-05-20</v>
      </c>
      <c r="G1114">
        <v>31.26</v>
      </c>
      <c r="H1114" t="str">
        <f>"2018-03-05"</f>
        <v>2018-03-05</v>
      </c>
      <c r="I1114" t="s">
        <v>26</v>
      </c>
      <c r="J1114" t="str">
        <f>"2018-01-30"</f>
        <v>2018-01-30</v>
      </c>
      <c r="K1114" t="s">
        <v>40</v>
      </c>
      <c r="L1114">
        <v>2.1944029899999999</v>
      </c>
      <c r="M1114">
        <v>1113</v>
      </c>
      <c r="N1114" s="1">
        <v>-7.0199999999999999E-2</v>
      </c>
      <c r="O1114" s="1">
        <v>0.16639999999999999</v>
      </c>
      <c r="P1114" s="1">
        <v>-0.21560000000000001</v>
      </c>
      <c r="Q1114" s="1">
        <v>-2.5999999999999999E-3</v>
      </c>
      <c r="R1114" s="1">
        <v>4.9299999999999997E-2</v>
      </c>
      <c r="S1114" s="1">
        <v>-0.18509999999999999</v>
      </c>
      <c r="T1114" s="1">
        <v>0.1105</v>
      </c>
      <c r="U1114" s="1">
        <v>6.5799999999999997E-2</v>
      </c>
    </row>
    <row r="1115" spans="1:21" x14ac:dyDescent="0.25">
      <c r="A1115" t="s">
        <v>2387</v>
      </c>
      <c r="B1115" t="s">
        <v>2388</v>
      </c>
      <c r="C1115" t="s">
        <v>37</v>
      </c>
      <c r="D1115" t="s">
        <v>38</v>
      </c>
      <c r="E1115" t="s">
        <v>39</v>
      </c>
      <c r="F1115" t="str">
        <f t="shared" si="20"/>
        <v>2018-05-20</v>
      </c>
      <c r="G1115">
        <v>3.65</v>
      </c>
      <c r="H1115" t="str">
        <f>"2018-04-18"</f>
        <v>2018-04-18</v>
      </c>
      <c r="I1115" t="s">
        <v>26</v>
      </c>
      <c r="J1115" t="str">
        <f>"2018-03-06"</f>
        <v>2018-03-06</v>
      </c>
      <c r="K1115" t="s">
        <v>27</v>
      </c>
      <c r="L1115">
        <v>2.1943557</v>
      </c>
      <c r="M1115">
        <v>1114</v>
      </c>
      <c r="N1115" s="1">
        <v>-0.157</v>
      </c>
      <c r="O1115" s="1">
        <v>0.1661</v>
      </c>
      <c r="P1115" s="1">
        <v>-0.17610000000000001</v>
      </c>
      <c r="Q1115" s="1">
        <v>-3.44E-2</v>
      </c>
      <c r="R1115" s="1">
        <v>-7.3599999999999999E-2</v>
      </c>
      <c r="S1115" s="1">
        <v>-0.13100000000000001</v>
      </c>
      <c r="T1115" s="1">
        <v>0.13350000000000001</v>
      </c>
      <c r="U1115" s="1">
        <v>-1.8800000000000001E-2</v>
      </c>
    </row>
    <row r="1116" spans="1:21" x14ac:dyDescent="0.25">
      <c r="A1116" t="s">
        <v>2389</v>
      </c>
      <c r="B1116" t="s">
        <v>2390</v>
      </c>
      <c r="C1116" t="s">
        <v>43</v>
      </c>
      <c r="D1116" t="s">
        <v>44</v>
      </c>
      <c r="E1116" t="s">
        <v>45</v>
      </c>
      <c r="F1116" t="str">
        <f t="shared" si="20"/>
        <v>2018-05-20</v>
      </c>
      <c r="G1116">
        <v>24.26</v>
      </c>
      <c r="H1116" t="str">
        <f>"2017-09-24"</f>
        <v>2017-09-24</v>
      </c>
      <c r="I1116" t="s">
        <v>26</v>
      </c>
      <c r="J1116" t="str">
        <f>"2017-08-17"</f>
        <v>2017-08-17</v>
      </c>
      <c r="K1116" t="s">
        <v>40</v>
      </c>
      <c r="L1116">
        <v>2.1906333500000001</v>
      </c>
      <c r="M1116">
        <v>1115</v>
      </c>
      <c r="N1116" s="1">
        <v>2.0199999999999999E-2</v>
      </c>
      <c r="O1116" s="1">
        <v>0.14380000000000001</v>
      </c>
      <c r="P1116" s="1">
        <v>-0.23250000000000001</v>
      </c>
      <c r="Q1116" s="1">
        <v>7.5399999999999995E-2</v>
      </c>
      <c r="R1116" s="1">
        <v>0.1169</v>
      </c>
      <c r="S1116" s="1">
        <v>-0.19989999999999999</v>
      </c>
      <c r="T1116" s="1">
        <v>-0.18229999999999999</v>
      </c>
      <c r="U1116" s="1">
        <v>1.5100000000000001E-2</v>
      </c>
    </row>
    <row r="1117" spans="1:21" x14ac:dyDescent="0.25">
      <c r="A1117" t="s">
        <v>2391</v>
      </c>
      <c r="B1117" t="s">
        <v>2392</v>
      </c>
      <c r="C1117" t="s">
        <v>37</v>
      </c>
      <c r="D1117" t="s">
        <v>38</v>
      </c>
      <c r="E1117" t="s">
        <v>39</v>
      </c>
      <c r="F1117" t="str">
        <f t="shared" si="20"/>
        <v>2018-05-20</v>
      </c>
      <c r="G1117">
        <v>16.600000000000001</v>
      </c>
      <c r="H1117" t="str">
        <f>"2018-04-05"</f>
        <v>2018-04-05</v>
      </c>
      <c r="I1117" t="s">
        <v>26</v>
      </c>
      <c r="J1117" t="str">
        <f>"2018-01-14"</f>
        <v>2018-01-14</v>
      </c>
      <c r="K1117" t="s">
        <v>40</v>
      </c>
      <c r="L1117">
        <v>2.1888509699999998</v>
      </c>
      <c r="M1117">
        <v>1116</v>
      </c>
      <c r="N1117" s="1">
        <v>-0.14430000000000001</v>
      </c>
      <c r="O1117" s="1">
        <v>0.1331</v>
      </c>
      <c r="P1117" s="1">
        <v>-0.2</v>
      </c>
      <c r="Q1117" s="1">
        <v>-2.92E-2</v>
      </c>
      <c r="R1117" s="1">
        <v>-0.16789999999999999</v>
      </c>
      <c r="S1117" s="1">
        <v>-0.1003</v>
      </c>
      <c r="T1117" s="1">
        <v>-6.4799999999999996E-2</v>
      </c>
      <c r="U1117" s="1">
        <v>2.0182000000000002</v>
      </c>
    </row>
    <row r="1118" spans="1:21" x14ac:dyDescent="0.25">
      <c r="A1118" t="s">
        <v>2393</v>
      </c>
      <c r="B1118" t="s">
        <v>2394</v>
      </c>
      <c r="C1118" t="s">
        <v>23</v>
      </c>
      <c r="D1118" t="s">
        <v>24</v>
      </c>
      <c r="E1118" t="s">
        <v>494</v>
      </c>
      <c r="F1118" t="str">
        <f t="shared" si="20"/>
        <v>2018-05-20</v>
      </c>
      <c r="G1118">
        <v>13.95</v>
      </c>
      <c r="H1118" t="str">
        <f>"2018-01-24"</f>
        <v>2018-01-24</v>
      </c>
      <c r="I1118" t="s">
        <v>26</v>
      </c>
      <c r="J1118" t="str">
        <f>"2017-12-10"</f>
        <v>2017-12-10</v>
      </c>
      <c r="K1118" t="s">
        <v>27</v>
      </c>
      <c r="L1118">
        <v>2.1875</v>
      </c>
      <c r="M1118">
        <v>1117</v>
      </c>
      <c r="N1118" s="1">
        <v>-0.2029</v>
      </c>
      <c r="O1118" s="1">
        <v>0.125</v>
      </c>
      <c r="P1118" s="1">
        <v>-0.252</v>
      </c>
      <c r="Q1118" s="1">
        <v>2.1999999999999999E-2</v>
      </c>
      <c r="R1118" s="1">
        <v>-5.4199999999999998E-2</v>
      </c>
      <c r="S1118" s="1">
        <v>-0.1143</v>
      </c>
      <c r="T1118" s="1">
        <v>-0.1983</v>
      </c>
      <c r="U1118" s="1">
        <v>-0.17699999999999999</v>
      </c>
    </row>
    <row r="1119" spans="1:21" x14ac:dyDescent="0.25">
      <c r="A1119" t="s">
        <v>2395</v>
      </c>
      <c r="B1119" t="s">
        <v>2396</v>
      </c>
      <c r="C1119" t="s">
        <v>37</v>
      </c>
      <c r="D1119" t="s">
        <v>38</v>
      </c>
      <c r="E1119" t="s">
        <v>97</v>
      </c>
      <c r="F1119" t="str">
        <f t="shared" si="20"/>
        <v>2018-05-20</v>
      </c>
      <c r="G1119">
        <v>16.57</v>
      </c>
      <c r="H1119" t="str">
        <f>"2017-09-26"</f>
        <v>2017-09-26</v>
      </c>
      <c r="I1119" t="s">
        <v>26</v>
      </c>
      <c r="J1119" t="str">
        <f>"2017-06-22"</f>
        <v>2017-06-22</v>
      </c>
      <c r="K1119" t="s">
        <v>27</v>
      </c>
      <c r="L1119">
        <v>2.1874858599999998</v>
      </c>
      <c r="M1119">
        <v>1118</v>
      </c>
      <c r="N1119" s="1">
        <v>-5.21E-2</v>
      </c>
      <c r="O1119" s="1">
        <v>0.1249</v>
      </c>
      <c r="P1119" s="1">
        <v>-0.1857</v>
      </c>
      <c r="Q1119" s="1">
        <v>-3.5999999999999999E-3</v>
      </c>
      <c r="R1119" s="1">
        <v>2.7900000000000001E-2</v>
      </c>
      <c r="S1119" s="1">
        <v>-0.14280000000000001</v>
      </c>
      <c r="T1119" s="1">
        <v>-0.1361</v>
      </c>
      <c r="U1119" s="1">
        <v>6.6299999999999998E-2</v>
      </c>
    </row>
    <row r="1120" spans="1:21" x14ac:dyDescent="0.25">
      <c r="A1120" t="s">
        <v>2397</v>
      </c>
      <c r="B1120" t="s">
        <v>2398</v>
      </c>
      <c r="C1120" t="s">
        <v>43</v>
      </c>
      <c r="D1120" t="s">
        <v>374</v>
      </c>
      <c r="E1120" t="s">
        <v>375</v>
      </c>
      <c r="F1120" t="str">
        <f t="shared" si="20"/>
        <v>2018-05-20</v>
      </c>
      <c r="G1120">
        <v>11.13</v>
      </c>
      <c r="H1120" t="str">
        <f>"2018-02-28"</f>
        <v>2018-02-28</v>
      </c>
      <c r="I1120" t="s">
        <v>26</v>
      </c>
      <c r="J1120" t="str">
        <f>"2017-11-14"</f>
        <v>2017-11-14</v>
      </c>
      <c r="K1120" t="s">
        <v>40</v>
      </c>
      <c r="L1120">
        <v>2.1860581699999999</v>
      </c>
      <c r="M1120">
        <v>1119</v>
      </c>
      <c r="N1120" s="1">
        <v>-7.6300000000000007E-2</v>
      </c>
      <c r="O1120" s="1">
        <v>0.1163</v>
      </c>
      <c r="P1120" s="1">
        <v>-0.1202</v>
      </c>
      <c r="Q1120" s="1">
        <v>0</v>
      </c>
      <c r="R1120" s="1">
        <v>-2.7099999999999999E-2</v>
      </c>
      <c r="S1120" s="1">
        <v>-1.24E-2</v>
      </c>
      <c r="T1120" s="1">
        <v>-0.1002</v>
      </c>
      <c r="U1120" s="1">
        <v>7.9500000000000001E-2</v>
      </c>
    </row>
    <row r="1121" spans="1:21" x14ac:dyDescent="0.25">
      <c r="A1121" t="s">
        <v>2399</v>
      </c>
      <c r="B1121" t="s">
        <v>2400</v>
      </c>
      <c r="C1121" t="s">
        <v>114</v>
      </c>
      <c r="D1121" t="s">
        <v>225</v>
      </c>
      <c r="E1121" t="s">
        <v>469</v>
      </c>
      <c r="F1121" t="str">
        <f t="shared" si="20"/>
        <v>2018-05-20</v>
      </c>
      <c r="G1121">
        <v>17.8</v>
      </c>
      <c r="H1121" t="str">
        <f>"2017-12-05"</f>
        <v>2017-12-05</v>
      </c>
      <c r="I1121" t="s">
        <v>26</v>
      </c>
      <c r="J1121" t="str">
        <f>"2017-10-16"</f>
        <v>2017-10-16</v>
      </c>
      <c r="K1121" t="s">
        <v>27</v>
      </c>
      <c r="L1121">
        <v>2.1859979100000002</v>
      </c>
      <c r="M1121">
        <v>1120</v>
      </c>
      <c r="N1121" s="1">
        <v>-0.23280000000000001</v>
      </c>
      <c r="O1121" s="1">
        <v>0.11600000000000001</v>
      </c>
      <c r="P1121" s="1">
        <v>-0.35270000000000001</v>
      </c>
      <c r="Q1121" s="1">
        <v>-3.5200000000000002E-2</v>
      </c>
      <c r="R1121" s="1">
        <v>2.8899999999999999E-2</v>
      </c>
      <c r="S1121" s="1">
        <v>-0.2089</v>
      </c>
      <c r="T1121" s="1">
        <v>-0.15840000000000001</v>
      </c>
      <c r="U1121" s="1">
        <v>-8.2500000000000004E-2</v>
      </c>
    </row>
    <row r="1122" spans="1:21" x14ac:dyDescent="0.25">
      <c r="A1122" t="s">
        <v>2401</v>
      </c>
      <c r="B1122" t="s">
        <v>2402</v>
      </c>
      <c r="C1122" t="s">
        <v>23</v>
      </c>
      <c r="D1122" t="s">
        <v>24</v>
      </c>
      <c r="E1122" t="s">
        <v>494</v>
      </c>
      <c r="F1122" t="str">
        <f t="shared" si="20"/>
        <v>2018-05-20</v>
      </c>
      <c r="G1122">
        <v>158.83000000000001</v>
      </c>
      <c r="H1122" t="str">
        <f>"2018-01-17"</f>
        <v>2018-01-17</v>
      </c>
      <c r="I1122" t="s">
        <v>26</v>
      </c>
      <c r="J1122" t="str">
        <f>"2017-10-16"</f>
        <v>2017-10-16</v>
      </c>
      <c r="K1122" t="s">
        <v>57</v>
      </c>
      <c r="L1122">
        <v>2.18239969</v>
      </c>
      <c r="M1122">
        <v>1121</v>
      </c>
      <c r="N1122" s="1">
        <v>-6.2E-2</v>
      </c>
      <c r="O1122" s="1">
        <v>9.4399999999999998E-2</v>
      </c>
      <c r="P1122" s="1">
        <v>-0.1077</v>
      </c>
      <c r="Q1122" s="1">
        <v>1.9099999999999999E-2</v>
      </c>
      <c r="R1122" s="1">
        <v>8.3999999999999995E-3</v>
      </c>
      <c r="S1122" s="1">
        <v>-3.1199999999999999E-2</v>
      </c>
      <c r="T1122" s="1">
        <v>-1.5699999999999999E-2</v>
      </c>
      <c r="U1122" s="1">
        <v>-1.6E-2</v>
      </c>
    </row>
    <row r="1123" spans="1:21" x14ac:dyDescent="0.25">
      <c r="A1123" t="s">
        <v>2403</v>
      </c>
      <c r="B1123" t="s">
        <v>2404</v>
      </c>
      <c r="C1123" t="s">
        <v>100</v>
      </c>
      <c r="D1123" t="s">
        <v>101</v>
      </c>
      <c r="E1123" t="s">
        <v>102</v>
      </c>
      <c r="F1123" t="str">
        <f t="shared" si="20"/>
        <v>2018-05-20</v>
      </c>
      <c r="G1123">
        <v>82.45</v>
      </c>
      <c r="H1123" t="str">
        <f>"2017-09-20"</f>
        <v>2017-09-20</v>
      </c>
      <c r="I1123" t="s">
        <v>26</v>
      </c>
      <c r="J1123" t="str">
        <f>"2017-09-17"</f>
        <v>2017-09-17</v>
      </c>
      <c r="K1123" t="s">
        <v>27</v>
      </c>
      <c r="L1123">
        <v>2.17962963</v>
      </c>
      <c r="M1123">
        <v>1122</v>
      </c>
      <c r="N1123" s="1">
        <v>9.7999999999999997E-3</v>
      </c>
      <c r="O1123" s="1">
        <v>7.7799999999999994E-2</v>
      </c>
      <c r="P1123" s="1">
        <v>-0.13070000000000001</v>
      </c>
      <c r="Q1123" s="1">
        <v>9.1999999999999998E-3</v>
      </c>
      <c r="R1123" s="1">
        <v>3.0599999999999999E-2</v>
      </c>
      <c r="S1123" s="1">
        <v>2.6100000000000002E-2</v>
      </c>
      <c r="T1123" s="1">
        <v>3.7100000000000001E-2</v>
      </c>
      <c r="U1123" s="1">
        <v>9.06E-2</v>
      </c>
    </row>
    <row r="1124" spans="1:21" x14ac:dyDescent="0.25">
      <c r="A1124" t="s">
        <v>2405</v>
      </c>
      <c r="B1124" t="s">
        <v>2406</v>
      </c>
      <c r="C1124" t="s">
        <v>23</v>
      </c>
      <c r="D1124" t="s">
        <v>52</v>
      </c>
      <c r="E1124" t="s">
        <v>56</v>
      </c>
      <c r="F1124" t="str">
        <f t="shared" si="20"/>
        <v>2018-05-20</v>
      </c>
      <c r="G1124">
        <v>25.63</v>
      </c>
      <c r="H1124" t="str">
        <f>"2018-01-28"</f>
        <v>2018-01-28</v>
      </c>
      <c r="I1124" t="s">
        <v>26</v>
      </c>
      <c r="J1124" t="str">
        <f>"2018-01-23"</f>
        <v>2018-01-23</v>
      </c>
      <c r="K1124" t="s">
        <v>27</v>
      </c>
      <c r="L1124">
        <v>2.1779119800000002</v>
      </c>
      <c r="M1124">
        <v>1123</v>
      </c>
      <c r="N1124" s="1">
        <v>-5.04E-2</v>
      </c>
      <c r="O1124" s="1">
        <v>6.7500000000000004E-2</v>
      </c>
      <c r="P1124" s="1">
        <v>-0.1032</v>
      </c>
      <c r="Q1124" s="1">
        <v>3.0999999999999999E-3</v>
      </c>
      <c r="R1124" s="1">
        <v>3.5000000000000001E-3</v>
      </c>
      <c r="S1124" s="1">
        <v>-9.2100000000000001E-2</v>
      </c>
      <c r="T1124" s="1">
        <v>-7.8399999999999997E-2</v>
      </c>
      <c r="U1124" s="1">
        <v>-1.95E-2</v>
      </c>
    </row>
    <row r="1125" spans="1:21" x14ac:dyDescent="0.25">
      <c r="A1125" t="s">
        <v>2407</v>
      </c>
      <c r="B1125" t="s">
        <v>2408</v>
      </c>
      <c r="C1125" t="s">
        <v>114</v>
      </c>
      <c r="D1125" t="s">
        <v>809</v>
      </c>
      <c r="E1125" t="s">
        <v>810</v>
      </c>
      <c r="F1125" t="str">
        <f t="shared" si="20"/>
        <v>2018-05-20</v>
      </c>
      <c r="G1125">
        <v>25</v>
      </c>
      <c r="H1125" t="str">
        <f>"2018-03-13"</f>
        <v>2018-03-13</v>
      </c>
      <c r="I1125" t="s">
        <v>26</v>
      </c>
      <c r="J1125" t="str">
        <f>"2018-02-04"</f>
        <v>2018-02-04</v>
      </c>
      <c r="K1125" t="s">
        <v>40</v>
      </c>
      <c r="L1125">
        <v>2.1761804100000002</v>
      </c>
      <c r="M1125">
        <v>1124</v>
      </c>
      <c r="N1125" s="1">
        <v>-8.8599999999999998E-2</v>
      </c>
      <c r="O1125" s="1">
        <v>5.7099999999999998E-2</v>
      </c>
      <c r="P1125" s="1">
        <v>-0.14849999999999999</v>
      </c>
      <c r="Q1125" s="1">
        <v>2.3999999999999998E-3</v>
      </c>
      <c r="R1125" s="1">
        <v>-7.5800000000000006E-2</v>
      </c>
      <c r="S1125" s="1">
        <v>-6.9599999999999995E-2</v>
      </c>
      <c r="T1125" s="1">
        <v>-6.5100000000000005E-2</v>
      </c>
      <c r="U1125" s="1">
        <v>7.1099999999999997E-2</v>
      </c>
    </row>
    <row r="1126" spans="1:21" x14ac:dyDescent="0.25">
      <c r="A1126" t="s">
        <v>2409</v>
      </c>
      <c r="B1126" t="s">
        <v>2410</v>
      </c>
      <c r="C1126" t="s">
        <v>114</v>
      </c>
      <c r="D1126" t="s">
        <v>115</v>
      </c>
      <c r="E1126" t="s">
        <v>116</v>
      </c>
      <c r="F1126" t="str">
        <f t="shared" si="20"/>
        <v>2018-05-20</v>
      </c>
      <c r="G1126">
        <v>46.52</v>
      </c>
      <c r="H1126" t="str">
        <f>"2018-04-16"</f>
        <v>2018-04-16</v>
      </c>
      <c r="I1126" t="s">
        <v>26</v>
      </c>
      <c r="J1126" t="str">
        <f>"2017-07-10"</f>
        <v>2017-07-10</v>
      </c>
      <c r="K1126" t="s">
        <v>57</v>
      </c>
      <c r="L1126">
        <v>2.1761720800000002</v>
      </c>
      <c r="M1126">
        <v>1125</v>
      </c>
      <c r="N1126" s="1">
        <v>-6.1199999999999997E-2</v>
      </c>
      <c r="O1126" s="1">
        <v>5.7000000000000002E-2</v>
      </c>
      <c r="P1126" s="1">
        <v>-0.1021</v>
      </c>
      <c r="Q1126" s="1">
        <v>3.2000000000000002E-3</v>
      </c>
      <c r="R1126" s="1">
        <v>-1.1299999999999999E-2</v>
      </c>
      <c r="S1126" s="1">
        <v>-6.4199999999999993E-2</v>
      </c>
      <c r="T1126" s="1">
        <v>-1.1299999999999999E-2</v>
      </c>
      <c r="U1126" s="1">
        <v>-0.10979999999999999</v>
      </c>
    </row>
    <row r="1127" spans="1:21" x14ac:dyDescent="0.25">
      <c r="A1127" t="s">
        <v>2411</v>
      </c>
      <c r="B1127" t="s">
        <v>2412</v>
      </c>
      <c r="C1127" t="s">
        <v>100</v>
      </c>
      <c r="D1127" t="s">
        <v>199</v>
      </c>
      <c r="E1127" t="s">
        <v>200</v>
      </c>
      <c r="F1127" t="str">
        <f t="shared" si="20"/>
        <v>2018-05-20</v>
      </c>
      <c r="G1127">
        <v>47.9</v>
      </c>
      <c r="H1127" t="str">
        <f>"2018-03-11"</f>
        <v>2018-03-11</v>
      </c>
      <c r="I1127" t="s">
        <v>26</v>
      </c>
      <c r="J1127" t="str">
        <f>"2018-01-25"</f>
        <v>2018-01-25</v>
      </c>
      <c r="K1127" t="s">
        <v>27</v>
      </c>
      <c r="L1127">
        <v>2.1754578800000002</v>
      </c>
      <c r="M1127">
        <v>1126</v>
      </c>
      <c r="N1127" s="1">
        <v>-0.13070000000000001</v>
      </c>
      <c r="O1127" s="1">
        <v>5.2699999999999997E-2</v>
      </c>
      <c r="P1127" s="1">
        <v>-0.15959999999999999</v>
      </c>
      <c r="Q1127" s="1">
        <v>2.0999999999999999E-3</v>
      </c>
      <c r="R1127" s="1">
        <v>-3.0999999999999999E-3</v>
      </c>
      <c r="S1127" s="1">
        <v>-0.12429999999999999</v>
      </c>
      <c r="T1127" s="1">
        <v>-8.7599999999999997E-2</v>
      </c>
      <c r="U1127" s="1">
        <v>-8.3299999999999999E-2</v>
      </c>
    </row>
    <row r="1128" spans="1:21" x14ac:dyDescent="0.25">
      <c r="A1128" t="s">
        <v>2413</v>
      </c>
      <c r="B1128" t="s">
        <v>2414</v>
      </c>
      <c r="C1128" t="s">
        <v>43</v>
      </c>
      <c r="D1128" t="s">
        <v>44</v>
      </c>
      <c r="E1128" t="s">
        <v>1039</v>
      </c>
      <c r="F1128" t="str">
        <f t="shared" si="20"/>
        <v>2018-05-20</v>
      </c>
      <c r="G1128">
        <v>24.55</v>
      </c>
      <c r="H1128" t="str">
        <f>"2018-03-15"</f>
        <v>2018-03-15</v>
      </c>
      <c r="I1128" t="s">
        <v>26</v>
      </c>
      <c r="J1128" t="str">
        <f>"2018-02-28"</f>
        <v>2018-02-28</v>
      </c>
      <c r="K1128" t="s">
        <v>40</v>
      </c>
      <c r="L1128">
        <v>2.17523198</v>
      </c>
      <c r="M1128">
        <v>1127</v>
      </c>
      <c r="N1128" s="1">
        <v>-7.5300000000000006E-2</v>
      </c>
      <c r="O1128" s="1">
        <v>5.1400000000000001E-2</v>
      </c>
      <c r="P1128" s="1">
        <v>-0.1201</v>
      </c>
      <c r="Q1128" s="1">
        <v>-6.1000000000000004E-3</v>
      </c>
      <c r="R1128" s="1">
        <v>4.0300000000000002E-2</v>
      </c>
      <c r="S1128" s="1">
        <v>2.29E-2</v>
      </c>
      <c r="T1128" s="1">
        <v>-4.1000000000000003E-3</v>
      </c>
      <c r="U1128" s="1">
        <v>0.26869999999999999</v>
      </c>
    </row>
    <row r="1129" spans="1:21" x14ac:dyDescent="0.25">
      <c r="A1129" t="s">
        <v>2415</v>
      </c>
      <c r="B1129" t="s">
        <v>2416</v>
      </c>
      <c r="C1129" t="s">
        <v>114</v>
      </c>
      <c r="D1129" t="s">
        <v>115</v>
      </c>
      <c r="E1129" t="s">
        <v>2137</v>
      </c>
      <c r="F1129" t="str">
        <f t="shared" si="20"/>
        <v>2018-05-20</v>
      </c>
      <c r="G1129">
        <v>32.799999999999997</v>
      </c>
      <c r="H1129" t="str">
        <f>"2018-03-11"</f>
        <v>2018-03-11</v>
      </c>
      <c r="I1129" t="s">
        <v>26</v>
      </c>
      <c r="J1129" t="str">
        <f>"2018-02-28"</f>
        <v>2018-02-28</v>
      </c>
      <c r="K1129" t="s">
        <v>27</v>
      </c>
      <c r="L1129">
        <v>2.1752136800000001</v>
      </c>
      <c r="M1129">
        <v>1128</v>
      </c>
      <c r="N1129" s="1">
        <v>-0.105</v>
      </c>
      <c r="O1129" s="1">
        <v>5.1299999999999998E-2</v>
      </c>
      <c r="P1129" s="1">
        <v>-0.1147</v>
      </c>
      <c r="Q1129" s="1">
        <v>1.55E-2</v>
      </c>
      <c r="R1129" s="1">
        <v>4.7899999999999998E-2</v>
      </c>
      <c r="S1129" s="1">
        <v>3.0999999999999999E-3</v>
      </c>
      <c r="T1129" s="1">
        <v>-6.4199999999999993E-2</v>
      </c>
      <c r="U1129" s="1">
        <v>-2.81E-2</v>
      </c>
    </row>
    <row r="1130" spans="1:21" x14ac:dyDescent="0.25">
      <c r="A1130" t="s">
        <v>2417</v>
      </c>
      <c r="B1130" t="s">
        <v>2418</v>
      </c>
      <c r="C1130" t="s">
        <v>83</v>
      </c>
      <c r="D1130" t="s">
        <v>84</v>
      </c>
      <c r="E1130" t="s">
        <v>84</v>
      </c>
      <c r="F1130" t="str">
        <f t="shared" si="20"/>
        <v>2018-05-20</v>
      </c>
      <c r="G1130">
        <v>52.44</v>
      </c>
      <c r="H1130" t="str">
        <f>"2018-03-12"</f>
        <v>2018-03-12</v>
      </c>
      <c r="I1130" t="s">
        <v>26</v>
      </c>
      <c r="J1130" t="str">
        <f>"2017-05-23"</f>
        <v>2017-05-23</v>
      </c>
      <c r="K1130" t="s">
        <v>57</v>
      </c>
      <c r="L1130">
        <v>2.1749749700000001</v>
      </c>
      <c r="M1130">
        <v>1129</v>
      </c>
      <c r="N1130" s="1">
        <v>-0.1231</v>
      </c>
      <c r="O1130" s="1">
        <v>4.9799999999999997E-2</v>
      </c>
      <c r="P1130" s="1">
        <v>-0.22170000000000001</v>
      </c>
      <c r="Q1130" s="1">
        <v>2.2200000000000001E-2</v>
      </c>
      <c r="R1130" s="1">
        <v>1.61E-2</v>
      </c>
      <c r="S1130" s="1">
        <v>-0.20630000000000001</v>
      </c>
      <c r="T1130" s="1">
        <v>-0.15490000000000001</v>
      </c>
      <c r="U1130" s="1">
        <v>-0.1792</v>
      </c>
    </row>
    <row r="1131" spans="1:21" x14ac:dyDescent="0.25">
      <c r="A1131" t="s">
        <v>2419</v>
      </c>
      <c r="B1131" t="s">
        <v>2420</v>
      </c>
      <c r="C1131" t="s">
        <v>37</v>
      </c>
      <c r="D1131" t="s">
        <v>38</v>
      </c>
      <c r="E1131" t="s">
        <v>39</v>
      </c>
      <c r="F1131" t="str">
        <f t="shared" si="20"/>
        <v>2018-05-20</v>
      </c>
      <c r="G1131">
        <v>3.4</v>
      </c>
      <c r="H1131" t="str">
        <f>"2018-02-27"</f>
        <v>2018-02-27</v>
      </c>
      <c r="I1131" t="s">
        <v>26</v>
      </c>
      <c r="J1131" t="str">
        <f>"2018-02-26"</f>
        <v>2018-02-26</v>
      </c>
      <c r="K1131" t="s">
        <v>27</v>
      </c>
      <c r="L1131">
        <v>2.1738241299999999</v>
      </c>
      <c r="M1131">
        <v>1130</v>
      </c>
      <c r="N1131" s="1">
        <v>-0.35610000000000003</v>
      </c>
      <c r="O1131" s="1">
        <v>4.2900000000000001E-2</v>
      </c>
      <c r="P1131" s="1">
        <v>-0.43709999999999999</v>
      </c>
      <c r="Q1131" s="1">
        <v>-1.4500000000000001E-2</v>
      </c>
      <c r="R1131" s="1">
        <v>1.49E-2</v>
      </c>
      <c r="S1131" s="1">
        <v>-5.0299999999999997E-2</v>
      </c>
      <c r="T1131" s="1">
        <v>-0.34489999999999998</v>
      </c>
      <c r="U1131" s="1">
        <v>0</v>
      </c>
    </row>
    <row r="1132" spans="1:21" x14ac:dyDescent="0.25">
      <c r="A1132" t="s">
        <v>2421</v>
      </c>
      <c r="B1132" t="s">
        <v>2422</v>
      </c>
      <c r="C1132" t="s">
        <v>100</v>
      </c>
      <c r="D1132" t="s">
        <v>199</v>
      </c>
      <c r="E1132" t="s">
        <v>200</v>
      </c>
      <c r="F1132" t="str">
        <f t="shared" si="20"/>
        <v>2018-05-20</v>
      </c>
      <c r="G1132">
        <v>10.4</v>
      </c>
      <c r="H1132" t="str">
        <f>"2018-04-04"</f>
        <v>2018-04-04</v>
      </c>
      <c r="I1132" t="s">
        <v>26</v>
      </c>
      <c r="J1132" t="str">
        <f>"2018-02-08"</f>
        <v>2018-02-08</v>
      </c>
      <c r="K1132" t="s">
        <v>40</v>
      </c>
      <c r="L1132">
        <v>2.1724709799999999</v>
      </c>
      <c r="M1132">
        <v>1131</v>
      </c>
      <c r="N1132" s="1">
        <v>-3.2599999999999997E-2</v>
      </c>
      <c r="O1132" s="1">
        <v>3.4799999999999998E-2</v>
      </c>
      <c r="P1132" s="1">
        <v>-0.1111</v>
      </c>
      <c r="Q1132" s="1">
        <v>1.46E-2</v>
      </c>
      <c r="R1132" s="1">
        <v>-4.5900000000000003E-2</v>
      </c>
      <c r="S1132" s="1">
        <v>-9.5699999999999993E-2</v>
      </c>
      <c r="T1132" s="1">
        <v>4.7999999999999996E-3</v>
      </c>
      <c r="U1132" s="1">
        <v>0.16850000000000001</v>
      </c>
    </row>
    <row r="1133" spans="1:21" x14ac:dyDescent="0.25">
      <c r="A1133" t="s">
        <v>2423</v>
      </c>
      <c r="B1133" t="s">
        <v>2424</v>
      </c>
      <c r="C1133" t="s">
        <v>37</v>
      </c>
      <c r="D1133" t="s">
        <v>38</v>
      </c>
      <c r="E1133" t="s">
        <v>39</v>
      </c>
      <c r="F1133" t="str">
        <f t="shared" si="20"/>
        <v>2018-05-20</v>
      </c>
      <c r="G1133">
        <v>4.8</v>
      </c>
      <c r="H1133" t="str">
        <f>"2018-02-20"</f>
        <v>2018-02-20</v>
      </c>
      <c r="I1133" t="s">
        <v>26</v>
      </c>
      <c r="J1133" t="str">
        <f>"2018-01-24"</f>
        <v>2018-01-24</v>
      </c>
      <c r="K1133" t="s">
        <v>57</v>
      </c>
      <c r="L1133">
        <v>2.1720430099999999</v>
      </c>
      <c r="M1133">
        <v>1132</v>
      </c>
      <c r="N1133" s="1">
        <v>-3.4200000000000001E-2</v>
      </c>
      <c r="O1133" s="1">
        <v>3.2300000000000002E-2</v>
      </c>
      <c r="P1133" s="1">
        <v>-0.18640000000000001</v>
      </c>
      <c r="Q1133" s="1">
        <v>0</v>
      </c>
      <c r="R1133" s="1">
        <v>3.4500000000000003E-2</v>
      </c>
      <c r="S1133" s="1">
        <v>-3.8100000000000002E-2</v>
      </c>
      <c r="T1133" s="1">
        <v>-2.64E-2</v>
      </c>
      <c r="U1133" s="1">
        <v>1.9099999999999999E-2</v>
      </c>
    </row>
    <row r="1134" spans="1:21" x14ac:dyDescent="0.25">
      <c r="A1134" t="s">
        <v>2425</v>
      </c>
      <c r="B1134" t="s">
        <v>2426</v>
      </c>
      <c r="C1134" t="s">
        <v>43</v>
      </c>
      <c r="D1134" t="s">
        <v>44</v>
      </c>
      <c r="E1134" t="s">
        <v>246</v>
      </c>
      <c r="F1134" t="str">
        <f t="shared" si="20"/>
        <v>2018-05-20</v>
      </c>
      <c r="G1134">
        <v>12.56</v>
      </c>
      <c r="H1134" t="str">
        <f>"2018-04-25"</f>
        <v>2018-04-25</v>
      </c>
      <c r="I1134" t="s">
        <v>26</v>
      </c>
      <c r="J1134" t="str">
        <f>"2018-03-12"</f>
        <v>2018-03-12</v>
      </c>
      <c r="K1134" t="s">
        <v>27</v>
      </c>
      <c r="L1134">
        <v>2.1711638</v>
      </c>
      <c r="M1134">
        <v>1133</v>
      </c>
      <c r="N1134" s="1">
        <v>-0.29520000000000002</v>
      </c>
      <c r="O1134" s="1">
        <v>2.7E-2</v>
      </c>
      <c r="P1134" s="1">
        <v>-0.31219999999999998</v>
      </c>
      <c r="Q1134" s="1">
        <v>7.1999999999999998E-3</v>
      </c>
      <c r="R1134" s="1">
        <v>7.0800000000000002E-2</v>
      </c>
      <c r="S1134" s="1">
        <v>-0.2843</v>
      </c>
      <c r="T1134" s="1">
        <v>-0.18390000000000001</v>
      </c>
      <c r="U1134" s="1">
        <v>-0.4199</v>
      </c>
    </row>
    <row r="1135" spans="1:21" x14ac:dyDescent="0.25">
      <c r="A1135" t="s">
        <v>2427</v>
      </c>
      <c r="B1135" t="s">
        <v>2428</v>
      </c>
      <c r="C1135" t="s">
        <v>37</v>
      </c>
      <c r="D1135" t="s">
        <v>38</v>
      </c>
      <c r="E1135" t="s">
        <v>39</v>
      </c>
      <c r="F1135" t="str">
        <f t="shared" si="20"/>
        <v>2018-05-20</v>
      </c>
      <c r="G1135">
        <v>8.93</v>
      </c>
      <c r="H1135" t="str">
        <f>"2018-04-22"</f>
        <v>2018-04-22</v>
      </c>
      <c r="I1135" t="s">
        <v>26</v>
      </c>
      <c r="J1135" t="str">
        <f>"2018-03-26"</f>
        <v>2018-03-26</v>
      </c>
      <c r="K1135" t="s">
        <v>27</v>
      </c>
      <c r="L1135">
        <v>2.1708763900000001</v>
      </c>
      <c r="M1135">
        <v>1134</v>
      </c>
      <c r="N1135" s="1">
        <v>-0.19040000000000001</v>
      </c>
      <c r="O1135" s="1">
        <v>2.53E-2</v>
      </c>
      <c r="P1135" s="1">
        <v>-0.39739999999999998</v>
      </c>
      <c r="Q1135" s="1">
        <v>1.4800000000000001E-2</v>
      </c>
      <c r="R1135" s="1">
        <v>-0.218</v>
      </c>
      <c r="S1135" s="1">
        <v>-0.14380000000000001</v>
      </c>
      <c r="T1135" s="1">
        <v>-5.5999999999999999E-3</v>
      </c>
      <c r="U1135" s="1">
        <v>-0.38879999999999998</v>
      </c>
    </row>
    <row r="1136" spans="1:21" x14ac:dyDescent="0.25">
      <c r="A1136" t="s">
        <v>2429</v>
      </c>
      <c r="B1136" t="s">
        <v>2430</v>
      </c>
      <c r="C1136" t="s">
        <v>109</v>
      </c>
      <c r="D1136" t="s">
        <v>156</v>
      </c>
      <c r="E1136" t="s">
        <v>277</v>
      </c>
      <c r="F1136" t="str">
        <f t="shared" si="20"/>
        <v>2018-05-20</v>
      </c>
      <c r="G1136">
        <v>8.7899999999999991</v>
      </c>
      <c r="H1136" t="str">
        <f>"2018-03-12"</f>
        <v>2018-03-12</v>
      </c>
      <c r="I1136" t="s">
        <v>26</v>
      </c>
      <c r="J1136" t="str">
        <f>"2018-02-04"</f>
        <v>2018-02-04</v>
      </c>
      <c r="K1136" t="s">
        <v>40</v>
      </c>
      <c r="L1136">
        <v>2.1660997700000002</v>
      </c>
      <c r="M1136">
        <v>1135</v>
      </c>
      <c r="N1136" s="1">
        <v>-0.23630000000000001</v>
      </c>
      <c r="O1136" s="1">
        <v>-3.3999999999999998E-3</v>
      </c>
      <c r="P1136" s="1">
        <v>-0.23630000000000001</v>
      </c>
      <c r="Q1136" s="1">
        <v>1.03E-2</v>
      </c>
      <c r="R1136" s="1">
        <v>4.5999999999999999E-3</v>
      </c>
      <c r="S1136" s="1">
        <v>-7.9600000000000004E-2</v>
      </c>
      <c r="T1136" s="1">
        <v>-0.15640000000000001</v>
      </c>
      <c r="U1136" s="1">
        <v>-0.20949999999999999</v>
      </c>
    </row>
    <row r="1137" spans="1:21" x14ac:dyDescent="0.25">
      <c r="A1137" t="s">
        <v>2431</v>
      </c>
      <c r="B1137" t="s">
        <v>2432</v>
      </c>
      <c r="C1137" t="s">
        <v>43</v>
      </c>
      <c r="D1137" t="s">
        <v>193</v>
      </c>
      <c r="E1137" t="s">
        <v>239</v>
      </c>
      <c r="F1137" t="str">
        <f t="shared" si="20"/>
        <v>2018-05-20</v>
      </c>
      <c r="G1137">
        <v>31.5</v>
      </c>
      <c r="H1137" t="str">
        <f>"2017-11-21"</f>
        <v>2017-11-21</v>
      </c>
      <c r="I1137" t="s">
        <v>26</v>
      </c>
      <c r="J1137" t="str">
        <f>"2017-08-24"</f>
        <v>2017-08-24</v>
      </c>
      <c r="K1137" t="s">
        <v>40</v>
      </c>
      <c r="L1137">
        <v>2.16509434</v>
      </c>
      <c r="M1137">
        <v>1136</v>
      </c>
      <c r="N1137" s="1">
        <v>-0.1201</v>
      </c>
      <c r="O1137" s="1">
        <v>-9.4000000000000004E-3</v>
      </c>
      <c r="P1137" s="1">
        <v>-0.19750000000000001</v>
      </c>
      <c r="Q1137" s="1">
        <v>-1.6000000000000001E-3</v>
      </c>
      <c r="R1137" s="1">
        <v>6.7799999999999999E-2</v>
      </c>
      <c r="S1137" s="1">
        <v>-0.13100000000000001</v>
      </c>
      <c r="T1137" s="1">
        <v>-0.11890000000000001</v>
      </c>
      <c r="U1137" s="1">
        <v>-0.14399999999999999</v>
      </c>
    </row>
    <row r="1138" spans="1:21" x14ac:dyDescent="0.25">
      <c r="A1138" t="s">
        <v>2433</v>
      </c>
      <c r="B1138" t="s">
        <v>2434</v>
      </c>
      <c r="C1138" t="s">
        <v>37</v>
      </c>
      <c r="D1138" t="s">
        <v>66</v>
      </c>
      <c r="E1138" t="s">
        <v>72</v>
      </c>
      <c r="F1138" t="str">
        <f t="shared" si="20"/>
        <v>2018-05-20</v>
      </c>
      <c r="G1138">
        <v>72.64</v>
      </c>
      <c r="H1138" t="str">
        <f>"2018-04-09"</f>
        <v>2018-04-09</v>
      </c>
      <c r="I1138" t="s">
        <v>26</v>
      </c>
      <c r="J1138" t="str">
        <f>"2018-03-11"</f>
        <v>2018-03-11</v>
      </c>
      <c r="K1138" t="s">
        <v>27</v>
      </c>
      <c r="L1138">
        <v>2.1642250000000001</v>
      </c>
      <c r="M1138">
        <v>1137</v>
      </c>
      <c r="N1138" s="1">
        <v>-0.1827</v>
      </c>
      <c r="O1138" s="1">
        <v>-1.47E-2</v>
      </c>
      <c r="P1138" s="1">
        <v>-0.2147</v>
      </c>
      <c r="Q1138" s="1">
        <v>-5.8999999999999999E-3</v>
      </c>
      <c r="R1138" s="1">
        <v>-5.0599999999999999E-2</v>
      </c>
      <c r="S1138" s="1">
        <v>-0.18859999999999999</v>
      </c>
      <c r="T1138" s="1">
        <v>-0.13880000000000001</v>
      </c>
      <c r="U1138" s="1">
        <v>-1.6899999999999998E-2</v>
      </c>
    </row>
    <row r="1139" spans="1:21" x14ac:dyDescent="0.25">
      <c r="A1139" t="s">
        <v>2435</v>
      </c>
      <c r="B1139" t="s">
        <v>2436</v>
      </c>
      <c r="C1139" t="s">
        <v>100</v>
      </c>
      <c r="D1139" t="s">
        <v>199</v>
      </c>
      <c r="E1139" t="s">
        <v>200</v>
      </c>
      <c r="F1139" t="str">
        <f t="shared" si="20"/>
        <v>2018-05-20</v>
      </c>
      <c r="G1139">
        <v>71.400000000000006</v>
      </c>
      <c r="H1139" t="str">
        <f>"2018-04-15"</f>
        <v>2018-04-15</v>
      </c>
      <c r="I1139" t="s">
        <v>26</v>
      </c>
      <c r="J1139" t="str">
        <f>"2018-03-05"</f>
        <v>2018-03-05</v>
      </c>
      <c r="K1139" t="s">
        <v>27</v>
      </c>
      <c r="L1139">
        <v>2.1633493499999998</v>
      </c>
      <c r="M1139">
        <v>1138</v>
      </c>
      <c r="N1139" s="1">
        <v>-0.1694</v>
      </c>
      <c r="O1139" s="1">
        <v>-1.9900000000000001E-2</v>
      </c>
      <c r="P1139" s="1">
        <v>-0.2</v>
      </c>
      <c r="Q1139" s="1">
        <v>3.3999999999999998E-3</v>
      </c>
      <c r="R1139" s="1">
        <v>3.3399999999999999E-2</v>
      </c>
      <c r="S1139" s="1">
        <v>-0.2</v>
      </c>
      <c r="T1139" s="1">
        <v>-0.1062</v>
      </c>
      <c r="U1139" s="1">
        <v>-0.14699999999999999</v>
      </c>
    </row>
    <row r="1140" spans="1:21" x14ac:dyDescent="0.25">
      <c r="A1140" t="s">
        <v>2437</v>
      </c>
      <c r="B1140" t="s">
        <v>2438</v>
      </c>
      <c r="C1140" t="s">
        <v>43</v>
      </c>
      <c r="D1140" t="s">
        <v>169</v>
      </c>
      <c r="E1140" t="s">
        <v>904</v>
      </c>
      <c r="F1140" t="str">
        <f t="shared" si="20"/>
        <v>2018-05-20</v>
      </c>
      <c r="G1140">
        <v>7.76</v>
      </c>
      <c r="H1140" t="str">
        <f>"2017-12-28"</f>
        <v>2017-12-28</v>
      </c>
      <c r="I1140" t="s">
        <v>26</v>
      </c>
      <c r="J1140" t="str">
        <f>"2017-10-25"</f>
        <v>2017-10-25</v>
      </c>
      <c r="K1140" t="s">
        <v>40</v>
      </c>
      <c r="L1140">
        <v>2.1628883299999999</v>
      </c>
      <c r="M1140">
        <v>1139</v>
      </c>
      <c r="N1140" s="1">
        <v>-0.18229999999999999</v>
      </c>
      <c r="O1140" s="1">
        <v>-2.2700000000000001E-2</v>
      </c>
      <c r="P1140" s="1">
        <v>-0.27750000000000002</v>
      </c>
      <c r="Q1140" s="1">
        <v>-3.5999999999999997E-2</v>
      </c>
      <c r="R1140" s="1">
        <v>-0.13200000000000001</v>
      </c>
      <c r="S1140" s="1">
        <v>-0.12509999999999999</v>
      </c>
      <c r="T1140" s="1">
        <v>-2.8799999999999999E-2</v>
      </c>
      <c r="U1140" s="1">
        <v>0.15989999999999999</v>
      </c>
    </row>
    <row r="1141" spans="1:21" x14ac:dyDescent="0.25">
      <c r="A1141" t="s">
        <v>2439</v>
      </c>
      <c r="B1141" t="s">
        <v>2440</v>
      </c>
      <c r="C1141" t="s">
        <v>30</v>
      </c>
      <c r="D1141" t="s">
        <v>48</v>
      </c>
      <c r="E1141" t="s">
        <v>177</v>
      </c>
      <c r="F1141" t="str">
        <f t="shared" si="20"/>
        <v>2018-05-20</v>
      </c>
      <c r="G1141">
        <v>16.329999999999998</v>
      </c>
      <c r="H1141" t="str">
        <f>"2017-08-31"</f>
        <v>2017-08-31</v>
      </c>
      <c r="I1141" t="s">
        <v>26</v>
      </c>
      <c r="J1141" t="str">
        <f>"2017-08-29"</f>
        <v>2017-08-29</v>
      </c>
      <c r="K1141" t="s">
        <v>40</v>
      </c>
      <c r="L1141">
        <v>2.1607599899999999</v>
      </c>
      <c r="M1141">
        <v>1140</v>
      </c>
      <c r="N1141" s="1">
        <v>-6.6900000000000001E-2</v>
      </c>
      <c r="O1141" s="1">
        <v>-3.5400000000000001E-2</v>
      </c>
      <c r="P1141" s="1">
        <v>-0.2994</v>
      </c>
      <c r="Q1141" s="1">
        <v>-5.9999999999999995E-4</v>
      </c>
      <c r="R1141" s="1">
        <v>3.4200000000000001E-2</v>
      </c>
      <c r="S1141" s="1">
        <v>5.3499999999999999E-2</v>
      </c>
      <c r="T1141" s="1">
        <v>-0.2319</v>
      </c>
      <c r="U1141" s="1">
        <v>-1.09E-2</v>
      </c>
    </row>
    <row r="1142" spans="1:21" x14ac:dyDescent="0.25">
      <c r="A1142" t="s">
        <v>2441</v>
      </c>
      <c r="B1142" t="s">
        <v>2442</v>
      </c>
      <c r="C1142" t="s">
        <v>37</v>
      </c>
      <c r="D1142" t="s">
        <v>38</v>
      </c>
      <c r="E1142" t="s">
        <v>39</v>
      </c>
      <c r="F1142" t="str">
        <f t="shared" si="20"/>
        <v>2018-05-20</v>
      </c>
      <c r="G1142">
        <v>5.95</v>
      </c>
      <c r="H1142" t="str">
        <f>"2017-02-27"</f>
        <v>2017-02-27</v>
      </c>
      <c r="I1142" t="s">
        <v>26</v>
      </c>
      <c r="J1142" t="str">
        <f>"2017-02-07"</f>
        <v>2017-02-07</v>
      </c>
      <c r="K1142" t="s">
        <v>40</v>
      </c>
      <c r="L1142">
        <v>2.1586666700000001</v>
      </c>
      <c r="M1142">
        <v>1141</v>
      </c>
      <c r="N1142" s="1">
        <v>-0.34620000000000001</v>
      </c>
      <c r="O1142" s="1">
        <v>-4.8000000000000001E-2</v>
      </c>
      <c r="P1142" s="1">
        <v>-0.42509999999999998</v>
      </c>
      <c r="Q1142" s="1">
        <v>-3.6400000000000002E-2</v>
      </c>
      <c r="R1142" s="1">
        <v>3.4799999999999998E-2</v>
      </c>
      <c r="S1142" s="1">
        <v>-0.1053</v>
      </c>
      <c r="T1142" s="1">
        <v>-0.23719999999999999</v>
      </c>
      <c r="U1142" s="1">
        <v>-9.1600000000000001E-2</v>
      </c>
    </row>
    <row r="1143" spans="1:21" x14ac:dyDescent="0.25">
      <c r="A1143" t="s">
        <v>2443</v>
      </c>
      <c r="B1143" t="s">
        <v>2444</v>
      </c>
      <c r="C1143" t="s">
        <v>37</v>
      </c>
      <c r="D1143" t="s">
        <v>38</v>
      </c>
      <c r="E1143" t="s">
        <v>39</v>
      </c>
      <c r="F1143" t="str">
        <f t="shared" si="20"/>
        <v>2018-05-20</v>
      </c>
      <c r="G1143">
        <v>10.6</v>
      </c>
      <c r="H1143" t="str">
        <f>"2018-02-08"</f>
        <v>2018-02-08</v>
      </c>
      <c r="I1143" t="s">
        <v>26</v>
      </c>
      <c r="J1143" t="str">
        <f>"2017-01-29"</f>
        <v>2017-01-29</v>
      </c>
      <c r="K1143" t="s">
        <v>34</v>
      </c>
      <c r="L1143">
        <v>2.1581617400000002</v>
      </c>
      <c r="M1143">
        <v>1142</v>
      </c>
      <c r="N1143" s="1">
        <v>-0.55940000000000001</v>
      </c>
      <c r="O1143" s="1">
        <v>-5.0999999999999997E-2</v>
      </c>
      <c r="P1143" s="1">
        <v>-0.62680000000000002</v>
      </c>
      <c r="Q1143" s="1">
        <v>-6.7699999999999996E-2</v>
      </c>
      <c r="R1143" s="1">
        <v>-0.41370000000000001</v>
      </c>
      <c r="S1143" s="1">
        <v>-0.435</v>
      </c>
      <c r="T1143" s="1">
        <v>-0.53100000000000003</v>
      </c>
      <c r="U1143" s="1">
        <v>-0.51749999999999996</v>
      </c>
    </row>
    <row r="1144" spans="1:21" x14ac:dyDescent="0.25">
      <c r="A1144" t="s">
        <v>2445</v>
      </c>
      <c r="B1144" t="s">
        <v>2446</v>
      </c>
      <c r="C1144" t="s">
        <v>37</v>
      </c>
      <c r="D1144" t="s">
        <v>38</v>
      </c>
      <c r="E1144" t="s">
        <v>97</v>
      </c>
      <c r="F1144" t="str">
        <f t="shared" si="20"/>
        <v>2018-05-20</v>
      </c>
      <c r="G1144">
        <v>40.69</v>
      </c>
      <c r="H1144" t="str">
        <f>"2018-04-09"</f>
        <v>2018-04-09</v>
      </c>
      <c r="I1144" t="s">
        <v>26</v>
      </c>
      <c r="J1144" t="str">
        <f>"2018-04-08"</f>
        <v>2018-04-08</v>
      </c>
      <c r="K1144" t="s">
        <v>40</v>
      </c>
      <c r="L1144">
        <v>2.15202122</v>
      </c>
      <c r="M1144">
        <v>1143</v>
      </c>
      <c r="N1144" s="1">
        <v>-0.1133</v>
      </c>
      <c r="O1144" s="1">
        <v>-8.7900000000000006E-2</v>
      </c>
      <c r="P1144" s="1">
        <v>-0.19089999999999999</v>
      </c>
      <c r="Q1144" s="1">
        <v>-2.7E-2</v>
      </c>
      <c r="R1144" s="1">
        <v>-3.3700000000000001E-2</v>
      </c>
      <c r="S1144" s="1">
        <v>-7.1599999999999997E-2</v>
      </c>
      <c r="T1144" s="1">
        <v>-0.2923</v>
      </c>
      <c r="U1144" s="1">
        <v>0.74639999999999995</v>
      </c>
    </row>
    <row r="1145" spans="1:21" x14ac:dyDescent="0.25">
      <c r="A1145" t="s">
        <v>2447</v>
      </c>
      <c r="B1145" t="s">
        <v>2448</v>
      </c>
      <c r="C1145" t="s">
        <v>30</v>
      </c>
      <c r="D1145" t="s">
        <v>299</v>
      </c>
      <c r="E1145" t="s">
        <v>1087</v>
      </c>
      <c r="F1145" t="str">
        <f t="shared" si="20"/>
        <v>2018-05-20</v>
      </c>
      <c r="G1145">
        <v>27.47</v>
      </c>
      <c r="H1145" t="str">
        <f>"2018-05-07"</f>
        <v>2018-05-07</v>
      </c>
      <c r="I1145" t="s">
        <v>27</v>
      </c>
      <c r="J1145" t="str">
        <f>"2018-02-11"</f>
        <v>2018-02-11</v>
      </c>
      <c r="K1145" t="s">
        <v>57</v>
      </c>
      <c r="L1145">
        <v>1.2142411500000001</v>
      </c>
      <c r="M1145">
        <v>1144</v>
      </c>
      <c r="N1145" s="1">
        <v>-1.1000000000000001E-3</v>
      </c>
      <c r="O1145" s="1">
        <v>0.28539999999999999</v>
      </c>
      <c r="P1145" s="1">
        <v>-2.2000000000000001E-3</v>
      </c>
      <c r="Q1145" s="1">
        <v>-1.5E-3</v>
      </c>
      <c r="R1145" s="1">
        <v>-2.2000000000000001E-3</v>
      </c>
      <c r="S1145" s="1">
        <v>0.22140000000000001</v>
      </c>
      <c r="T1145" s="1">
        <v>0.23130000000000001</v>
      </c>
      <c r="U1145" s="1">
        <v>-5.0799999999999998E-2</v>
      </c>
    </row>
    <row r="1146" spans="1:21" x14ac:dyDescent="0.25">
      <c r="A1146" t="s">
        <v>2449</v>
      </c>
      <c r="B1146" t="s">
        <v>2450</v>
      </c>
      <c r="C1146" t="s">
        <v>87</v>
      </c>
      <c r="D1146" t="s">
        <v>144</v>
      </c>
      <c r="E1146" t="s">
        <v>2451</v>
      </c>
      <c r="F1146" t="str">
        <f t="shared" si="20"/>
        <v>2018-05-20</v>
      </c>
      <c r="G1146">
        <v>26.1</v>
      </c>
      <c r="H1146" t="str">
        <f>"2018-05-17"</f>
        <v>2018-05-17</v>
      </c>
      <c r="I1146" t="s">
        <v>27</v>
      </c>
      <c r="J1146" t="str">
        <f>"2018-03-18"</f>
        <v>2018-03-18</v>
      </c>
      <c r="K1146" t="s">
        <v>57</v>
      </c>
      <c r="L1146">
        <v>1.21271394</v>
      </c>
      <c r="M1146">
        <v>1145</v>
      </c>
      <c r="N1146" s="1">
        <v>3.8E-3</v>
      </c>
      <c r="O1146" s="1">
        <v>0.27629999999999999</v>
      </c>
      <c r="P1146" s="1">
        <v>0</v>
      </c>
      <c r="Q1146" s="1">
        <v>3.8E-3</v>
      </c>
      <c r="R1146" s="1">
        <v>0</v>
      </c>
      <c r="S1146" s="1">
        <v>7.1900000000000006E-2</v>
      </c>
      <c r="T1146" s="1">
        <v>0.1226</v>
      </c>
      <c r="U1146" s="1">
        <v>-0.2162</v>
      </c>
    </row>
    <row r="1147" spans="1:21" x14ac:dyDescent="0.25">
      <c r="A1147" t="s">
        <v>2452</v>
      </c>
      <c r="B1147" t="s">
        <v>2453</v>
      </c>
      <c r="C1147" t="s">
        <v>43</v>
      </c>
      <c r="D1147" t="s">
        <v>150</v>
      </c>
      <c r="E1147" t="s">
        <v>408</v>
      </c>
      <c r="F1147" t="str">
        <f t="shared" si="20"/>
        <v>2018-05-20</v>
      </c>
      <c r="G1147">
        <v>16.989999999999998</v>
      </c>
      <c r="H1147" t="str">
        <f>"2018-05-21"</f>
        <v>2018-05-21</v>
      </c>
      <c r="I1147" t="s">
        <v>27</v>
      </c>
      <c r="J1147" t="str">
        <f>"2018-04-04"</f>
        <v>2018-04-04</v>
      </c>
      <c r="K1147" t="s">
        <v>57</v>
      </c>
      <c r="L1147">
        <v>1.2124281100000001</v>
      </c>
      <c r="M1147">
        <v>1146</v>
      </c>
      <c r="N1147" s="1">
        <v>0</v>
      </c>
      <c r="O1147" s="1">
        <v>0.27460000000000001</v>
      </c>
      <c r="P1147" s="1">
        <v>0</v>
      </c>
      <c r="Q1147" s="1">
        <v>2.29E-2</v>
      </c>
      <c r="R1147" s="1">
        <v>0.109</v>
      </c>
      <c r="S1147" s="1">
        <v>0.2258</v>
      </c>
      <c r="T1147" s="1">
        <v>0.10970000000000001</v>
      </c>
      <c r="U1147" s="1">
        <v>5.3E-3</v>
      </c>
    </row>
    <row r="1148" spans="1:21" x14ac:dyDescent="0.25">
      <c r="A1148" t="s">
        <v>2454</v>
      </c>
      <c r="B1148" t="s">
        <v>2455</v>
      </c>
      <c r="C1148" t="s">
        <v>30</v>
      </c>
      <c r="D1148" t="s">
        <v>299</v>
      </c>
      <c r="E1148" t="s">
        <v>2289</v>
      </c>
      <c r="F1148" t="str">
        <f t="shared" si="20"/>
        <v>2018-05-20</v>
      </c>
      <c r="G1148">
        <v>7.15</v>
      </c>
      <c r="H1148" t="str">
        <f>"2018-05-20"</f>
        <v>2018-05-20</v>
      </c>
      <c r="I1148" t="s">
        <v>27</v>
      </c>
      <c r="J1148" t="str">
        <f>"2017-03-19"</f>
        <v>2017-03-19</v>
      </c>
      <c r="K1148" t="s">
        <v>57</v>
      </c>
      <c r="L1148">
        <v>1.2116637100000001</v>
      </c>
      <c r="M1148">
        <v>1147</v>
      </c>
      <c r="N1148" s="1">
        <v>1.4200000000000001E-2</v>
      </c>
      <c r="O1148" s="1">
        <v>0.27</v>
      </c>
      <c r="P1148" s="1">
        <v>0</v>
      </c>
      <c r="Q1148" s="1">
        <v>1.4200000000000001E-2</v>
      </c>
      <c r="R1148" s="1">
        <v>3.1699999999999999E-2</v>
      </c>
      <c r="S1148" s="1">
        <v>0.20780000000000001</v>
      </c>
      <c r="T1148" s="1">
        <v>4.0800000000000003E-2</v>
      </c>
      <c r="U1148" s="1">
        <v>-8.4500000000000006E-2</v>
      </c>
    </row>
    <row r="1149" spans="1:21" x14ac:dyDescent="0.25">
      <c r="A1149" t="s">
        <v>2456</v>
      </c>
      <c r="B1149" t="s">
        <v>2457</v>
      </c>
      <c r="C1149" t="s">
        <v>23</v>
      </c>
      <c r="D1149" t="s">
        <v>411</v>
      </c>
      <c r="E1149" t="s">
        <v>412</v>
      </c>
      <c r="F1149" t="str">
        <f t="shared" si="20"/>
        <v>2018-05-20</v>
      </c>
      <c r="G1149">
        <v>4.95</v>
      </c>
      <c r="H1149" t="str">
        <f>"2018-05-13"</f>
        <v>2018-05-13</v>
      </c>
      <c r="I1149" t="s">
        <v>27</v>
      </c>
      <c r="J1149" t="str">
        <f>"2018-03-20"</f>
        <v>2018-03-20</v>
      </c>
      <c r="K1149" t="s">
        <v>57</v>
      </c>
      <c r="L1149">
        <v>1.2115384600000001</v>
      </c>
      <c r="M1149">
        <v>1148</v>
      </c>
      <c r="N1149" s="1">
        <v>0</v>
      </c>
      <c r="O1149" s="1">
        <v>0.26919999999999999</v>
      </c>
      <c r="P1149" s="1">
        <v>-1.9800000000000002E-2</v>
      </c>
      <c r="Q1149" s="1">
        <v>-0.01</v>
      </c>
      <c r="R1149" s="1">
        <v>0</v>
      </c>
      <c r="S1149" s="1">
        <v>2.06E-2</v>
      </c>
      <c r="T1149" s="1">
        <v>0.1512</v>
      </c>
      <c r="U1149" s="1">
        <v>-0.58720000000000006</v>
      </c>
    </row>
    <row r="1150" spans="1:21" x14ac:dyDescent="0.25">
      <c r="A1150" t="s">
        <v>2458</v>
      </c>
      <c r="B1150" t="s">
        <v>2459</v>
      </c>
      <c r="C1150" t="s">
        <v>30</v>
      </c>
      <c r="D1150" t="s">
        <v>347</v>
      </c>
      <c r="E1150" t="s">
        <v>532</v>
      </c>
      <c r="F1150" t="str">
        <f t="shared" si="20"/>
        <v>2018-05-20</v>
      </c>
      <c r="G1150">
        <v>7.55</v>
      </c>
      <c r="H1150" t="str">
        <f>"2018-04-22"</f>
        <v>2018-04-22</v>
      </c>
      <c r="I1150" t="s">
        <v>27</v>
      </c>
      <c r="J1150" t="str">
        <f>"2017-05-25"</f>
        <v>2017-05-25</v>
      </c>
      <c r="K1150" t="s">
        <v>57</v>
      </c>
      <c r="L1150">
        <v>1.20972222</v>
      </c>
      <c r="M1150">
        <v>1149</v>
      </c>
      <c r="N1150" s="1">
        <v>-3.2099999999999997E-2</v>
      </c>
      <c r="O1150" s="1">
        <v>0.25829999999999997</v>
      </c>
      <c r="P1150" s="1">
        <v>-9.5799999999999996E-2</v>
      </c>
      <c r="Q1150" s="1">
        <v>3.4200000000000001E-2</v>
      </c>
      <c r="R1150" s="1">
        <v>-5.0299999999999997E-2</v>
      </c>
      <c r="S1150" s="1">
        <v>-4.4299999999999999E-2</v>
      </c>
      <c r="T1150" s="1">
        <v>3.4200000000000001E-2</v>
      </c>
      <c r="U1150" s="1">
        <v>-0.27050000000000002</v>
      </c>
    </row>
    <row r="1151" spans="1:21" x14ac:dyDescent="0.25">
      <c r="A1151" t="s">
        <v>2460</v>
      </c>
      <c r="B1151" t="s">
        <v>2461</v>
      </c>
      <c r="C1151" t="s">
        <v>518</v>
      </c>
      <c r="D1151" t="s">
        <v>573</v>
      </c>
      <c r="E1151" t="s">
        <v>1385</v>
      </c>
      <c r="F1151" t="str">
        <f t="shared" si="20"/>
        <v>2018-05-20</v>
      </c>
      <c r="G1151">
        <v>32.4</v>
      </c>
      <c r="H1151" t="str">
        <f>"2018-05-06"</f>
        <v>2018-05-06</v>
      </c>
      <c r="I1151" t="s">
        <v>27</v>
      </c>
      <c r="J1151" t="str">
        <f>"2017-12-19"</f>
        <v>2017-12-19</v>
      </c>
      <c r="K1151" t="s">
        <v>57</v>
      </c>
      <c r="L1151">
        <v>1.2068173099999999</v>
      </c>
      <c r="M1151">
        <v>1150</v>
      </c>
      <c r="N1151" s="1">
        <v>3.5099999999999999E-2</v>
      </c>
      <c r="O1151" s="1">
        <v>0.2409</v>
      </c>
      <c r="P1151" s="1">
        <v>-7.0000000000000001E-3</v>
      </c>
      <c r="Q1151" s="1">
        <v>8.9999999999999993E-3</v>
      </c>
      <c r="R1151" s="1">
        <v>-1.5E-3</v>
      </c>
      <c r="S1151" s="1">
        <v>6.6100000000000006E-2</v>
      </c>
      <c r="T1151" s="1">
        <v>0.17780000000000001</v>
      </c>
      <c r="U1151" s="1">
        <v>-7.6100000000000001E-2</v>
      </c>
    </row>
    <row r="1152" spans="1:21" x14ac:dyDescent="0.25">
      <c r="A1152" t="s">
        <v>2462</v>
      </c>
      <c r="B1152" t="s">
        <v>2463</v>
      </c>
      <c r="C1152" t="s">
        <v>30</v>
      </c>
      <c r="D1152" t="s">
        <v>299</v>
      </c>
      <c r="E1152" t="s">
        <v>300</v>
      </c>
      <c r="F1152" t="str">
        <f t="shared" si="20"/>
        <v>2018-05-20</v>
      </c>
      <c r="G1152">
        <v>24.23</v>
      </c>
      <c r="H1152" t="str">
        <f>"2018-05-02"</f>
        <v>2018-05-02</v>
      </c>
      <c r="I1152" t="s">
        <v>27</v>
      </c>
      <c r="J1152" t="str">
        <f>"2017-12-11"</f>
        <v>2017-12-11</v>
      </c>
      <c r="K1152" t="s">
        <v>57</v>
      </c>
      <c r="L1152">
        <v>1.20551315</v>
      </c>
      <c r="M1152">
        <v>1151</v>
      </c>
      <c r="N1152" s="1">
        <v>1.1999999999999999E-3</v>
      </c>
      <c r="O1152" s="1">
        <v>0.2331</v>
      </c>
      <c r="P1152" s="1">
        <v>-3.0800000000000001E-2</v>
      </c>
      <c r="Q1152" s="1">
        <v>1.55E-2</v>
      </c>
      <c r="R1152" s="1">
        <v>2.4500000000000001E-2</v>
      </c>
      <c r="S1152" s="1">
        <v>0.12230000000000001</v>
      </c>
      <c r="T1152" s="1">
        <v>9.64E-2</v>
      </c>
      <c r="U1152" s="1">
        <v>-0.20430000000000001</v>
      </c>
    </row>
    <row r="1153" spans="1:21" x14ac:dyDescent="0.25">
      <c r="A1153" t="s">
        <v>2464</v>
      </c>
      <c r="B1153" t="s">
        <v>2465</v>
      </c>
      <c r="C1153" t="s">
        <v>109</v>
      </c>
      <c r="D1153" t="s">
        <v>110</v>
      </c>
      <c r="E1153" t="s">
        <v>251</v>
      </c>
      <c r="F1153" t="str">
        <f t="shared" si="20"/>
        <v>2018-05-20</v>
      </c>
      <c r="G1153">
        <v>9.0500000000000007</v>
      </c>
      <c r="H1153" t="str">
        <f>"2018-05-13"</f>
        <v>2018-05-13</v>
      </c>
      <c r="I1153" t="s">
        <v>27</v>
      </c>
      <c r="J1153" t="str">
        <f>"2018-04-16"</f>
        <v>2018-04-16</v>
      </c>
      <c r="K1153" t="s">
        <v>57</v>
      </c>
      <c r="L1153">
        <v>1.20521542</v>
      </c>
      <c r="M1153">
        <v>1152</v>
      </c>
      <c r="N1153" s="1">
        <v>-5.4999999999999997E-3</v>
      </c>
      <c r="O1153" s="1">
        <v>0.23130000000000001</v>
      </c>
      <c r="P1153" s="1">
        <v>-1.09E-2</v>
      </c>
      <c r="Q1153" s="1">
        <v>-1.09E-2</v>
      </c>
      <c r="R1153" s="1">
        <v>5.5999999999999999E-3</v>
      </c>
      <c r="S1153" s="1">
        <v>0.21479999999999999</v>
      </c>
      <c r="T1153" s="1">
        <v>0.17530000000000001</v>
      </c>
      <c r="U1153" s="1">
        <v>0.19869999999999999</v>
      </c>
    </row>
    <row r="1154" spans="1:21" x14ac:dyDescent="0.25">
      <c r="A1154" t="s">
        <v>2466</v>
      </c>
      <c r="B1154" t="s">
        <v>2467</v>
      </c>
      <c r="C1154" t="s">
        <v>43</v>
      </c>
      <c r="D1154" t="s">
        <v>193</v>
      </c>
      <c r="E1154" t="s">
        <v>194</v>
      </c>
      <c r="F1154" t="str">
        <f t="shared" si="20"/>
        <v>2018-05-20</v>
      </c>
      <c r="G1154">
        <v>7.45</v>
      </c>
      <c r="H1154" t="str">
        <f>"2018-05-21"</f>
        <v>2018-05-21</v>
      </c>
      <c r="I1154" t="s">
        <v>27</v>
      </c>
      <c r="J1154" t="str">
        <f>"2018-05-01"</f>
        <v>2018-05-01</v>
      </c>
      <c r="K1154" t="s">
        <v>57</v>
      </c>
      <c r="L1154">
        <v>1.2045579399999999</v>
      </c>
      <c r="M1154">
        <v>1153</v>
      </c>
      <c r="N1154" s="1">
        <v>0</v>
      </c>
      <c r="O1154" s="1">
        <v>0.2273</v>
      </c>
      <c r="P1154" s="1">
        <v>0</v>
      </c>
      <c r="Q1154" s="1">
        <v>2.7000000000000001E-3</v>
      </c>
      <c r="R1154" s="1">
        <v>2.6200000000000001E-2</v>
      </c>
      <c r="S1154" s="1">
        <v>0.1021</v>
      </c>
      <c r="T1154" s="1">
        <v>5.0799999999999998E-2</v>
      </c>
      <c r="U1154" s="1">
        <v>3.1899999999999998E-2</v>
      </c>
    </row>
    <row r="1155" spans="1:21" x14ac:dyDescent="0.25">
      <c r="A1155" t="s">
        <v>2468</v>
      </c>
      <c r="B1155" t="s">
        <v>2469</v>
      </c>
      <c r="C1155" t="s">
        <v>30</v>
      </c>
      <c r="D1155" t="s">
        <v>299</v>
      </c>
      <c r="E1155" t="s">
        <v>300</v>
      </c>
      <c r="F1155" t="str">
        <f t="shared" si="20"/>
        <v>2018-05-20</v>
      </c>
      <c r="G1155">
        <v>19.579999999999998</v>
      </c>
      <c r="H1155" t="str">
        <f>"2018-05-07"</f>
        <v>2018-05-07</v>
      </c>
      <c r="I1155" t="s">
        <v>27</v>
      </c>
      <c r="J1155" t="str">
        <f>"2017-07-20"</f>
        <v>2017-07-20</v>
      </c>
      <c r="K1155" t="s">
        <v>57</v>
      </c>
      <c r="L1155">
        <v>1.20446951</v>
      </c>
      <c r="M1155">
        <v>1154</v>
      </c>
      <c r="N1155" s="1">
        <v>5.0000000000000001E-4</v>
      </c>
      <c r="O1155" s="1">
        <v>0.2268</v>
      </c>
      <c r="P1155" s="1">
        <v>-2.8799999999999999E-2</v>
      </c>
      <c r="Q1155" s="1">
        <v>2.35E-2</v>
      </c>
      <c r="R1155" s="1">
        <v>-2.3E-2</v>
      </c>
      <c r="S1155" s="1">
        <v>0.13969999999999999</v>
      </c>
      <c r="T1155" s="1">
        <v>0.1246</v>
      </c>
      <c r="U1155" s="1">
        <v>-0.2021</v>
      </c>
    </row>
    <row r="1156" spans="1:21" x14ac:dyDescent="0.25">
      <c r="A1156" t="s">
        <v>2470</v>
      </c>
      <c r="B1156" t="s">
        <v>2471</v>
      </c>
      <c r="C1156" t="s">
        <v>30</v>
      </c>
      <c r="D1156" t="s">
        <v>77</v>
      </c>
      <c r="E1156" t="s">
        <v>1008</v>
      </c>
      <c r="F1156" t="str">
        <f t="shared" si="20"/>
        <v>2018-05-20</v>
      </c>
      <c r="G1156">
        <v>19.8</v>
      </c>
      <c r="H1156" t="str">
        <f>"2018-04-12"</f>
        <v>2018-04-12</v>
      </c>
      <c r="I1156" t="s">
        <v>27</v>
      </c>
      <c r="J1156" t="str">
        <f>"2017-07-03"</f>
        <v>2017-07-03</v>
      </c>
      <c r="K1156" t="s">
        <v>57</v>
      </c>
      <c r="L1156">
        <v>1.20433437</v>
      </c>
      <c r="M1156">
        <v>1155</v>
      </c>
      <c r="N1156" s="1">
        <v>9.7000000000000003E-2</v>
      </c>
      <c r="O1156" s="1">
        <v>0.22600000000000001</v>
      </c>
      <c r="P1156" s="1">
        <v>-0.01</v>
      </c>
      <c r="Q1156" s="1">
        <v>5.1000000000000004E-3</v>
      </c>
      <c r="R1156" s="1">
        <v>-2.5000000000000001E-3</v>
      </c>
      <c r="S1156" s="1">
        <v>6.1699999999999998E-2</v>
      </c>
      <c r="T1156" s="1">
        <v>0.1545</v>
      </c>
      <c r="U1156" s="1">
        <v>-3.1800000000000002E-2</v>
      </c>
    </row>
    <row r="1157" spans="1:21" x14ac:dyDescent="0.25">
      <c r="A1157" t="s">
        <v>2472</v>
      </c>
      <c r="B1157" t="s">
        <v>2473</v>
      </c>
      <c r="C1157" t="s">
        <v>109</v>
      </c>
      <c r="D1157" t="s">
        <v>110</v>
      </c>
      <c r="E1157" t="s">
        <v>111</v>
      </c>
      <c r="F1157" t="str">
        <f t="shared" si="20"/>
        <v>2018-05-20</v>
      </c>
      <c r="G1157">
        <v>8.75</v>
      </c>
      <c r="H1157" t="str">
        <f>"2018-05-02"</f>
        <v>2018-05-02</v>
      </c>
      <c r="I1157" t="s">
        <v>27</v>
      </c>
      <c r="J1157" t="str">
        <f>"2018-04-09"</f>
        <v>2018-04-09</v>
      </c>
      <c r="K1157" t="s">
        <v>57</v>
      </c>
      <c r="L1157">
        <v>1.20184544</v>
      </c>
      <c r="M1157">
        <v>1156</v>
      </c>
      <c r="N1157" s="1">
        <v>-2.7799999999999998E-2</v>
      </c>
      <c r="O1157" s="1">
        <v>0.21110000000000001</v>
      </c>
      <c r="P1157" s="1">
        <v>-2.7799999999999998E-2</v>
      </c>
      <c r="Q1157" s="1">
        <v>1.7399999999999999E-2</v>
      </c>
      <c r="R1157" s="1">
        <v>1.7399999999999999E-2</v>
      </c>
      <c r="S1157" s="1">
        <v>0.129</v>
      </c>
      <c r="T1157" s="1">
        <v>8.6999999999999994E-2</v>
      </c>
      <c r="U1157" s="1">
        <v>-3.85E-2</v>
      </c>
    </row>
    <row r="1158" spans="1:21" x14ac:dyDescent="0.25">
      <c r="A1158" t="s">
        <v>2474</v>
      </c>
      <c r="B1158" t="s">
        <v>2475</v>
      </c>
      <c r="C1158" t="s">
        <v>43</v>
      </c>
      <c r="D1158" t="s">
        <v>193</v>
      </c>
      <c r="E1158" t="s">
        <v>194</v>
      </c>
      <c r="F1158" t="str">
        <f t="shared" si="20"/>
        <v>2018-05-20</v>
      </c>
      <c r="G1158">
        <v>18.2</v>
      </c>
      <c r="H1158" t="str">
        <f>"2018-04-16"</f>
        <v>2018-04-16</v>
      </c>
      <c r="I1158" t="s">
        <v>27</v>
      </c>
      <c r="J1158" t="str">
        <f>"2018-03-25"</f>
        <v>2018-03-25</v>
      </c>
      <c r="K1158" t="s">
        <v>57</v>
      </c>
      <c r="L1158">
        <v>1.20155039</v>
      </c>
      <c r="M1158">
        <v>1157</v>
      </c>
      <c r="N1158" s="1">
        <v>6.7400000000000002E-2</v>
      </c>
      <c r="O1158" s="1">
        <v>0.20930000000000001</v>
      </c>
      <c r="P1158" s="1">
        <v>0</v>
      </c>
      <c r="Q1158" s="1">
        <v>3.4099999999999998E-2</v>
      </c>
      <c r="R1158" s="1">
        <v>0.04</v>
      </c>
      <c r="S1158" s="1">
        <v>6.7400000000000002E-2</v>
      </c>
      <c r="T1158" s="1">
        <v>0.1411</v>
      </c>
      <c r="U1158" s="1">
        <v>0.1704</v>
      </c>
    </row>
    <row r="1159" spans="1:21" x14ac:dyDescent="0.25">
      <c r="A1159" t="s">
        <v>2476</v>
      </c>
      <c r="B1159" t="s">
        <v>2477</v>
      </c>
      <c r="C1159" t="s">
        <v>37</v>
      </c>
      <c r="D1159" t="s">
        <v>38</v>
      </c>
      <c r="E1159" t="s">
        <v>39</v>
      </c>
      <c r="F1159" t="str">
        <f t="shared" si="20"/>
        <v>2018-05-20</v>
      </c>
      <c r="G1159">
        <v>1.85</v>
      </c>
      <c r="H1159" t="str">
        <f>"2018-05-20"</f>
        <v>2018-05-20</v>
      </c>
      <c r="I1159" t="s">
        <v>27</v>
      </c>
      <c r="J1159" t="str">
        <f>"2018-04-03"</f>
        <v>2018-04-03</v>
      </c>
      <c r="K1159" t="s">
        <v>57</v>
      </c>
      <c r="L1159">
        <v>1.2015250500000001</v>
      </c>
      <c r="M1159">
        <v>1158</v>
      </c>
      <c r="N1159" s="1">
        <v>-7.4999999999999997E-2</v>
      </c>
      <c r="O1159" s="1">
        <v>0.2092</v>
      </c>
      <c r="P1159" s="1">
        <v>-7.4999999999999997E-2</v>
      </c>
      <c r="Q1159" s="1">
        <v>-7.4999999999999997E-2</v>
      </c>
      <c r="R1159" s="1">
        <v>-1.0699999999999999E-2</v>
      </c>
      <c r="S1159" s="1">
        <v>0.18590000000000001</v>
      </c>
      <c r="T1159" s="1">
        <v>5.4000000000000003E-3</v>
      </c>
      <c r="U1159" s="1">
        <v>7.5600000000000001E-2</v>
      </c>
    </row>
    <row r="1160" spans="1:21" x14ac:dyDescent="0.25">
      <c r="A1160" t="s">
        <v>2478</v>
      </c>
      <c r="B1160" t="s">
        <v>2479</v>
      </c>
      <c r="C1160" t="s">
        <v>30</v>
      </c>
      <c r="D1160" t="s">
        <v>299</v>
      </c>
      <c r="E1160" t="s">
        <v>1087</v>
      </c>
      <c r="F1160" t="str">
        <f t="shared" si="20"/>
        <v>2018-05-20</v>
      </c>
      <c r="G1160">
        <v>18.89</v>
      </c>
      <c r="H1160" t="str">
        <f>"2018-05-08"</f>
        <v>2018-05-08</v>
      </c>
      <c r="I1160" t="s">
        <v>27</v>
      </c>
      <c r="J1160" t="str">
        <f>"2017-06-14"</f>
        <v>2017-06-14</v>
      </c>
      <c r="K1160" t="s">
        <v>57</v>
      </c>
      <c r="L1160">
        <v>1.2013000899999999</v>
      </c>
      <c r="M1160">
        <v>1159</v>
      </c>
      <c r="N1160" s="1">
        <v>-5.9299999999999999E-2</v>
      </c>
      <c r="O1160" s="1">
        <v>0.20780000000000001</v>
      </c>
      <c r="P1160" s="1">
        <v>-5.9299999999999999E-2</v>
      </c>
      <c r="Q1160" s="1">
        <v>1.67E-2</v>
      </c>
      <c r="R1160" s="1">
        <v>7.4999999999999997E-3</v>
      </c>
      <c r="S1160" s="1">
        <v>6.8400000000000002E-2</v>
      </c>
      <c r="T1160" s="1">
        <v>0.15110000000000001</v>
      </c>
      <c r="U1160" s="1">
        <v>-0.15559999999999999</v>
      </c>
    </row>
    <row r="1161" spans="1:21" x14ac:dyDescent="0.25">
      <c r="A1161" t="s">
        <v>2480</v>
      </c>
      <c r="B1161" t="s">
        <v>2481</v>
      </c>
      <c r="C1161" t="s">
        <v>114</v>
      </c>
      <c r="D1161" t="s">
        <v>115</v>
      </c>
      <c r="E1161" t="s">
        <v>116</v>
      </c>
      <c r="F1161" t="str">
        <f t="shared" si="20"/>
        <v>2018-05-20</v>
      </c>
      <c r="G1161">
        <v>67.209999999999994</v>
      </c>
      <c r="H1161" t="str">
        <f>"2018-05-17"</f>
        <v>2018-05-17</v>
      </c>
      <c r="I1161" t="s">
        <v>27</v>
      </c>
      <c r="J1161" t="str">
        <f>"2018-01-09"</f>
        <v>2018-01-09</v>
      </c>
      <c r="K1161" t="s">
        <v>57</v>
      </c>
      <c r="L1161">
        <v>1.1999226599999999</v>
      </c>
      <c r="M1161">
        <v>1160</v>
      </c>
      <c r="N1161" s="1">
        <v>9.9000000000000008E-3</v>
      </c>
      <c r="O1161" s="1">
        <v>0.19950000000000001</v>
      </c>
      <c r="P1161" s="1">
        <v>0</v>
      </c>
      <c r="Q1161" s="1">
        <v>7.7999999999999996E-3</v>
      </c>
      <c r="R1161" s="1">
        <v>4.3999999999999997E-2</v>
      </c>
      <c r="S1161" s="1">
        <v>0.17580000000000001</v>
      </c>
      <c r="T1161" s="1">
        <v>0.1454</v>
      </c>
      <c r="U1161" s="1">
        <v>3.3000000000000002E-2</v>
      </c>
    </row>
    <row r="1162" spans="1:21" x14ac:dyDescent="0.25">
      <c r="A1162" t="s">
        <v>2482</v>
      </c>
      <c r="B1162" t="s">
        <v>2483</v>
      </c>
      <c r="C1162" t="s">
        <v>43</v>
      </c>
      <c r="D1162" t="s">
        <v>44</v>
      </c>
      <c r="E1162" t="s">
        <v>246</v>
      </c>
      <c r="F1162" t="str">
        <f t="shared" si="20"/>
        <v>2018-05-20</v>
      </c>
      <c r="G1162">
        <v>3.95</v>
      </c>
      <c r="H1162" t="str">
        <f>"2018-05-15"</f>
        <v>2018-05-15</v>
      </c>
      <c r="I1162" t="s">
        <v>27</v>
      </c>
      <c r="J1162" t="str">
        <f>"2018-03-21"</f>
        <v>2018-03-21</v>
      </c>
      <c r="K1162" t="s">
        <v>57</v>
      </c>
      <c r="L1162">
        <v>1.1994949500000001</v>
      </c>
      <c r="M1162">
        <v>1161</v>
      </c>
      <c r="N1162" s="1">
        <v>2.5999999999999999E-2</v>
      </c>
      <c r="O1162" s="1">
        <v>0.19700000000000001</v>
      </c>
      <c r="P1162" s="1">
        <v>0</v>
      </c>
      <c r="Q1162" s="1">
        <v>1.2800000000000001E-2</v>
      </c>
      <c r="R1162" s="1">
        <v>3.95E-2</v>
      </c>
      <c r="S1162" s="1">
        <v>8.2199999999999995E-2</v>
      </c>
      <c r="T1162" s="1">
        <v>0.11269999999999999</v>
      </c>
      <c r="U1162" s="1">
        <v>-0.13189999999999999</v>
      </c>
    </row>
    <row r="1163" spans="1:21" x14ac:dyDescent="0.25">
      <c r="A1163" t="s">
        <v>2484</v>
      </c>
      <c r="B1163" t="s">
        <v>2485</v>
      </c>
      <c r="C1163" t="s">
        <v>30</v>
      </c>
      <c r="D1163" t="s">
        <v>299</v>
      </c>
      <c r="E1163" t="s">
        <v>2289</v>
      </c>
      <c r="F1163" t="str">
        <f t="shared" si="20"/>
        <v>2018-05-20</v>
      </c>
      <c r="G1163">
        <v>20.86</v>
      </c>
      <c r="H1163" t="str">
        <f>"2018-05-21"</f>
        <v>2018-05-21</v>
      </c>
      <c r="I1163" t="s">
        <v>27</v>
      </c>
      <c r="J1163" t="str">
        <f>"2018-02-12"</f>
        <v>2018-02-12</v>
      </c>
      <c r="K1163" t="s">
        <v>57</v>
      </c>
      <c r="L1163">
        <v>1.19843988</v>
      </c>
      <c r="M1163">
        <v>1162</v>
      </c>
      <c r="N1163" s="1">
        <v>0</v>
      </c>
      <c r="O1163" s="1">
        <v>0.19059999999999999</v>
      </c>
      <c r="P1163" s="1">
        <v>-1.09E-2</v>
      </c>
      <c r="Q1163" s="1">
        <v>2.2499999999999999E-2</v>
      </c>
      <c r="R1163" s="1">
        <v>1.8599999999999998E-2</v>
      </c>
      <c r="S1163" s="1">
        <v>8.0299999999999996E-2</v>
      </c>
      <c r="T1163" s="1">
        <v>0.15379999999999999</v>
      </c>
      <c r="U1163" s="1">
        <v>0.11020000000000001</v>
      </c>
    </row>
    <row r="1164" spans="1:21" x14ac:dyDescent="0.25">
      <c r="A1164" t="s">
        <v>2486</v>
      </c>
      <c r="B1164" t="s">
        <v>2487</v>
      </c>
      <c r="C1164" t="s">
        <v>43</v>
      </c>
      <c r="D1164" t="s">
        <v>169</v>
      </c>
      <c r="E1164" t="s">
        <v>641</v>
      </c>
      <c r="F1164" t="str">
        <f t="shared" si="20"/>
        <v>2018-05-20</v>
      </c>
      <c r="G1164">
        <v>36.85</v>
      </c>
      <c r="H1164" t="str">
        <f>"2018-05-20"</f>
        <v>2018-05-20</v>
      </c>
      <c r="I1164" t="s">
        <v>27</v>
      </c>
      <c r="J1164" t="str">
        <f>"2018-04-30"</f>
        <v>2018-04-30</v>
      </c>
      <c r="K1164" t="s">
        <v>57</v>
      </c>
      <c r="L1164">
        <v>1.1981822099999999</v>
      </c>
      <c r="M1164">
        <v>1163</v>
      </c>
      <c r="N1164" s="1">
        <v>5.1999999999999998E-3</v>
      </c>
      <c r="O1164" s="1">
        <v>0.18909999999999999</v>
      </c>
      <c r="P1164" s="1">
        <v>0</v>
      </c>
      <c r="Q1164" s="1">
        <v>5.1999999999999998E-3</v>
      </c>
      <c r="R1164" s="1">
        <v>5.2900000000000003E-2</v>
      </c>
      <c r="S1164" s="1">
        <v>0.1918</v>
      </c>
      <c r="T1164" s="1">
        <v>0.2142</v>
      </c>
      <c r="U1164" s="1">
        <v>0.29339999999999999</v>
      </c>
    </row>
    <row r="1165" spans="1:21" x14ac:dyDescent="0.25">
      <c r="A1165" t="s">
        <v>2488</v>
      </c>
      <c r="B1165" t="s">
        <v>2489</v>
      </c>
      <c r="C1165" t="s">
        <v>109</v>
      </c>
      <c r="D1165" t="s">
        <v>110</v>
      </c>
      <c r="E1165" t="s">
        <v>111</v>
      </c>
      <c r="F1165" t="str">
        <f t="shared" ref="F1165:F1228" si="21">"2018-05-20"</f>
        <v>2018-05-20</v>
      </c>
      <c r="G1165">
        <v>14.63</v>
      </c>
      <c r="H1165" t="str">
        <f>"2018-05-10"</f>
        <v>2018-05-10</v>
      </c>
      <c r="I1165" t="s">
        <v>27</v>
      </c>
      <c r="J1165" t="str">
        <f>"2017-12-27"</f>
        <v>2017-12-27</v>
      </c>
      <c r="K1165" t="s">
        <v>57</v>
      </c>
      <c r="L1165">
        <v>1.19807744</v>
      </c>
      <c r="M1165">
        <v>1164</v>
      </c>
      <c r="N1165" s="1">
        <v>-1.4E-3</v>
      </c>
      <c r="O1165" s="1">
        <v>0.1885</v>
      </c>
      <c r="P1165" s="1">
        <v>-1.4800000000000001E-2</v>
      </c>
      <c r="Q1165" s="1">
        <v>-1.2200000000000001E-2</v>
      </c>
      <c r="R1165" s="1">
        <v>1.6E-2</v>
      </c>
      <c r="S1165" s="1">
        <v>3.6900000000000002E-2</v>
      </c>
      <c r="T1165" s="1">
        <v>0.1565</v>
      </c>
      <c r="U1165" s="1">
        <v>1.67E-2</v>
      </c>
    </row>
    <row r="1166" spans="1:21" x14ac:dyDescent="0.25">
      <c r="A1166" t="s">
        <v>2490</v>
      </c>
      <c r="B1166" t="s">
        <v>2491</v>
      </c>
      <c r="C1166" t="s">
        <v>30</v>
      </c>
      <c r="D1166" t="s">
        <v>299</v>
      </c>
      <c r="E1166" t="s">
        <v>2120</v>
      </c>
      <c r="F1166" t="str">
        <f t="shared" si="21"/>
        <v>2018-05-20</v>
      </c>
      <c r="G1166">
        <v>10.45</v>
      </c>
      <c r="H1166" t="str">
        <f>"2018-05-06"</f>
        <v>2018-05-06</v>
      </c>
      <c r="I1166" t="s">
        <v>27</v>
      </c>
      <c r="J1166" t="str">
        <f>"2017-12-31"</f>
        <v>2017-12-31</v>
      </c>
      <c r="K1166" t="s">
        <v>57</v>
      </c>
      <c r="L1166">
        <v>1.1979166699999999</v>
      </c>
      <c r="M1166">
        <v>1165</v>
      </c>
      <c r="N1166" s="1">
        <v>3.4700000000000002E-2</v>
      </c>
      <c r="O1166" s="1">
        <v>0.1875</v>
      </c>
      <c r="P1166" s="1">
        <v>0</v>
      </c>
      <c r="Q1166" s="1">
        <v>9.7000000000000003E-3</v>
      </c>
      <c r="R1166" s="1">
        <v>3.1600000000000003E-2</v>
      </c>
      <c r="S1166" s="1">
        <v>7.8399999999999997E-2</v>
      </c>
      <c r="T1166" s="1">
        <v>0.1176</v>
      </c>
      <c r="U1166" s="1">
        <v>3.7699999999999997E-2</v>
      </c>
    </row>
    <row r="1167" spans="1:21" x14ac:dyDescent="0.25">
      <c r="A1167" t="s">
        <v>2492</v>
      </c>
      <c r="B1167" t="s">
        <v>2493</v>
      </c>
      <c r="C1167" t="s">
        <v>114</v>
      </c>
      <c r="D1167" t="s">
        <v>809</v>
      </c>
      <c r="E1167" t="s">
        <v>1529</v>
      </c>
      <c r="F1167" t="str">
        <f t="shared" si="21"/>
        <v>2018-05-20</v>
      </c>
      <c r="G1167">
        <v>107.65</v>
      </c>
      <c r="H1167" t="str">
        <f>"2018-05-15"</f>
        <v>2018-05-15</v>
      </c>
      <c r="I1167" t="s">
        <v>27</v>
      </c>
      <c r="J1167" t="str">
        <f>"2018-02-25"</f>
        <v>2018-02-25</v>
      </c>
      <c r="K1167" t="s">
        <v>57</v>
      </c>
      <c r="L1167">
        <v>1.1975954499999999</v>
      </c>
      <c r="M1167">
        <v>1166</v>
      </c>
      <c r="N1167" s="1">
        <v>4.4600000000000001E-2</v>
      </c>
      <c r="O1167" s="1">
        <v>0.18559999999999999</v>
      </c>
      <c r="P1167" s="1">
        <v>-5.4999999999999997E-3</v>
      </c>
      <c r="Q1167" s="1">
        <v>7.0000000000000001E-3</v>
      </c>
      <c r="R1167" s="1">
        <v>6.1100000000000002E-2</v>
      </c>
      <c r="S1167" s="1">
        <v>0.115</v>
      </c>
      <c r="T1167" s="1">
        <v>5.7500000000000002E-2</v>
      </c>
      <c r="U1167" s="1">
        <v>2.18E-2</v>
      </c>
    </row>
    <row r="1168" spans="1:21" x14ac:dyDescent="0.25">
      <c r="A1168" t="s">
        <v>2494</v>
      </c>
      <c r="B1168" t="s">
        <v>2495</v>
      </c>
      <c r="C1168" t="s">
        <v>30</v>
      </c>
      <c r="D1168" t="s">
        <v>299</v>
      </c>
      <c r="E1168" t="s">
        <v>1250</v>
      </c>
      <c r="F1168" t="str">
        <f t="shared" si="21"/>
        <v>2018-05-20</v>
      </c>
      <c r="G1168">
        <v>17.09</v>
      </c>
      <c r="H1168" t="str">
        <f>"2018-05-21"</f>
        <v>2018-05-21</v>
      </c>
      <c r="I1168" t="s">
        <v>27</v>
      </c>
      <c r="J1168" t="str">
        <f>"2018-04-08"</f>
        <v>2018-04-08</v>
      </c>
      <c r="K1168" t="s">
        <v>57</v>
      </c>
      <c r="L1168">
        <v>1.1975265799999999</v>
      </c>
      <c r="M1168">
        <v>1167</v>
      </c>
      <c r="N1168" s="1">
        <v>0</v>
      </c>
      <c r="O1168" s="1">
        <v>0.1852</v>
      </c>
      <c r="P1168" s="1">
        <v>0</v>
      </c>
      <c r="Q1168" s="1">
        <v>2.64E-2</v>
      </c>
      <c r="R1168" s="1">
        <v>3.8899999999999997E-2</v>
      </c>
      <c r="S1168" s="1">
        <v>9.2700000000000005E-2</v>
      </c>
      <c r="T1168" s="1">
        <v>0.1401</v>
      </c>
      <c r="U1168" s="1">
        <v>7.6200000000000004E-2</v>
      </c>
    </row>
    <row r="1169" spans="1:21" x14ac:dyDescent="0.25">
      <c r="A1169" t="s">
        <v>2496</v>
      </c>
      <c r="B1169" t="s">
        <v>2497</v>
      </c>
      <c r="C1169" t="s">
        <v>30</v>
      </c>
      <c r="D1169" t="s">
        <v>299</v>
      </c>
      <c r="E1169" t="s">
        <v>300</v>
      </c>
      <c r="F1169" t="str">
        <f t="shared" si="21"/>
        <v>2018-05-20</v>
      </c>
      <c r="G1169">
        <v>19.11</v>
      </c>
      <c r="H1169" t="str">
        <f>"2018-04-29"</f>
        <v>2018-04-29</v>
      </c>
      <c r="I1169" t="s">
        <v>27</v>
      </c>
      <c r="J1169" t="str">
        <f>"2018-01-03"</f>
        <v>2018-01-03</v>
      </c>
      <c r="K1169" t="s">
        <v>57</v>
      </c>
      <c r="L1169">
        <v>1.1974581500000001</v>
      </c>
      <c r="M1169">
        <v>1168</v>
      </c>
      <c r="N1169" s="1">
        <v>-1.7000000000000001E-2</v>
      </c>
      <c r="O1169" s="1">
        <v>0.1847</v>
      </c>
      <c r="P1169" s="1">
        <v>-1.7000000000000001E-2</v>
      </c>
      <c r="Q1169" s="1">
        <v>8.9999999999999993E-3</v>
      </c>
      <c r="R1169" s="1">
        <v>2.2499999999999999E-2</v>
      </c>
      <c r="S1169" s="1">
        <v>1.8700000000000001E-2</v>
      </c>
      <c r="T1169" s="1">
        <v>8.3299999999999999E-2</v>
      </c>
      <c r="U1169" s="1">
        <v>-0.14419999999999999</v>
      </c>
    </row>
    <row r="1170" spans="1:21" x14ac:dyDescent="0.25">
      <c r="A1170" t="s">
        <v>2498</v>
      </c>
      <c r="B1170" t="s">
        <v>2499</v>
      </c>
      <c r="C1170" t="s">
        <v>30</v>
      </c>
      <c r="D1170" t="s">
        <v>299</v>
      </c>
      <c r="E1170" t="s">
        <v>2120</v>
      </c>
      <c r="F1170" t="str">
        <f t="shared" si="21"/>
        <v>2018-05-20</v>
      </c>
      <c r="G1170">
        <v>19.03</v>
      </c>
      <c r="H1170" t="str">
        <f>"2018-05-06"</f>
        <v>2018-05-06</v>
      </c>
      <c r="I1170" t="s">
        <v>27</v>
      </c>
      <c r="J1170" t="str">
        <f>"2018-01-03"</f>
        <v>2018-01-03</v>
      </c>
      <c r="K1170" t="s">
        <v>57</v>
      </c>
      <c r="L1170">
        <v>1.1967535199999999</v>
      </c>
      <c r="M1170">
        <v>1169</v>
      </c>
      <c r="N1170" s="1">
        <v>6.6699999999999995E-2</v>
      </c>
      <c r="O1170" s="1">
        <v>0.18049999999999999</v>
      </c>
      <c r="P1170" s="1">
        <v>0</v>
      </c>
      <c r="Q1170" s="1">
        <v>8.9999999999999993E-3</v>
      </c>
      <c r="R1170" s="1">
        <v>2.0899999999999998E-2</v>
      </c>
      <c r="S1170" s="1">
        <v>8.3099999999999993E-2</v>
      </c>
      <c r="T1170" s="1">
        <v>0.12939999999999999</v>
      </c>
      <c r="U1170" s="1">
        <v>5.2499999999999998E-2</v>
      </c>
    </row>
    <row r="1171" spans="1:21" x14ac:dyDescent="0.25">
      <c r="A1171" t="s">
        <v>2500</v>
      </c>
      <c r="B1171" t="s">
        <v>2501</v>
      </c>
      <c r="C1171" t="s">
        <v>30</v>
      </c>
      <c r="D1171" t="s">
        <v>31</v>
      </c>
      <c r="E1171" t="s">
        <v>31</v>
      </c>
      <c r="F1171" t="str">
        <f t="shared" si="21"/>
        <v>2018-05-20</v>
      </c>
      <c r="G1171">
        <v>49.28</v>
      </c>
      <c r="H1171" t="str">
        <f>"2018-05-09"</f>
        <v>2018-05-09</v>
      </c>
      <c r="I1171" t="s">
        <v>27</v>
      </c>
      <c r="J1171" t="str">
        <f>"2018-04-15"</f>
        <v>2018-04-15</v>
      </c>
      <c r="K1171" t="s">
        <v>57</v>
      </c>
      <c r="L1171">
        <v>1.1964912299999999</v>
      </c>
      <c r="M1171">
        <v>1170</v>
      </c>
      <c r="N1171" s="1">
        <v>0.12770000000000001</v>
      </c>
      <c r="O1171" s="1">
        <v>0.1789</v>
      </c>
      <c r="P1171" s="1">
        <v>0</v>
      </c>
      <c r="Q1171" s="1">
        <v>0.129</v>
      </c>
      <c r="R1171" s="1">
        <v>0.14180000000000001</v>
      </c>
      <c r="S1171" s="1">
        <v>0.15709999999999999</v>
      </c>
      <c r="T1171" s="1">
        <v>0.17169999999999999</v>
      </c>
      <c r="U1171" s="1">
        <v>0.17949999999999999</v>
      </c>
    </row>
    <row r="1172" spans="1:21" x14ac:dyDescent="0.25">
      <c r="A1172" t="s">
        <v>2502</v>
      </c>
      <c r="B1172" t="s">
        <v>2503</v>
      </c>
      <c r="C1172" t="s">
        <v>518</v>
      </c>
      <c r="D1172" t="s">
        <v>573</v>
      </c>
      <c r="E1172" t="s">
        <v>574</v>
      </c>
      <c r="F1172" t="str">
        <f t="shared" si="21"/>
        <v>2018-05-20</v>
      </c>
      <c r="G1172">
        <v>14.05</v>
      </c>
      <c r="H1172" t="str">
        <f>"2018-04-26"</f>
        <v>2018-04-26</v>
      </c>
      <c r="I1172" t="s">
        <v>27</v>
      </c>
      <c r="J1172" t="str">
        <f>"2018-03-04"</f>
        <v>2018-03-04</v>
      </c>
      <c r="K1172" t="s">
        <v>57</v>
      </c>
      <c r="L1172">
        <v>1.1954646600000001</v>
      </c>
      <c r="M1172">
        <v>1171</v>
      </c>
      <c r="N1172" s="1">
        <v>-2.7E-2</v>
      </c>
      <c r="O1172" s="1">
        <v>0.17280000000000001</v>
      </c>
      <c r="P1172" s="1">
        <v>-4.6800000000000001E-2</v>
      </c>
      <c r="Q1172" s="1">
        <v>2.8999999999999998E-3</v>
      </c>
      <c r="R1172" s="1">
        <v>6.9999999999999999E-4</v>
      </c>
      <c r="S1172" s="1">
        <v>-2.5700000000000001E-2</v>
      </c>
      <c r="T1172" s="1">
        <v>2.7E-2</v>
      </c>
      <c r="U1172" s="1">
        <v>-0.18459999999999999</v>
      </c>
    </row>
    <row r="1173" spans="1:21" x14ac:dyDescent="0.25">
      <c r="A1173" t="s">
        <v>2504</v>
      </c>
      <c r="B1173" t="s">
        <v>2505</v>
      </c>
      <c r="C1173" t="s">
        <v>23</v>
      </c>
      <c r="D1173" t="s">
        <v>173</v>
      </c>
      <c r="E1173" t="s">
        <v>1429</v>
      </c>
      <c r="F1173" t="str">
        <f t="shared" si="21"/>
        <v>2018-05-20</v>
      </c>
      <c r="G1173">
        <v>25.75</v>
      </c>
      <c r="H1173" t="str">
        <f>"2018-05-16"</f>
        <v>2018-05-16</v>
      </c>
      <c r="I1173" t="s">
        <v>27</v>
      </c>
      <c r="J1173" t="str">
        <f>"2018-04-08"</f>
        <v>2018-04-08</v>
      </c>
      <c r="K1173" t="s">
        <v>57</v>
      </c>
      <c r="L1173">
        <v>1.1951644699999999</v>
      </c>
      <c r="M1173">
        <v>1172</v>
      </c>
      <c r="N1173" s="1">
        <v>4.2500000000000003E-2</v>
      </c>
      <c r="O1173" s="1">
        <v>0.17100000000000001</v>
      </c>
      <c r="P1173" s="1">
        <v>0</v>
      </c>
      <c r="Q1173" s="1">
        <v>1.9800000000000002E-2</v>
      </c>
      <c r="R1173" s="1">
        <v>5.0999999999999997E-2</v>
      </c>
      <c r="S1173" s="1">
        <v>0.13489999999999999</v>
      </c>
      <c r="T1173" s="1">
        <v>7.3400000000000007E-2</v>
      </c>
      <c r="U1173" s="1">
        <v>7.1099999999999997E-2</v>
      </c>
    </row>
    <row r="1174" spans="1:21" x14ac:dyDescent="0.25">
      <c r="A1174" t="s">
        <v>2506</v>
      </c>
      <c r="B1174" t="s">
        <v>2505</v>
      </c>
      <c r="C1174" t="s">
        <v>23</v>
      </c>
      <c r="D1174" t="s">
        <v>173</v>
      </c>
      <c r="E1174" t="s">
        <v>1429</v>
      </c>
      <c r="F1174" t="str">
        <f t="shared" si="21"/>
        <v>2018-05-20</v>
      </c>
      <c r="G1174">
        <v>25.52</v>
      </c>
      <c r="H1174" t="str">
        <f>"2018-05-16"</f>
        <v>2018-05-16</v>
      </c>
      <c r="I1174" t="s">
        <v>27</v>
      </c>
      <c r="J1174" t="str">
        <f>"2018-04-11"</f>
        <v>2018-04-11</v>
      </c>
      <c r="K1174" t="s">
        <v>57</v>
      </c>
      <c r="L1174">
        <v>1.1940389300000001</v>
      </c>
      <c r="M1174">
        <v>1173</v>
      </c>
      <c r="N1174" s="1">
        <v>5.2400000000000002E-2</v>
      </c>
      <c r="O1174" s="1">
        <v>0.16420000000000001</v>
      </c>
      <c r="P1174" s="1">
        <v>0</v>
      </c>
      <c r="Q1174" s="1">
        <v>2.0799999999999999E-2</v>
      </c>
      <c r="R1174" s="1">
        <v>5.8500000000000003E-2</v>
      </c>
      <c r="S1174" s="1">
        <v>0.12620000000000001</v>
      </c>
      <c r="T1174" s="1">
        <v>6.3799999999999996E-2</v>
      </c>
      <c r="U1174" s="1">
        <v>4.8899999999999999E-2</v>
      </c>
    </row>
    <row r="1175" spans="1:21" x14ac:dyDescent="0.25">
      <c r="A1175" t="s">
        <v>2507</v>
      </c>
      <c r="B1175" t="s">
        <v>2508</v>
      </c>
      <c r="C1175" t="s">
        <v>30</v>
      </c>
      <c r="D1175" t="s">
        <v>299</v>
      </c>
      <c r="E1175" t="s">
        <v>2120</v>
      </c>
      <c r="F1175" t="str">
        <f t="shared" si="21"/>
        <v>2018-05-20</v>
      </c>
      <c r="G1175">
        <v>16.12</v>
      </c>
      <c r="H1175" t="str">
        <f>"2018-05-03"</f>
        <v>2018-05-03</v>
      </c>
      <c r="I1175" t="s">
        <v>27</v>
      </c>
      <c r="J1175" t="str">
        <f>"2017-12-20"</f>
        <v>2017-12-20</v>
      </c>
      <c r="K1175" t="s">
        <v>57</v>
      </c>
      <c r="L1175">
        <v>1.1935638799999999</v>
      </c>
      <c r="M1175">
        <v>1174</v>
      </c>
      <c r="N1175" s="1">
        <v>2.7400000000000001E-2</v>
      </c>
      <c r="O1175" s="1">
        <v>0.16139999999999999</v>
      </c>
      <c r="P1175" s="1">
        <v>0</v>
      </c>
      <c r="Q1175" s="1">
        <v>3.7000000000000002E-3</v>
      </c>
      <c r="R1175" s="1">
        <v>3.27E-2</v>
      </c>
      <c r="S1175" s="1">
        <v>5.9799999999999999E-2</v>
      </c>
      <c r="T1175" s="1">
        <v>0.13120000000000001</v>
      </c>
      <c r="U1175" s="1">
        <v>-3.0999999999999999E-3</v>
      </c>
    </row>
    <row r="1176" spans="1:21" x14ac:dyDescent="0.25">
      <c r="A1176" t="s">
        <v>2509</v>
      </c>
      <c r="B1176" t="s">
        <v>2510</v>
      </c>
      <c r="C1176" t="s">
        <v>100</v>
      </c>
      <c r="D1176" t="s">
        <v>1034</v>
      </c>
      <c r="E1176" t="s">
        <v>1382</v>
      </c>
      <c r="F1176" t="str">
        <f t="shared" si="21"/>
        <v>2018-05-20</v>
      </c>
      <c r="G1176">
        <v>68.95</v>
      </c>
      <c r="H1176" t="str">
        <f>"2018-04-18"</f>
        <v>2018-04-18</v>
      </c>
      <c r="I1176" t="s">
        <v>27</v>
      </c>
      <c r="J1176" t="str">
        <f>"2018-04-02"</f>
        <v>2018-04-02</v>
      </c>
      <c r="K1176" t="s">
        <v>57</v>
      </c>
      <c r="L1176">
        <v>1.1931372499999999</v>
      </c>
      <c r="M1176">
        <v>1175</v>
      </c>
      <c r="N1176" s="1">
        <v>2.76E-2</v>
      </c>
      <c r="O1176" s="1">
        <v>0.1588</v>
      </c>
      <c r="P1176" s="1">
        <v>-7.1999999999999998E-3</v>
      </c>
      <c r="Q1176" s="1">
        <v>3.5999999999999999E-3</v>
      </c>
      <c r="R1176" s="1">
        <v>2.2000000000000001E-3</v>
      </c>
      <c r="S1176" s="1">
        <v>1.6199999999999999E-2</v>
      </c>
      <c r="T1176" s="1">
        <v>0.10059999999999999</v>
      </c>
      <c r="U1176" s="1">
        <v>2.07E-2</v>
      </c>
    </row>
    <row r="1177" spans="1:21" x14ac:dyDescent="0.25">
      <c r="A1177" t="s">
        <v>2511</v>
      </c>
      <c r="B1177" t="s">
        <v>2512</v>
      </c>
      <c r="C1177" t="s">
        <v>30</v>
      </c>
      <c r="D1177" t="s">
        <v>299</v>
      </c>
      <c r="E1177" t="s">
        <v>1087</v>
      </c>
      <c r="F1177" t="str">
        <f t="shared" si="21"/>
        <v>2018-05-20</v>
      </c>
      <c r="G1177">
        <v>13.96</v>
      </c>
      <c r="H1177" t="str">
        <f>"2018-05-06"</f>
        <v>2018-05-06</v>
      </c>
      <c r="I1177" t="s">
        <v>27</v>
      </c>
      <c r="J1177" t="str">
        <f>"2018-01-25"</f>
        <v>2018-01-25</v>
      </c>
      <c r="K1177" t="s">
        <v>57</v>
      </c>
      <c r="L1177">
        <v>1.19276443</v>
      </c>
      <c r="M1177">
        <v>1176</v>
      </c>
      <c r="N1177" s="1">
        <v>4.02E-2</v>
      </c>
      <c r="O1177" s="1">
        <v>0.15659999999999999</v>
      </c>
      <c r="P1177" s="1">
        <v>0</v>
      </c>
      <c r="Q1177" s="1">
        <v>8.6999999999999994E-3</v>
      </c>
      <c r="R1177" s="1">
        <v>3.95E-2</v>
      </c>
      <c r="S1177" s="1">
        <v>0.1452</v>
      </c>
      <c r="T1177" s="1">
        <v>0.1018</v>
      </c>
      <c r="U1177" s="1">
        <v>6.2399999999999997E-2</v>
      </c>
    </row>
    <row r="1178" spans="1:21" x14ac:dyDescent="0.25">
      <c r="A1178" t="s">
        <v>2513</v>
      </c>
      <c r="B1178" t="s">
        <v>2514</v>
      </c>
      <c r="C1178" t="s">
        <v>109</v>
      </c>
      <c r="D1178" t="s">
        <v>110</v>
      </c>
      <c r="E1178" t="s">
        <v>111</v>
      </c>
      <c r="F1178" t="str">
        <f t="shared" si="21"/>
        <v>2018-05-20</v>
      </c>
      <c r="G1178">
        <v>75.97</v>
      </c>
      <c r="H1178" t="str">
        <f>"2018-04-19"</f>
        <v>2018-04-19</v>
      </c>
      <c r="I1178" t="s">
        <v>27</v>
      </c>
      <c r="J1178" t="str">
        <f>"2018-04-10"</f>
        <v>2018-04-10</v>
      </c>
      <c r="K1178" t="s">
        <v>57</v>
      </c>
      <c r="L1178">
        <v>1.1923388500000001</v>
      </c>
      <c r="M1178">
        <v>1177</v>
      </c>
      <c r="N1178" s="1">
        <v>3.4200000000000001E-2</v>
      </c>
      <c r="O1178" s="1">
        <v>0.154</v>
      </c>
      <c r="P1178" s="1">
        <v>-3.6799999999999999E-2</v>
      </c>
      <c r="Q1178" s="1">
        <v>-2.0199999999999999E-2</v>
      </c>
      <c r="R1178" s="1">
        <v>-6.0000000000000001E-3</v>
      </c>
      <c r="S1178" s="1">
        <v>4.7699999999999999E-2</v>
      </c>
      <c r="T1178" s="1">
        <v>0.11799999999999999</v>
      </c>
      <c r="U1178" s="1">
        <v>4.41E-2</v>
      </c>
    </row>
    <row r="1179" spans="1:21" x14ac:dyDescent="0.25">
      <c r="A1179" t="s">
        <v>2515</v>
      </c>
      <c r="B1179" t="s">
        <v>2516</v>
      </c>
      <c r="C1179" t="s">
        <v>30</v>
      </c>
      <c r="D1179" t="s">
        <v>31</v>
      </c>
      <c r="E1179" t="s">
        <v>31</v>
      </c>
      <c r="F1179" t="str">
        <f t="shared" si="21"/>
        <v>2018-05-20</v>
      </c>
      <c r="G1179">
        <v>17.98</v>
      </c>
      <c r="H1179" t="str">
        <f>"2018-05-16"</f>
        <v>2018-05-16</v>
      </c>
      <c r="I1179" t="s">
        <v>27</v>
      </c>
      <c r="J1179" t="str">
        <f>"2018-02-27"</f>
        <v>2018-02-27</v>
      </c>
      <c r="K1179" t="s">
        <v>57</v>
      </c>
      <c r="L1179">
        <v>1.1920940200000001</v>
      </c>
      <c r="M1179">
        <v>1178</v>
      </c>
      <c r="N1179" s="1">
        <v>2.6800000000000001E-2</v>
      </c>
      <c r="O1179" s="1">
        <v>0.15260000000000001</v>
      </c>
      <c r="P1179" s="1">
        <v>0</v>
      </c>
      <c r="Q1179" s="1">
        <v>7.7999999999999996E-3</v>
      </c>
      <c r="R1179" s="1">
        <v>6.0100000000000001E-2</v>
      </c>
      <c r="S1179" s="1">
        <v>5.2699999999999997E-2</v>
      </c>
      <c r="T1179" s="1">
        <v>0.12659999999999999</v>
      </c>
      <c r="U1179" s="1">
        <v>8.8999999999999996E-2</v>
      </c>
    </row>
    <row r="1180" spans="1:21" x14ac:dyDescent="0.25">
      <c r="A1180" t="s">
        <v>2517</v>
      </c>
      <c r="B1180" t="s">
        <v>2518</v>
      </c>
      <c r="C1180" t="s">
        <v>114</v>
      </c>
      <c r="D1180" t="s">
        <v>646</v>
      </c>
      <c r="E1180" t="s">
        <v>647</v>
      </c>
      <c r="F1180" t="str">
        <f t="shared" si="21"/>
        <v>2018-05-20</v>
      </c>
      <c r="G1180">
        <v>35.25</v>
      </c>
      <c r="H1180" t="str">
        <f>"2018-04-17"</f>
        <v>2018-04-17</v>
      </c>
      <c r="I1180" t="s">
        <v>27</v>
      </c>
      <c r="J1180" t="str">
        <f>"2017-12-19"</f>
        <v>2017-12-19</v>
      </c>
      <c r="K1180" t="s">
        <v>57</v>
      </c>
      <c r="L1180">
        <v>1.19168026</v>
      </c>
      <c r="M1180">
        <v>1179</v>
      </c>
      <c r="N1180" s="1">
        <v>-3.6900000000000002E-2</v>
      </c>
      <c r="O1180" s="1">
        <v>0.15010000000000001</v>
      </c>
      <c r="P1180" s="1">
        <v>-3.6900000000000002E-2</v>
      </c>
      <c r="Q1180" s="1">
        <v>7.1000000000000004E-3</v>
      </c>
      <c r="R1180" s="1">
        <v>1.15E-2</v>
      </c>
      <c r="S1180" s="1">
        <v>2.1700000000000001E-2</v>
      </c>
      <c r="T1180" s="1">
        <v>9.98E-2</v>
      </c>
      <c r="U1180" s="1">
        <v>-4.5999999999999999E-2</v>
      </c>
    </row>
    <row r="1181" spans="1:21" x14ac:dyDescent="0.25">
      <c r="A1181" t="s">
        <v>2519</v>
      </c>
      <c r="B1181" t="s">
        <v>2520</v>
      </c>
      <c r="C1181" t="s">
        <v>30</v>
      </c>
      <c r="D1181" t="s">
        <v>31</v>
      </c>
      <c r="E1181" t="s">
        <v>31</v>
      </c>
      <c r="F1181" t="str">
        <f t="shared" si="21"/>
        <v>2018-05-20</v>
      </c>
      <c r="G1181">
        <v>20.399999999999999</v>
      </c>
      <c r="H1181" t="str">
        <f>"2018-05-17"</f>
        <v>2018-05-17</v>
      </c>
      <c r="I1181" t="s">
        <v>27</v>
      </c>
      <c r="J1181" t="str">
        <f>"2018-03-06"</f>
        <v>2018-03-06</v>
      </c>
      <c r="K1181" t="s">
        <v>57</v>
      </c>
      <c r="L1181">
        <v>1.1915492999999999</v>
      </c>
      <c r="M1181">
        <v>1180</v>
      </c>
      <c r="N1181" s="1">
        <v>0.02</v>
      </c>
      <c r="O1181" s="1">
        <v>0.14929999999999999</v>
      </c>
      <c r="P1181" s="1">
        <v>0</v>
      </c>
      <c r="Q1181" s="1">
        <v>1.49E-2</v>
      </c>
      <c r="R1181" s="1">
        <v>5.7000000000000002E-2</v>
      </c>
      <c r="S1181" s="1">
        <v>7.6499999999999999E-2</v>
      </c>
      <c r="T1181" s="1">
        <v>0.1087</v>
      </c>
      <c r="U1181" s="1">
        <v>2.2599999999999999E-2</v>
      </c>
    </row>
    <row r="1182" spans="1:21" x14ac:dyDescent="0.25">
      <c r="A1182" t="s">
        <v>2521</v>
      </c>
      <c r="B1182" t="s">
        <v>2522</v>
      </c>
      <c r="C1182" t="s">
        <v>43</v>
      </c>
      <c r="D1182" t="s">
        <v>119</v>
      </c>
      <c r="E1182" t="s">
        <v>205</v>
      </c>
      <c r="F1182" t="str">
        <f t="shared" si="21"/>
        <v>2018-05-20</v>
      </c>
      <c r="G1182">
        <v>9.7799999999999994</v>
      </c>
      <c r="H1182" t="str">
        <f>"2018-05-20"</f>
        <v>2018-05-20</v>
      </c>
      <c r="I1182" t="s">
        <v>27</v>
      </c>
      <c r="J1182" t="str">
        <f>"2017-12-26"</f>
        <v>2017-12-26</v>
      </c>
      <c r="K1182" t="s">
        <v>57</v>
      </c>
      <c r="L1182">
        <v>1.19064327</v>
      </c>
      <c r="M1182">
        <v>1181</v>
      </c>
      <c r="N1182" s="1">
        <v>-9.1000000000000004E-3</v>
      </c>
      <c r="O1182" s="1">
        <v>0.1439</v>
      </c>
      <c r="P1182" s="1">
        <v>-9.1000000000000004E-3</v>
      </c>
      <c r="Q1182" s="1">
        <v>-9.1000000000000004E-3</v>
      </c>
      <c r="R1182" s="1">
        <v>5.0500000000000003E-2</v>
      </c>
      <c r="S1182" s="1">
        <v>8.1900000000000001E-2</v>
      </c>
      <c r="T1182" s="1">
        <v>7.7100000000000002E-2</v>
      </c>
      <c r="U1182" s="1">
        <v>7.0000000000000007E-2</v>
      </c>
    </row>
    <row r="1183" spans="1:21" x14ac:dyDescent="0.25">
      <c r="A1183" t="s">
        <v>2523</v>
      </c>
      <c r="B1183" t="s">
        <v>2524</v>
      </c>
      <c r="C1183" t="s">
        <v>30</v>
      </c>
      <c r="D1183" t="s">
        <v>299</v>
      </c>
      <c r="E1183" t="s">
        <v>2120</v>
      </c>
      <c r="F1183" t="str">
        <f t="shared" si="21"/>
        <v>2018-05-20</v>
      </c>
      <c r="G1183">
        <v>16.600000000000001</v>
      </c>
      <c r="H1183" t="str">
        <f>"2018-03-12"</f>
        <v>2018-03-12</v>
      </c>
      <c r="I1183" t="s">
        <v>27</v>
      </c>
      <c r="J1183" t="str">
        <f>"2017-12-11"</f>
        <v>2017-12-11</v>
      </c>
      <c r="K1183" t="s">
        <v>57</v>
      </c>
      <c r="L1183">
        <v>1.1902796899999999</v>
      </c>
      <c r="M1183">
        <v>1182</v>
      </c>
      <c r="N1183" s="1">
        <v>6.6799999999999998E-2</v>
      </c>
      <c r="O1183" s="1">
        <v>0.14169999999999999</v>
      </c>
      <c r="P1183" s="1">
        <v>0</v>
      </c>
      <c r="Q1183" s="1">
        <v>7.9000000000000008E-3</v>
      </c>
      <c r="R1183" s="1">
        <v>1.9E-2</v>
      </c>
      <c r="S1183" s="1">
        <v>8.14E-2</v>
      </c>
      <c r="T1183" s="1">
        <v>7.6499999999999999E-2</v>
      </c>
      <c r="U1183" s="1">
        <v>1.1999999999999999E-3</v>
      </c>
    </row>
    <row r="1184" spans="1:21" x14ac:dyDescent="0.25">
      <c r="A1184" t="s">
        <v>2525</v>
      </c>
      <c r="B1184" t="s">
        <v>2526</v>
      </c>
      <c r="C1184" t="s">
        <v>30</v>
      </c>
      <c r="D1184" t="s">
        <v>299</v>
      </c>
      <c r="E1184" t="s">
        <v>2120</v>
      </c>
      <c r="F1184" t="str">
        <f t="shared" si="21"/>
        <v>2018-05-20</v>
      </c>
      <c r="G1184">
        <v>20.05</v>
      </c>
      <c r="H1184" t="str">
        <f>"2018-05-03"</f>
        <v>2018-05-03</v>
      </c>
      <c r="I1184" t="s">
        <v>27</v>
      </c>
      <c r="J1184" t="str">
        <f>"2018-04-03"</f>
        <v>2018-04-03</v>
      </c>
      <c r="K1184" t="s">
        <v>57</v>
      </c>
      <c r="L1184">
        <v>1.1898674199999999</v>
      </c>
      <c r="M1184">
        <v>1183</v>
      </c>
      <c r="N1184" s="1">
        <v>2.8199999999999999E-2</v>
      </c>
      <c r="O1184" s="1">
        <v>0.13919999999999999</v>
      </c>
      <c r="P1184" s="1">
        <v>0</v>
      </c>
      <c r="Q1184" s="1">
        <v>1.01E-2</v>
      </c>
      <c r="R1184" s="1">
        <v>1.52E-2</v>
      </c>
      <c r="S1184" s="1">
        <v>0.12640000000000001</v>
      </c>
      <c r="T1184" s="1">
        <v>0.1201</v>
      </c>
      <c r="U1184" s="1">
        <v>0.1108</v>
      </c>
    </row>
    <row r="1185" spans="1:21" x14ac:dyDescent="0.25">
      <c r="A1185" t="s">
        <v>2527</v>
      </c>
      <c r="B1185" t="s">
        <v>2528</v>
      </c>
      <c r="C1185" t="s">
        <v>43</v>
      </c>
      <c r="D1185" t="s">
        <v>119</v>
      </c>
      <c r="E1185" t="s">
        <v>205</v>
      </c>
      <c r="F1185" t="str">
        <f t="shared" si="21"/>
        <v>2018-05-20</v>
      </c>
      <c r="G1185">
        <v>43.1</v>
      </c>
      <c r="H1185" t="str">
        <f>"2018-05-09"</f>
        <v>2018-05-09</v>
      </c>
      <c r="I1185" t="s">
        <v>27</v>
      </c>
      <c r="J1185" t="str">
        <f>"2018-04-02"</f>
        <v>2018-04-02</v>
      </c>
      <c r="K1185" t="s">
        <v>57</v>
      </c>
      <c r="L1185">
        <v>1.18928415</v>
      </c>
      <c r="M1185">
        <v>1184</v>
      </c>
      <c r="N1185" s="1">
        <v>3.9800000000000002E-2</v>
      </c>
      <c r="O1185" s="1">
        <v>0.13569999999999999</v>
      </c>
      <c r="P1185" s="1">
        <v>0</v>
      </c>
      <c r="Q1185" s="1">
        <v>1.5299999999999999E-2</v>
      </c>
      <c r="R1185" s="1">
        <v>3.2300000000000002E-2</v>
      </c>
      <c r="S1185" s="1">
        <v>7.7499999999999999E-2</v>
      </c>
      <c r="T1185" s="1">
        <v>5.1200000000000002E-2</v>
      </c>
      <c r="U1185" s="1">
        <v>8.1600000000000006E-2</v>
      </c>
    </row>
    <row r="1186" spans="1:21" x14ac:dyDescent="0.25">
      <c r="A1186" t="s">
        <v>2529</v>
      </c>
      <c r="B1186" t="s">
        <v>2530</v>
      </c>
      <c r="C1186" t="s">
        <v>518</v>
      </c>
      <c r="D1186" t="s">
        <v>573</v>
      </c>
      <c r="E1186" t="s">
        <v>1385</v>
      </c>
      <c r="F1186" t="str">
        <f t="shared" si="21"/>
        <v>2018-05-20</v>
      </c>
      <c r="G1186">
        <v>43.2</v>
      </c>
      <c r="H1186" t="str">
        <f>"2018-05-07"</f>
        <v>2018-05-07</v>
      </c>
      <c r="I1186" t="s">
        <v>27</v>
      </c>
      <c r="J1186" t="str">
        <f>"2018-03-01"</f>
        <v>2018-03-01</v>
      </c>
      <c r="K1186" t="s">
        <v>57</v>
      </c>
      <c r="L1186">
        <v>1.1892247</v>
      </c>
      <c r="M1186">
        <v>1185</v>
      </c>
      <c r="N1186" s="1">
        <v>8.2000000000000007E-3</v>
      </c>
      <c r="O1186" s="1">
        <v>0.1353</v>
      </c>
      <c r="P1186" s="1">
        <v>-1.4800000000000001E-2</v>
      </c>
      <c r="Q1186" s="1">
        <v>9.2999999999999992E-3</v>
      </c>
      <c r="R1186" s="1">
        <v>-6.8999999999999999E-3</v>
      </c>
      <c r="S1186" s="1">
        <v>6.4000000000000001E-2</v>
      </c>
      <c r="T1186" s="1">
        <v>9.3700000000000006E-2</v>
      </c>
      <c r="U1186" s="1">
        <v>5.7500000000000002E-2</v>
      </c>
    </row>
    <row r="1187" spans="1:21" x14ac:dyDescent="0.25">
      <c r="A1187" t="s">
        <v>2531</v>
      </c>
      <c r="B1187" t="s">
        <v>2532</v>
      </c>
      <c r="C1187" t="s">
        <v>30</v>
      </c>
      <c r="D1187" t="s">
        <v>482</v>
      </c>
      <c r="E1187" t="s">
        <v>482</v>
      </c>
      <c r="F1187" t="str">
        <f t="shared" si="21"/>
        <v>2018-05-20</v>
      </c>
      <c r="G1187">
        <v>7.77</v>
      </c>
      <c r="H1187" t="str">
        <f>"2018-03-18"</f>
        <v>2018-03-18</v>
      </c>
      <c r="I1187" t="s">
        <v>27</v>
      </c>
      <c r="J1187" t="str">
        <f>"2018-02-12"</f>
        <v>2018-02-12</v>
      </c>
      <c r="K1187" t="s">
        <v>57</v>
      </c>
      <c r="L1187">
        <v>1.18905109</v>
      </c>
      <c r="M1187">
        <v>1186</v>
      </c>
      <c r="N1187" s="1">
        <v>-2.5999999999999999E-3</v>
      </c>
      <c r="O1187" s="1">
        <v>0.1343</v>
      </c>
      <c r="P1187" s="1">
        <v>-2.63E-2</v>
      </c>
      <c r="Q1187" s="1">
        <v>3.5999999999999997E-2</v>
      </c>
      <c r="R1187" s="1">
        <v>4.1599999999999998E-2</v>
      </c>
      <c r="S1187" s="1">
        <v>-1.15E-2</v>
      </c>
      <c r="T1187" s="1">
        <v>6.88E-2</v>
      </c>
      <c r="U1187" s="1">
        <v>0.27800000000000002</v>
      </c>
    </row>
    <row r="1188" spans="1:21" x14ac:dyDescent="0.25">
      <c r="A1188" t="s">
        <v>2533</v>
      </c>
      <c r="B1188" t="s">
        <v>2534</v>
      </c>
      <c r="C1188" t="s">
        <v>109</v>
      </c>
      <c r="D1188" t="s">
        <v>110</v>
      </c>
      <c r="E1188" t="s">
        <v>111</v>
      </c>
      <c r="F1188" t="str">
        <f t="shared" si="21"/>
        <v>2018-05-20</v>
      </c>
      <c r="G1188">
        <v>42.4</v>
      </c>
      <c r="H1188" t="str">
        <f>"2018-05-06"</f>
        <v>2018-05-06</v>
      </c>
      <c r="I1188" t="s">
        <v>27</v>
      </c>
      <c r="J1188" t="str">
        <f>"2018-03-26"</f>
        <v>2018-03-26</v>
      </c>
      <c r="K1188" t="s">
        <v>57</v>
      </c>
      <c r="L1188">
        <v>1.18894831</v>
      </c>
      <c r="M1188">
        <v>1187</v>
      </c>
      <c r="N1188" s="1">
        <v>2.0500000000000001E-2</v>
      </c>
      <c r="O1188" s="1">
        <v>0.13370000000000001</v>
      </c>
      <c r="P1188" s="1">
        <v>-5.8999999999999999E-3</v>
      </c>
      <c r="Q1188" s="1">
        <v>8.3000000000000001E-3</v>
      </c>
      <c r="R1188" s="1">
        <v>1.44E-2</v>
      </c>
      <c r="S1188" s="1">
        <v>7.1000000000000004E-3</v>
      </c>
      <c r="T1188" s="1">
        <v>5.74E-2</v>
      </c>
      <c r="U1188" s="1">
        <v>4.5600000000000002E-2</v>
      </c>
    </row>
    <row r="1189" spans="1:21" x14ac:dyDescent="0.25">
      <c r="A1189" t="s">
        <v>2535</v>
      </c>
      <c r="B1189" t="s">
        <v>2536</v>
      </c>
      <c r="C1189" t="s">
        <v>30</v>
      </c>
      <c r="D1189" t="s">
        <v>31</v>
      </c>
      <c r="E1189" t="s">
        <v>31</v>
      </c>
      <c r="F1189" t="str">
        <f t="shared" si="21"/>
        <v>2018-05-20</v>
      </c>
      <c r="G1189">
        <v>31.8</v>
      </c>
      <c r="H1189" t="str">
        <f>"2018-05-17"</f>
        <v>2018-05-17</v>
      </c>
      <c r="I1189" t="s">
        <v>27</v>
      </c>
      <c r="J1189" t="str">
        <f>"2018-02-18"</f>
        <v>2018-02-18</v>
      </c>
      <c r="K1189" t="s">
        <v>57</v>
      </c>
      <c r="L1189">
        <v>1.1886121000000001</v>
      </c>
      <c r="M1189">
        <v>1188</v>
      </c>
      <c r="N1189" s="1">
        <v>1.6E-2</v>
      </c>
      <c r="O1189" s="1">
        <v>0.13170000000000001</v>
      </c>
      <c r="P1189" s="1">
        <v>0</v>
      </c>
      <c r="Q1189" s="1">
        <v>1.9199999999999998E-2</v>
      </c>
      <c r="R1189" s="1">
        <v>3.5799999999999998E-2</v>
      </c>
      <c r="S1189" s="1">
        <v>7.4300000000000005E-2</v>
      </c>
      <c r="T1189" s="1">
        <v>7.8E-2</v>
      </c>
      <c r="U1189" s="1">
        <v>7.2499999999999995E-2</v>
      </c>
    </row>
    <row r="1190" spans="1:21" x14ac:dyDescent="0.25">
      <c r="A1190" t="s">
        <v>2537</v>
      </c>
      <c r="B1190" t="s">
        <v>2538</v>
      </c>
      <c r="C1190" t="s">
        <v>43</v>
      </c>
      <c r="D1190" t="s">
        <v>169</v>
      </c>
      <c r="E1190" t="s">
        <v>904</v>
      </c>
      <c r="F1190" t="str">
        <f t="shared" si="21"/>
        <v>2018-05-20</v>
      </c>
      <c r="G1190">
        <v>3.76</v>
      </c>
      <c r="H1190" t="str">
        <f>"2018-05-09"</f>
        <v>2018-05-09</v>
      </c>
      <c r="I1190" t="s">
        <v>27</v>
      </c>
      <c r="J1190" t="str">
        <f>"2017-07-24"</f>
        <v>2017-07-24</v>
      </c>
      <c r="K1190" t="s">
        <v>57</v>
      </c>
      <c r="L1190">
        <v>1.18818819</v>
      </c>
      <c r="M1190">
        <v>1189</v>
      </c>
      <c r="N1190" s="1">
        <v>-3.3399999999999999E-2</v>
      </c>
      <c r="O1190" s="1">
        <v>0.12909999999999999</v>
      </c>
      <c r="P1190" s="1">
        <v>-3.3399999999999999E-2</v>
      </c>
      <c r="Q1190" s="1">
        <v>1.0800000000000001E-2</v>
      </c>
      <c r="R1190" s="1">
        <v>-1.5699999999999999E-2</v>
      </c>
      <c r="S1190" s="1">
        <v>-2.5899999999999999E-2</v>
      </c>
      <c r="T1190" s="1">
        <v>2.7000000000000001E-3</v>
      </c>
      <c r="U1190" s="1">
        <v>-0.16259999999999999</v>
      </c>
    </row>
    <row r="1191" spans="1:21" x14ac:dyDescent="0.25">
      <c r="A1191" t="s">
        <v>2539</v>
      </c>
      <c r="B1191" t="s">
        <v>2540</v>
      </c>
      <c r="C1191" t="s">
        <v>87</v>
      </c>
      <c r="D1191" t="s">
        <v>144</v>
      </c>
      <c r="E1191" t="s">
        <v>145</v>
      </c>
      <c r="F1191" t="str">
        <f t="shared" si="21"/>
        <v>2018-05-20</v>
      </c>
      <c r="G1191">
        <v>29.46</v>
      </c>
      <c r="H1191" t="str">
        <f>"2018-04-17"</f>
        <v>2018-04-17</v>
      </c>
      <c r="I1191" t="s">
        <v>27</v>
      </c>
      <c r="J1191" t="str">
        <f>"2018-04-02"</f>
        <v>2018-04-02</v>
      </c>
      <c r="K1191" t="s">
        <v>57</v>
      </c>
      <c r="L1191">
        <v>1.1879785599999999</v>
      </c>
      <c r="M1191">
        <v>1190</v>
      </c>
      <c r="N1191" s="1">
        <v>-1.9E-2</v>
      </c>
      <c r="O1191" s="1">
        <v>0.12790000000000001</v>
      </c>
      <c r="P1191" s="1">
        <v>-4.1000000000000002E-2</v>
      </c>
      <c r="Q1191" s="1">
        <v>6.4999999999999997E-3</v>
      </c>
      <c r="R1191" s="1">
        <v>4.4699999999999997E-2</v>
      </c>
      <c r="S1191" s="1">
        <v>-4.1000000000000003E-3</v>
      </c>
      <c r="T1191" s="1">
        <v>4.3900000000000002E-2</v>
      </c>
      <c r="U1191" s="1">
        <v>-2.0299999999999999E-2</v>
      </c>
    </row>
    <row r="1192" spans="1:21" x14ac:dyDescent="0.25">
      <c r="A1192" t="s">
        <v>2541</v>
      </c>
      <c r="B1192" t="s">
        <v>2542</v>
      </c>
      <c r="C1192" t="s">
        <v>30</v>
      </c>
      <c r="D1192" t="s">
        <v>31</v>
      </c>
      <c r="E1192" t="s">
        <v>31</v>
      </c>
      <c r="F1192" t="str">
        <f t="shared" si="21"/>
        <v>2018-05-20</v>
      </c>
      <c r="G1192">
        <v>39.9</v>
      </c>
      <c r="H1192" t="str">
        <f>"2018-05-15"</f>
        <v>2018-05-15</v>
      </c>
      <c r="I1192" t="s">
        <v>27</v>
      </c>
      <c r="J1192" t="str">
        <f>"2018-04-09"</f>
        <v>2018-04-09</v>
      </c>
      <c r="K1192" t="s">
        <v>57</v>
      </c>
      <c r="L1192">
        <v>1.18785311</v>
      </c>
      <c r="M1192">
        <v>1191</v>
      </c>
      <c r="N1192" s="1">
        <v>2.5700000000000001E-2</v>
      </c>
      <c r="O1192" s="1">
        <v>0.12709999999999999</v>
      </c>
      <c r="P1192" s="1">
        <v>0</v>
      </c>
      <c r="Q1192" s="1">
        <v>6.3E-3</v>
      </c>
      <c r="R1192" s="1">
        <v>3.5000000000000003E-2</v>
      </c>
      <c r="S1192" s="1">
        <v>9.9199999999999997E-2</v>
      </c>
      <c r="T1192" s="1">
        <v>8.2799999999999999E-2</v>
      </c>
      <c r="U1192" s="1">
        <v>8.2799999999999999E-2</v>
      </c>
    </row>
    <row r="1193" spans="1:21" x14ac:dyDescent="0.25">
      <c r="A1193" t="s">
        <v>2543</v>
      </c>
      <c r="B1193" t="s">
        <v>2544</v>
      </c>
      <c r="C1193" t="s">
        <v>37</v>
      </c>
      <c r="D1193" t="s">
        <v>38</v>
      </c>
      <c r="E1193" t="s">
        <v>39</v>
      </c>
      <c r="F1193" t="str">
        <f t="shared" si="21"/>
        <v>2018-05-20</v>
      </c>
      <c r="G1193">
        <v>3.47</v>
      </c>
      <c r="H1193" t="str">
        <f>"2018-05-21"</f>
        <v>2018-05-21</v>
      </c>
      <c r="I1193" t="s">
        <v>27</v>
      </c>
      <c r="J1193" t="str">
        <f>"2018-05-10"</f>
        <v>2018-05-10</v>
      </c>
      <c r="K1193" t="s">
        <v>57</v>
      </c>
      <c r="L1193">
        <v>1.1877705599999999</v>
      </c>
      <c r="M1193">
        <v>1192</v>
      </c>
      <c r="N1193" s="1">
        <v>0</v>
      </c>
      <c r="O1193" s="1">
        <v>0.12659999999999999</v>
      </c>
      <c r="P1193" s="1">
        <v>0</v>
      </c>
      <c r="Q1193" s="1">
        <v>5.4699999999999999E-2</v>
      </c>
      <c r="R1193" s="1">
        <v>4.8300000000000003E-2</v>
      </c>
      <c r="S1193" s="1">
        <v>3.5799999999999998E-2</v>
      </c>
      <c r="T1193" s="1">
        <v>8.1000000000000003E-2</v>
      </c>
      <c r="U1193" s="1">
        <v>9.4600000000000004E-2</v>
      </c>
    </row>
    <row r="1194" spans="1:21" x14ac:dyDescent="0.25">
      <c r="A1194" t="s">
        <v>2545</v>
      </c>
      <c r="B1194" t="s">
        <v>2546</v>
      </c>
      <c r="C1194" t="s">
        <v>30</v>
      </c>
      <c r="D1194" t="s">
        <v>299</v>
      </c>
      <c r="E1194" t="s">
        <v>1087</v>
      </c>
      <c r="F1194" t="str">
        <f t="shared" si="21"/>
        <v>2018-05-20</v>
      </c>
      <c r="G1194">
        <v>25.66</v>
      </c>
      <c r="H1194" t="str">
        <f>"2018-05-10"</f>
        <v>2018-05-10</v>
      </c>
      <c r="I1194" t="s">
        <v>27</v>
      </c>
      <c r="J1194" t="str">
        <f>"2018-03-04"</f>
        <v>2018-03-04</v>
      </c>
      <c r="K1194" t="s">
        <v>57</v>
      </c>
      <c r="L1194">
        <v>1.1876553999999999</v>
      </c>
      <c r="M1194">
        <v>1193</v>
      </c>
      <c r="N1194" s="1">
        <v>-2.5100000000000001E-2</v>
      </c>
      <c r="O1194" s="1">
        <v>0.12590000000000001</v>
      </c>
      <c r="P1194" s="1">
        <v>-2.5100000000000001E-2</v>
      </c>
      <c r="Q1194" s="1">
        <v>1.06E-2</v>
      </c>
      <c r="R1194" s="1">
        <v>-1.2699999999999999E-2</v>
      </c>
      <c r="S1194" s="1">
        <v>0.08</v>
      </c>
      <c r="T1194" s="1">
        <v>8.5000000000000006E-2</v>
      </c>
      <c r="U1194" s="1">
        <v>-3.5000000000000003E-2</v>
      </c>
    </row>
    <row r="1195" spans="1:21" x14ac:dyDescent="0.25">
      <c r="A1195" t="s">
        <v>2547</v>
      </c>
      <c r="B1195" t="s">
        <v>2548</v>
      </c>
      <c r="C1195" t="s">
        <v>114</v>
      </c>
      <c r="D1195" t="s">
        <v>115</v>
      </c>
      <c r="E1195" t="s">
        <v>2137</v>
      </c>
      <c r="F1195" t="str">
        <f t="shared" si="21"/>
        <v>2018-05-20</v>
      </c>
      <c r="G1195">
        <v>30.4</v>
      </c>
      <c r="H1195" t="str">
        <f>"2018-04-12"</f>
        <v>2018-04-12</v>
      </c>
      <c r="I1195" t="s">
        <v>27</v>
      </c>
      <c r="J1195" t="str">
        <f>"2018-03-11"</f>
        <v>2018-03-11</v>
      </c>
      <c r="K1195" t="s">
        <v>57</v>
      </c>
      <c r="L1195">
        <v>1.18765432</v>
      </c>
      <c r="M1195">
        <v>1194</v>
      </c>
      <c r="N1195" s="1">
        <v>-3.0300000000000001E-2</v>
      </c>
      <c r="O1195" s="1">
        <v>0.12590000000000001</v>
      </c>
      <c r="P1195" s="1">
        <v>-7.3200000000000001E-2</v>
      </c>
      <c r="Q1195" s="1">
        <v>-8.2000000000000007E-3</v>
      </c>
      <c r="R1195" s="1">
        <v>-3.95E-2</v>
      </c>
      <c r="S1195" s="1">
        <v>-1.9400000000000001E-2</v>
      </c>
      <c r="T1195" s="1">
        <v>0.14069999999999999</v>
      </c>
      <c r="U1195" s="1">
        <v>-6.4999999999999997E-3</v>
      </c>
    </row>
    <row r="1196" spans="1:21" x14ac:dyDescent="0.25">
      <c r="A1196" t="s">
        <v>2549</v>
      </c>
      <c r="B1196" t="s">
        <v>2550</v>
      </c>
      <c r="C1196" t="s">
        <v>518</v>
      </c>
      <c r="D1196" t="s">
        <v>573</v>
      </c>
      <c r="E1196" t="s">
        <v>1385</v>
      </c>
      <c r="F1196" t="str">
        <f t="shared" si="21"/>
        <v>2018-05-20</v>
      </c>
      <c r="G1196">
        <v>71.44</v>
      </c>
      <c r="H1196" t="str">
        <f>"2018-05-01"</f>
        <v>2018-05-01</v>
      </c>
      <c r="I1196" t="s">
        <v>27</v>
      </c>
      <c r="J1196" t="str">
        <f>"2018-03-20"</f>
        <v>2018-03-20</v>
      </c>
      <c r="K1196" t="s">
        <v>57</v>
      </c>
      <c r="L1196">
        <v>1.1873590300000001</v>
      </c>
      <c r="M1196">
        <v>1195</v>
      </c>
      <c r="N1196" s="1">
        <v>-1.7999999999999999E-2</v>
      </c>
      <c r="O1196" s="1">
        <v>0.1242</v>
      </c>
      <c r="P1196" s="1">
        <v>-3.8899999999999997E-2</v>
      </c>
      <c r="Q1196" s="1">
        <v>8.9999999999999993E-3</v>
      </c>
      <c r="R1196" s="1">
        <v>-3.5000000000000001E-3</v>
      </c>
      <c r="S1196" s="1">
        <v>5.2299999999999999E-2</v>
      </c>
      <c r="T1196" s="1">
        <v>8.0100000000000005E-2</v>
      </c>
      <c r="U1196" s="1">
        <v>3.39E-2</v>
      </c>
    </row>
    <row r="1197" spans="1:21" x14ac:dyDescent="0.25">
      <c r="A1197" t="s">
        <v>2551</v>
      </c>
      <c r="B1197" t="s">
        <v>2552</v>
      </c>
      <c r="C1197" t="s">
        <v>23</v>
      </c>
      <c r="D1197" t="s">
        <v>173</v>
      </c>
      <c r="E1197" t="s">
        <v>1429</v>
      </c>
      <c r="F1197" t="str">
        <f t="shared" si="21"/>
        <v>2018-05-20</v>
      </c>
      <c r="G1197">
        <v>11.85</v>
      </c>
      <c r="H1197" t="str">
        <f>"2018-03-05"</f>
        <v>2018-03-05</v>
      </c>
      <c r="I1197" t="s">
        <v>27</v>
      </c>
      <c r="J1197" t="str">
        <f>"2018-01-28"</f>
        <v>2018-01-28</v>
      </c>
      <c r="K1197" t="s">
        <v>57</v>
      </c>
      <c r="L1197">
        <v>1.1872037900000001</v>
      </c>
      <c r="M1197">
        <v>1196</v>
      </c>
      <c r="N1197" s="1">
        <v>-4.1999999999999997E-3</v>
      </c>
      <c r="O1197" s="1">
        <v>0.1232</v>
      </c>
      <c r="P1197" s="1">
        <v>-1.2500000000000001E-2</v>
      </c>
      <c r="Q1197" s="1">
        <v>0</v>
      </c>
      <c r="R1197" s="1">
        <v>1.2800000000000001E-2</v>
      </c>
      <c r="S1197" s="1">
        <v>7.7299999999999994E-2</v>
      </c>
      <c r="T1197" s="1">
        <v>3.95E-2</v>
      </c>
      <c r="U1197" s="1">
        <v>5.33E-2</v>
      </c>
    </row>
    <row r="1198" spans="1:21" x14ac:dyDescent="0.25">
      <c r="A1198" t="s">
        <v>2553</v>
      </c>
      <c r="B1198" t="s">
        <v>2554</v>
      </c>
      <c r="C1198" t="s">
        <v>114</v>
      </c>
      <c r="D1198" t="s">
        <v>225</v>
      </c>
      <c r="E1198" t="s">
        <v>469</v>
      </c>
      <c r="F1198" t="str">
        <f t="shared" si="21"/>
        <v>2018-05-20</v>
      </c>
      <c r="G1198">
        <v>91.8</v>
      </c>
      <c r="H1198" t="str">
        <f>"2018-05-17"</f>
        <v>2018-05-17</v>
      </c>
      <c r="I1198" t="s">
        <v>27</v>
      </c>
      <c r="J1198" t="str">
        <f>"2018-02-01"</f>
        <v>2018-02-01</v>
      </c>
      <c r="K1198" t="s">
        <v>57</v>
      </c>
      <c r="L1198">
        <v>1.1870415599999999</v>
      </c>
      <c r="M1198">
        <v>1197</v>
      </c>
      <c r="N1198" s="1">
        <v>-3.8E-3</v>
      </c>
      <c r="O1198" s="1">
        <v>0.1222</v>
      </c>
      <c r="P1198" s="1">
        <v>-3.8E-3</v>
      </c>
      <c r="Q1198" s="1">
        <v>2.7000000000000001E-3</v>
      </c>
      <c r="R1198" s="1">
        <v>2.2000000000000001E-3</v>
      </c>
      <c r="S1198" s="1">
        <v>8.5099999999999995E-2</v>
      </c>
      <c r="T1198" s="1">
        <v>6.6E-3</v>
      </c>
      <c r="U1198" s="1">
        <v>1.2699999999999999E-2</v>
      </c>
    </row>
    <row r="1199" spans="1:21" x14ac:dyDescent="0.25">
      <c r="A1199" t="s">
        <v>2555</v>
      </c>
      <c r="B1199" t="s">
        <v>2556</v>
      </c>
      <c r="C1199" t="s">
        <v>30</v>
      </c>
      <c r="D1199" t="s">
        <v>31</v>
      </c>
      <c r="E1199" t="s">
        <v>31</v>
      </c>
      <c r="F1199" t="str">
        <f t="shared" si="21"/>
        <v>2018-05-20</v>
      </c>
      <c r="G1199">
        <v>14.4</v>
      </c>
      <c r="H1199" t="str">
        <f>"2018-05-07"</f>
        <v>2018-05-07</v>
      </c>
      <c r="I1199" t="s">
        <v>27</v>
      </c>
      <c r="J1199" t="str">
        <f>"2018-01-10"</f>
        <v>2018-01-10</v>
      </c>
      <c r="K1199" t="s">
        <v>57</v>
      </c>
      <c r="L1199">
        <v>1.1867704299999999</v>
      </c>
      <c r="M1199">
        <v>1198</v>
      </c>
      <c r="N1199" s="1">
        <v>1.41E-2</v>
      </c>
      <c r="O1199" s="1">
        <v>0.1206</v>
      </c>
      <c r="P1199" s="1">
        <v>0</v>
      </c>
      <c r="Q1199" s="1">
        <v>3.5000000000000001E-3</v>
      </c>
      <c r="R1199" s="1">
        <v>2.86E-2</v>
      </c>
      <c r="S1199" s="1">
        <v>6.2700000000000006E-2</v>
      </c>
      <c r="T1199" s="1">
        <v>7.8700000000000006E-2</v>
      </c>
      <c r="U1199" s="1">
        <v>2.86E-2</v>
      </c>
    </row>
    <row r="1200" spans="1:21" x14ac:dyDescent="0.25">
      <c r="A1200" t="s">
        <v>2557</v>
      </c>
      <c r="B1200" t="s">
        <v>2558</v>
      </c>
      <c r="C1200" t="s">
        <v>43</v>
      </c>
      <c r="D1200" t="s">
        <v>1342</v>
      </c>
      <c r="E1200" t="s">
        <v>1343</v>
      </c>
      <c r="F1200" t="str">
        <f t="shared" si="21"/>
        <v>2018-05-20</v>
      </c>
      <c r="G1200">
        <v>25.05</v>
      </c>
      <c r="H1200" t="str">
        <f>"2018-05-17"</f>
        <v>2018-05-17</v>
      </c>
      <c r="I1200" t="s">
        <v>27</v>
      </c>
      <c r="J1200" t="str">
        <f>"2018-03-13"</f>
        <v>2018-03-13</v>
      </c>
      <c r="K1200" t="s">
        <v>57</v>
      </c>
      <c r="L1200">
        <v>1.1863839300000001</v>
      </c>
      <c r="M1200">
        <v>1199</v>
      </c>
      <c r="N1200" s="1">
        <v>1.6199999999999999E-2</v>
      </c>
      <c r="O1200" s="1">
        <v>0.1183</v>
      </c>
      <c r="P1200" s="1">
        <v>0</v>
      </c>
      <c r="Q1200" s="1">
        <v>2.0400000000000001E-2</v>
      </c>
      <c r="R1200" s="1">
        <v>3.9399999999999998E-2</v>
      </c>
      <c r="S1200" s="1">
        <v>4.8099999999999997E-2</v>
      </c>
      <c r="T1200" s="1">
        <v>3.73E-2</v>
      </c>
      <c r="U1200" s="1">
        <v>-1.7600000000000001E-2</v>
      </c>
    </row>
    <row r="1201" spans="1:21" x14ac:dyDescent="0.25">
      <c r="A1201" t="s">
        <v>2559</v>
      </c>
      <c r="B1201" t="s">
        <v>2560</v>
      </c>
      <c r="C1201" t="s">
        <v>518</v>
      </c>
      <c r="D1201" t="s">
        <v>573</v>
      </c>
      <c r="E1201" t="s">
        <v>1385</v>
      </c>
      <c r="F1201" t="str">
        <f t="shared" si="21"/>
        <v>2018-05-20</v>
      </c>
      <c r="G1201">
        <v>58.05</v>
      </c>
      <c r="H1201" t="str">
        <f>"2018-05-07"</f>
        <v>2018-05-07</v>
      </c>
      <c r="I1201" t="s">
        <v>27</v>
      </c>
      <c r="J1201" t="str">
        <f>"2018-02-26"</f>
        <v>2018-02-26</v>
      </c>
      <c r="K1201" t="s">
        <v>57</v>
      </c>
      <c r="L1201">
        <v>1.1862367700000001</v>
      </c>
      <c r="M1201">
        <v>1200</v>
      </c>
      <c r="N1201" s="1">
        <v>-6.9699999999999998E-2</v>
      </c>
      <c r="O1201" s="1">
        <v>0.1174</v>
      </c>
      <c r="P1201" s="1">
        <v>-6.9699999999999998E-2</v>
      </c>
      <c r="Q1201" s="1">
        <v>-6.0000000000000001E-3</v>
      </c>
      <c r="R1201" s="1">
        <v>-3.8100000000000002E-2</v>
      </c>
      <c r="S1201" s="1">
        <v>-3.9699999999999999E-2</v>
      </c>
      <c r="T1201" s="1">
        <v>8.1000000000000003E-2</v>
      </c>
      <c r="U1201" s="1">
        <v>-2.76E-2</v>
      </c>
    </row>
    <row r="1202" spans="1:21" x14ac:dyDescent="0.25">
      <c r="A1202" t="s">
        <v>2561</v>
      </c>
      <c r="B1202" t="s">
        <v>2562</v>
      </c>
      <c r="C1202" t="s">
        <v>30</v>
      </c>
      <c r="D1202" t="s">
        <v>299</v>
      </c>
      <c r="E1202" t="s">
        <v>2120</v>
      </c>
      <c r="F1202" t="str">
        <f t="shared" si="21"/>
        <v>2018-05-20</v>
      </c>
      <c r="G1202">
        <v>9.16</v>
      </c>
      <c r="H1202" t="str">
        <f>"2018-05-21"</f>
        <v>2018-05-21</v>
      </c>
      <c r="I1202" t="s">
        <v>27</v>
      </c>
      <c r="J1202" t="str">
        <f>"2017-10-09"</f>
        <v>2017-10-09</v>
      </c>
      <c r="K1202" t="s">
        <v>57</v>
      </c>
      <c r="L1202">
        <v>1.18595209</v>
      </c>
      <c r="M1202">
        <v>1201</v>
      </c>
      <c r="N1202" s="1">
        <v>0</v>
      </c>
      <c r="O1202" s="1">
        <v>0.1157</v>
      </c>
      <c r="P1202" s="1">
        <v>0</v>
      </c>
      <c r="Q1202" s="1">
        <v>6.6E-3</v>
      </c>
      <c r="R1202" s="1">
        <v>3.39E-2</v>
      </c>
      <c r="S1202" s="1">
        <v>4.9299999999999997E-2</v>
      </c>
      <c r="T1202" s="1">
        <v>4.8099999999999997E-2</v>
      </c>
      <c r="U1202" s="1">
        <v>-0.12180000000000001</v>
      </c>
    </row>
    <row r="1203" spans="1:21" x14ac:dyDescent="0.25">
      <c r="A1203" t="s">
        <v>2563</v>
      </c>
      <c r="B1203" t="s">
        <v>2564</v>
      </c>
      <c r="C1203" t="s">
        <v>43</v>
      </c>
      <c r="D1203" t="s">
        <v>169</v>
      </c>
      <c r="E1203" t="s">
        <v>641</v>
      </c>
      <c r="F1203" t="str">
        <f t="shared" si="21"/>
        <v>2018-05-20</v>
      </c>
      <c r="G1203">
        <v>21.79</v>
      </c>
      <c r="H1203" t="str">
        <f>"2018-05-13"</f>
        <v>2018-05-13</v>
      </c>
      <c r="I1203" t="s">
        <v>27</v>
      </c>
      <c r="J1203" t="str">
        <f>"2018-03-26"</f>
        <v>2018-03-26</v>
      </c>
      <c r="K1203" t="s">
        <v>57</v>
      </c>
      <c r="L1203">
        <v>1.18566803</v>
      </c>
      <c r="M1203">
        <v>1202</v>
      </c>
      <c r="N1203" s="1">
        <v>-2.64E-2</v>
      </c>
      <c r="O1203" s="1">
        <v>0.114</v>
      </c>
      <c r="P1203" s="1">
        <v>-5.0500000000000003E-2</v>
      </c>
      <c r="Q1203" s="1">
        <v>3.0300000000000001E-2</v>
      </c>
      <c r="R1203" s="1">
        <v>-2.3699999999999999E-2</v>
      </c>
      <c r="S1203" s="1">
        <v>0.10440000000000001</v>
      </c>
      <c r="T1203" s="1">
        <v>4.4600000000000001E-2</v>
      </c>
      <c r="U1203" s="1">
        <v>-3.2800000000000003E-2</v>
      </c>
    </row>
    <row r="1204" spans="1:21" x14ac:dyDescent="0.25">
      <c r="A1204" t="s">
        <v>2565</v>
      </c>
      <c r="B1204" t="s">
        <v>2566</v>
      </c>
      <c r="C1204" t="s">
        <v>518</v>
      </c>
      <c r="D1204" t="s">
        <v>519</v>
      </c>
      <c r="E1204" t="s">
        <v>1639</v>
      </c>
      <c r="F1204" t="str">
        <f t="shared" si="21"/>
        <v>2018-05-20</v>
      </c>
      <c r="G1204">
        <v>56.35</v>
      </c>
      <c r="H1204" t="str">
        <f>"2018-05-06"</f>
        <v>2018-05-06</v>
      </c>
      <c r="I1204" t="s">
        <v>27</v>
      </c>
      <c r="J1204" t="str">
        <f>"2017-12-26"</f>
        <v>2017-12-26</v>
      </c>
      <c r="K1204" t="s">
        <v>57</v>
      </c>
      <c r="L1204">
        <v>1.1853862399999999</v>
      </c>
      <c r="M1204">
        <v>1203</v>
      </c>
      <c r="N1204" s="1">
        <v>-4.41E-2</v>
      </c>
      <c r="O1204" s="1">
        <v>0.1123</v>
      </c>
      <c r="P1204" s="1">
        <v>-4.7300000000000002E-2</v>
      </c>
      <c r="Q1204" s="1">
        <v>3.0000000000000001E-3</v>
      </c>
      <c r="R1204" s="1">
        <v>-2.76E-2</v>
      </c>
      <c r="S1204" s="1">
        <v>3.6600000000000001E-2</v>
      </c>
      <c r="T1204" s="1">
        <v>8.4099999999999994E-2</v>
      </c>
      <c r="U1204" s="1">
        <v>-0.17299999999999999</v>
      </c>
    </row>
    <row r="1205" spans="1:21" x14ac:dyDescent="0.25">
      <c r="A1205" t="s">
        <v>2567</v>
      </c>
      <c r="B1205" t="s">
        <v>2568</v>
      </c>
      <c r="C1205" t="s">
        <v>30</v>
      </c>
      <c r="D1205" t="s">
        <v>299</v>
      </c>
      <c r="E1205" t="s">
        <v>2172</v>
      </c>
      <c r="F1205" t="str">
        <f t="shared" si="21"/>
        <v>2018-05-20</v>
      </c>
      <c r="G1205">
        <v>33.590000000000003</v>
      </c>
      <c r="H1205" t="str">
        <f>"2018-05-10"</f>
        <v>2018-05-10</v>
      </c>
      <c r="I1205" t="s">
        <v>27</v>
      </c>
      <c r="J1205" t="str">
        <f>"2017-09-21"</f>
        <v>2017-09-21</v>
      </c>
      <c r="K1205" t="s">
        <v>57</v>
      </c>
      <c r="L1205">
        <v>1.18476348</v>
      </c>
      <c r="M1205">
        <v>1204</v>
      </c>
      <c r="N1205" s="1">
        <v>-3.2500000000000001E-2</v>
      </c>
      <c r="O1205" s="1">
        <v>0.1086</v>
      </c>
      <c r="P1205" s="1">
        <v>-3.2500000000000001E-2</v>
      </c>
      <c r="Q1205" s="1">
        <v>1.24E-2</v>
      </c>
      <c r="R1205" s="1">
        <v>-1.61E-2</v>
      </c>
      <c r="S1205" s="1">
        <v>5.6599999999999998E-2</v>
      </c>
      <c r="T1205" s="1">
        <v>5.4600000000000003E-2</v>
      </c>
      <c r="U1205" s="1">
        <v>-0.12909999999999999</v>
      </c>
    </row>
    <row r="1206" spans="1:21" x14ac:dyDescent="0.25">
      <c r="A1206" t="s">
        <v>2569</v>
      </c>
      <c r="B1206" t="s">
        <v>2570</v>
      </c>
      <c r="C1206" t="s">
        <v>100</v>
      </c>
      <c r="D1206" t="s">
        <v>217</v>
      </c>
      <c r="E1206" t="s">
        <v>762</v>
      </c>
      <c r="F1206" t="str">
        <f t="shared" si="21"/>
        <v>2018-05-20</v>
      </c>
      <c r="G1206">
        <v>48.46</v>
      </c>
      <c r="H1206" t="str">
        <f>"2018-05-21"</f>
        <v>2018-05-21</v>
      </c>
      <c r="I1206" t="s">
        <v>27</v>
      </c>
      <c r="J1206" t="str">
        <f>"2018-05-02"</f>
        <v>2018-05-02</v>
      </c>
      <c r="K1206" t="s">
        <v>57</v>
      </c>
      <c r="L1206">
        <v>1.1845673400000001</v>
      </c>
      <c r="M1206">
        <v>1205</v>
      </c>
      <c r="N1206" s="1">
        <v>0</v>
      </c>
      <c r="O1206" s="1">
        <v>0.1074</v>
      </c>
      <c r="P1206" s="1">
        <v>0</v>
      </c>
      <c r="Q1206" s="1">
        <v>4.1000000000000003E-3</v>
      </c>
      <c r="R1206" s="1">
        <v>6.6900000000000001E-2</v>
      </c>
      <c r="S1206" s="1">
        <v>5.28E-2</v>
      </c>
      <c r="T1206" s="1">
        <v>3.7499999999999999E-2</v>
      </c>
      <c r="U1206" s="1">
        <v>0.14860000000000001</v>
      </c>
    </row>
    <row r="1207" spans="1:21" x14ac:dyDescent="0.25">
      <c r="A1207" t="s">
        <v>2571</v>
      </c>
      <c r="B1207" t="s">
        <v>2572</v>
      </c>
      <c r="C1207" t="s">
        <v>30</v>
      </c>
      <c r="D1207" t="s">
        <v>31</v>
      </c>
      <c r="E1207" t="s">
        <v>31</v>
      </c>
      <c r="F1207" t="str">
        <f t="shared" si="21"/>
        <v>2018-05-20</v>
      </c>
      <c r="G1207">
        <v>8.9499999999999993</v>
      </c>
      <c r="H1207" t="str">
        <f>"2018-05-09"</f>
        <v>2018-05-09</v>
      </c>
      <c r="I1207" t="s">
        <v>27</v>
      </c>
      <c r="J1207" t="str">
        <f>"2018-04-02"</f>
        <v>2018-04-02</v>
      </c>
      <c r="K1207" t="s">
        <v>57</v>
      </c>
      <c r="L1207">
        <v>1.1841563799999999</v>
      </c>
      <c r="M1207">
        <v>1206</v>
      </c>
      <c r="N1207" s="1">
        <v>1.1299999999999999E-2</v>
      </c>
      <c r="O1207" s="1">
        <v>0.10489999999999999</v>
      </c>
      <c r="P1207" s="1">
        <v>-3.7600000000000001E-2</v>
      </c>
      <c r="Q1207" s="1">
        <v>0</v>
      </c>
      <c r="R1207" s="1">
        <v>-5.5999999999999999E-3</v>
      </c>
      <c r="S1207" s="1">
        <v>7.8299999999999995E-2</v>
      </c>
      <c r="T1207" s="1">
        <v>1.7000000000000001E-2</v>
      </c>
      <c r="U1207" s="1">
        <v>1.7000000000000001E-2</v>
      </c>
    </row>
    <row r="1208" spans="1:21" x14ac:dyDescent="0.25">
      <c r="A1208" t="s">
        <v>2573</v>
      </c>
      <c r="B1208" t="s">
        <v>2574</v>
      </c>
      <c r="C1208" t="s">
        <v>109</v>
      </c>
      <c r="D1208" t="s">
        <v>156</v>
      </c>
      <c r="E1208" t="s">
        <v>277</v>
      </c>
      <c r="F1208" t="str">
        <f t="shared" si="21"/>
        <v>2018-05-20</v>
      </c>
      <c r="G1208">
        <v>8.4499999999999993</v>
      </c>
      <c r="H1208" t="str">
        <f>"2018-03-12"</f>
        <v>2018-03-12</v>
      </c>
      <c r="I1208" t="s">
        <v>27</v>
      </c>
      <c r="J1208" t="str">
        <f>"2018-02-12"</f>
        <v>2018-02-12</v>
      </c>
      <c r="K1208" t="s">
        <v>57</v>
      </c>
      <c r="L1208">
        <v>1.18409586</v>
      </c>
      <c r="M1208">
        <v>1207</v>
      </c>
      <c r="N1208" s="1">
        <v>-6.6299999999999998E-2</v>
      </c>
      <c r="O1208" s="1">
        <v>0.1046</v>
      </c>
      <c r="P1208" s="1">
        <v>-8.1500000000000003E-2</v>
      </c>
      <c r="Q1208" s="1">
        <v>6.2899999999999998E-2</v>
      </c>
      <c r="R1208" s="1">
        <v>4.9700000000000001E-2</v>
      </c>
      <c r="S1208" s="1">
        <v>9.74E-2</v>
      </c>
      <c r="T1208" s="1">
        <v>4.9700000000000001E-2</v>
      </c>
      <c r="U1208" s="1">
        <v>-0.16750000000000001</v>
      </c>
    </row>
    <row r="1209" spans="1:21" x14ac:dyDescent="0.25">
      <c r="A1209" t="s">
        <v>2575</v>
      </c>
      <c r="B1209" t="s">
        <v>2576</v>
      </c>
      <c r="C1209" t="s">
        <v>30</v>
      </c>
      <c r="D1209" t="s">
        <v>299</v>
      </c>
      <c r="E1209" t="s">
        <v>2120</v>
      </c>
      <c r="F1209" t="str">
        <f t="shared" si="21"/>
        <v>2018-05-20</v>
      </c>
      <c r="G1209">
        <v>18.829999999999998</v>
      </c>
      <c r="H1209" t="str">
        <f>"2018-05-20"</f>
        <v>2018-05-20</v>
      </c>
      <c r="I1209" t="s">
        <v>27</v>
      </c>
      <c r="J1209" t="str">
        <f>"2018-03-07"</f>
        <v>2018-03-07</v>
      </c>
      <c r="K1209" t="s">
        <v>57</v>
      </c>
      <c r="L1209">
        <v>1.18385081</v>
      </c>
      <c r="M1209">
        <v>1208</v>
      </c>
      <c r="N1209" s="1">
        <v>7.4999999999999997E-3</v>
      </c>
      <c r="O1209" s="1">
        <v>0.1031</v>
      </c>
      <c r="P1209" s="1">
        <v>0</v>
      </c>
      <c r="Q1209" s="1">
        <v>7.4999999999999997E-3</v>
      </c>
      <c r="R1209" s="1">
        <v>4.2599999999999999E-2</v>
      </c>
      <c r="S1209" s="1">
        <v>7.7200000000000005E-2</v>
      </c>
      <c r="T1209" s="1">
        <v>7.7799999999999994E-2</v>
      </c>
      <c r="U1209" s="1">
        <v>2.1700000000000001E-2</v>
      </c>
    </row>
    <row r="1210" spans="1:21" x14ac:dyDescent="0.25">
      <c r="A1210" t="s">
        <v>2577</v>
      </c>
      <c r="B1210" t="s">
        <v>2578</v>
      </c>
      <c r="C1210" t="s">
        <v>30</v>
      </c>
      <c r="D1210" t="s">
        <v>31</v>
      </c>
      <c r="E1210" t="s">
        <v>31</v>
      </c>
      <c r="F1210" t="str">
        <f t="shared" si="21"/>
        <v>2018-05-20</v>
      </c>
      <c r="G1210">
        <v>30.1</v>
      </c>
      <c r="H1210" t="str">
        <f>"2018-05-15"</f>
        <v>2018-05-15</v>
      </c>
      <c r="I1210" t="s">
        <v>27</v>
      </c>
      <c r="J1210" t="str">
        <f>"2018-04-30"</f>
        <v>2018-04-30</v>
      </c>
      <c r="K1210" t="s">
        <v>57</v>
      </c>
      <c r="L1210">
        <v>1.18376068</v>
      </c>
      <c r="M1210">
        <v>1209</v>
      </c>
      <c r="N1210" s="1">
        <v>1.8599999999999998E-2</v>
      </c>
      <c r="O1210" s="1">
        <v>0.1026</v>
      </c>
      <c r="P1210" s="1">
        <v>0</v>
      </c>
      <c r="Q1210" s="1">
        <v>1.01E-2</v>
      </c>
      <c r="R1210" s="1">
        <v>7.1199999999999999E-2</v>
      </c>
      <c r="S1210" s="1">
        <v>4.5100000000000001E-2</v>
      </c>
      <c r="T1210" s="1">
        <v>0.11070000000000001</v>
      </c>
      <c r="U1210" s="1">
        <v>-2.4299999999999999E-2</v>
      </c>
    </row>
    <row r="1211" spans="1:21" x14ac:dyDescent="0.25">
      <c r="A1211" t="s">
        <v>2579</v>
      </c>
      <c r="B1211" t="s">
        <v>2580</v>
      </c>
      <c r="C1211" t="s">
        <v>23</v>
      </c>
      <c r="D1211" t="s">
        <v>52</v>
      </c>
      <c r="E1211" t="s">
        <v>53</v>
      </c>
      <c r="F1211" t="str">
        <f t="shared" si="21"/>
        <v>2018-05-20</v>
      </c>
      <c r="G1211">
        <v>10.26</v>
      </c>
      <c r="H1211" t="str">
        <f>"2018-05-08"</f>
        <v>2018-05-08</v>
      </c>
      <c r="I1211" t="s">
        <v>27</v>
      </c>
      <c r="J1211" t="str">
        <f>"2018-03-13"</f>
        <v>2018-03-13</v>
      </c>
      <c r="K1211" t="s">
        <v>57</v>
      </c>
      <c r="L1211">
        <v>1.1832797399999999</v>
      </c>
      <c r="M1211">
        <v>1210</v>
      </c>
      <c r="N1211" s="1">
        <v>-7.0699999999999999E-2</v>
      </c>
      <c r="O1211" s="1">
        <v>9.9699999999999997E-2</v>
      </c>
      <c r="P1211" s="1">
        <v>-7.0699999999999999E-2</v>
      </c>
      <c r="Q1211" s="1">
        <v>-1.44E-2</v>
      </c>
      <c r="R1211" s="1">
        <v>-4.1099999999999998E-2</v>
      </c>
      <c r="S1211" s="1">
        <v>-2.29E-2</v>
      </c>
      <c r="T1211" s="1">
        <v>0.13500000000000001</v>
      </c>
      <c r="U1211" s="1">
        <v>2.5999999999999999E-2</v>
      </c>
    </row>
    <row r="1212" spans="1:21" x14ac:dyDescent="0.25">
      <c r="A1212" t="s">
        <v>2581</v>
      </c>
      <c r="B1212" t="s">
        <v>2582</v>
      </c>
      <c r="C1212" t="s">
        <v>100</v>
      </c>
      <c r="D1212" t="s">
        <v>199</v>
      </c>
      <c r="E1212" t="s">
        <v>200</v>
      </c>
      <c r="F1212" t="str">
        <f t="shared" si="21"/>
        <v>2018-05-20</v>
      </c>
      <c r="G1212">
        <v>53.22</v>
      </c>
      <c r="H1212" t="str">
        <f>"2018-05-21"</f>
        <v>2018-05-21</v>
      </c>
      <c r="I1212" t="s">
        <v>27</v>
      </c>
      <c r="J1212" t="str">
        <f>"2018-04-03"</f>
        <v>2018-04-03</v>
      </c>
      <c r="K1212" t="s">
        <v>57</v>
      </c>
      <c r="L1212">
        <v>1.18311313</v>
      </c>
      <c r="M1212">
        <v>1211</v>
      </c>
      <c r="N1212" s="1">
        <v>0</v>
      </c>
      <c r="O1212" s="1">
        <v>9.8699999999999996E-2</v>
      </c>
      <c r="P1212" s="1">
        <v>0</v>
      </c>
      <c r="Q1212" s="1">
        <v>1.37E-2</v>
      </c>
      <c r="R1212" s="1">
        <v>3.6799999999999999E-2</v>
      </c>
      <c r="S1212" s="1">
        <v>2.5600000000000001E-2</v>
      </c>
      <c r="T1212" s="1">
        <v>2.2700000000000001E-2</v>
      </c>
      <c r="U1212" s="1">
        <v>4.8500000000000001E-2</v>
      </c>
    </row>
    <row r="1213" spans="1:21" x14ac:dyDescent="0.25">
      <c r="A1213" t="s">
        <v>2583</v>
      </c>
      <c r="B1213" t="s">
        <v>2584</v>
      </c>
      <c r="C1213" t="s">
        <v>37</v>
      </c>
      <c r="D1213" t="s">
        <v>38</v>
      </c>
      <c r="E1213" t="s">
        <v>39</v>
      </c>
      <c r="F1213" t="str">
        <f t="shared" si="21"/>
        <v>2018-05-20</v>
      </c>
      <c r="G1213">
        <v>4.8099999999999996</v>
      </c>
      <c r="H1213" t="str">
        <f>"2018-05-16"</f>
        <v>2018-05-16</v>
      </c>
      <c r="I1213" t="s">
        <v>27</v>
      </c>
      <c r="J1213" t="str">
        <f>"2018-04-25"</f>
        <v>2018-04-25</v>
      </c>
      <c r="K1213" t="s">
        <v>57</v>
      </c>
      <c r="L1213">
        <v>1.182612</v>
      </c>
      <c r="M1213">
        <v>1212</v>
      </c>
      <c r="N1213" s="1">
        <v>-5.6899999999999999E-2</v>
      </c>
      <c r="O1213" s="1">
        <v>9.5699999999999993E-2</v>
      </c>
      <c r="P1213" s="1">
        <v>-5.6899999999999999E-2</v>
      </c>
      <c r="Q1213" s="1">
        <v>-3.61E-2</v>
      </c>
      <c r="R1213" s="1">
        <v>1.6899999999999998E-2</v>
      </c>
      <c r="S1213" s="1">
        <v>0.03</v>
      </c>
      <c r="T1213" s="1">
        <v>0.12379999999999999</v>
      </c>
      <c r="U1213" s="1">
        <v>-0.3216</v>
      </c>
    </row>
    <row r="1214" spans="1:21" x14ac:dyDescent="0.25">
      <c r="A1214" t="s">
        <v>2585</v>
      </c>
      <c r="B1214" t="s">
        <v>2586</v>
      </c>
      <c r="C1214" t="s">
        <v>30</v>
      </c>
      <c r="D1214" t="s">
        <v>31</v>
      </c>
      <c r="E1214" t="s">
        <v>31</v>
      </c>
      <c r="F1214" t="str">
        <f t="shared" si="21"/>
        <v>2018-05-20</v>
      </c>
      <c r="G1214">
        <v>16.7</v>
      </c>
      <c r="H1214" t="str">
        <f>"2018-05-06"</f>
        <v>2018-05-06</v>
      </c>
      <c r="I1214" t="s">
        <v>27</v>
      </c>
      <c r="J1214" t="str">
        <f>"2018-02-12"</f>
        <v>2018-02-12</v>
      </c>
      <c r="K1214" t="s">
        <v>57</v>
      </c>
      <c r="L1214">
        <v>1.18239406</v>
      </c>
      <c r="M1214">
        <v>1213</v>
      </c>
      <c r="N1214" s="1">
        <v>-1.6500000000000001E-2</v>
      </c>
      <c r="O1214" s="1">
        <v>9.4399999999999998E-2</v>
      </c>
      <c r="P1214" s="1">
        <v>-2.0500000000000001E-2</v>
      </c>
      <c r="Q1214" s="1">
        <v>2.3999999999999998E-3</v>
      </c>
      <c r="R1214" s="1">
        <v>-3.5999999999999999E-3</v>
      </c>
      <c r="S1214" s="1">
        <v>4.4400000000000002E-2</v>
      </c>
      <c r="T1214" s="1">
        <v>5.0999999999999997E-2</v>
      </c>
      <c r="U1214" s="1">
        <v>3.0000000000000001E-3</v>
      </c>
    </row>
    <row r="1215" spans="1:21" x14ac:dyDescent="0.25">
      <c r="A1215" t="s">
        <v>2587</v>
      </c>
      <c r="B1215" t="s">
        <v>2588</v>
      </c>
      <c r="C1215" t="s">
        <v>100</v>
      </c>
      <c r="D1215" t="s">
        <v>199</v>
      </c>
      <c r="E1215" t="s">
        <v>1131</v>
      </c>
      <c r="F1215" t="str">
        <f t="shared" si="21"/>
        <v>2018-05-20</v>
      </c>
      <c r="G1215">
        <v>73.3</v>
      </c>
      <c r="H1215" t="str">
        <f>"2018-05-17"</f>
        <v>2018-05-17</v>
      </c>
      <c r="I1215" t="s">
        <v>27</v>
      </c>
      <c r="J1215" t="str">
        <f>"2018-04-30"</f>
        <v>2018-04-30</v>
      </c>
      <c r="K1215" t="s">
        <v>57</v>
      </c>
      <c r="L1215">
        <v>1.18071992</v>
      </c>
      <c r="M1215">
        <v>1214</v>
      </c>
      <c r="N1215" s="1">
        <v>1.03E-2</v>
      </c>
      <c r="O1215" s="1">
        <v>8.43E-2</v>
      </c>
      <c r="P1215" s="1">
        <v>0</v>
      </c>
      <c r="Q1215" s="1">
        <v>1.24E-2</v>
      </c>
      <c r="R1215" s="1">
        <v>2.52E-2</v>
      </c>
      <c r="S1215" s="1">
        <v>6.1999999999999998E-3</v>
      </c>
      <c r="T1215" s="1">
        <v>1.66E-2</v>
      </c>
      <c r="U1215" s="1">
        <v>0</v>
      </c>
    </row>
    <row r="1216" spans="1:21" x14ac:dyDescent="0.25">
      <c r="A1216" t="s">
        <v>2589</v>
      </c>
      <c r="B1216" t="s">
        <v>2590</v>
      </c>
      <c r="C1216" t="s">
        <v>30</v>
      </c>
      <c r="D1216" t="s">
        <v>31</v>
      </c>
      <c r="E1216" t="s">
        <v>31</v>
      </c>
      <c r="F1216" t="str">
        <f t="shared" si="21"/>
        <v>2018-05-20</v>
      </c>
      <c r="G1216">
        <v>36.75</v>
      </c>
      <c r="H1216" t="str">
        <f>"2018-05-16"</f>
        <v>2018-05-16</v>
      </c>
      <c r="I1216" t="s">
        <v>27</v>
      </c>
      <c r="J1216" t="str">
        <f>"2018-05-03"</f>
        <v>2018-05-03</v>
      </c>
      <c r="K1216" t="s">
        <v>57</v>
      </c>
      <c r="L1216">
        <v>1.1806784699999999</v>
      </c>
      <c r="M1216">
        <v>1215</v>
      </c>
      <c r="N1216" s="1">
        <v>2.8000000000000001E-2</v>
      </c>
      <c r="O1216" s="1">
        <v>8.4099999999999994E-2</v>
      </c>
      <c r="P1216" s="1">
        <v>0</v>
      </c>
      <c r="Q1216" s="1">
        <v>2.3699999999999999E-2</v>
      </c>
      <c r="R1216" s="1">
        <v>5.1499999999999997E-2</v>
      </c>
      <c r="S1216" s="1">
        <v>5.1499999999999997E-2</v>
      </c>
      <c r="T1216" s="1">
        <v>-2.2599999999999999E-2</v>
      </c>
      <c r="U1216" s="1">
        <v>-4.7899999999999998E-2</v>
      </c>
    </row>
    <row r="1217" spans="1:21" x14ac:dyDescent="0.25">
      <c r="A1217" t="s">
        <v>2591</v>
      </c>
      <c r="B1217" t="s">
        <v>2592</v>
      </c>
      <c r="C1217" t="s">
        <v>30</v>
      </c>
      <c r="D1217" t="s">
        <v>31</v>
      </c>
      <c r="E1217" t="s">
        <v>31</v>
      </c>
      <c r="F1217" t="str">
        <f t="shared" si="21"/>
        <v>2018-05-20</v>
      </c>
      <c r="G1217">
        <v>21.44</v>
      </c>
      <c r="H1217" t="str">
        <f>"2018-04-25"</f>
        <v>2018-04-25</v>
      </c>
      <c r="I1217" t="s">
        <v>27</v>
      </c>
      <c r="J1217" t="str">
        <f>"2018-04-08"</f>
        <v>2018-04-08</v>
      </c>
      <c r="K1217" t="s">
        <v>57</v>
      </c>
      <c r="L1217">
        <v>1.1806538600000001</v>
      </c>
      <c r="M1217">
        <v>1216</v>
      </c>
      <c r="N1217" s="1">
        <v>1.7100000000000001E-2</v>
      </c>
      <c r="O1217" s="1">
        <v>8.3900000000000002E-2</v>
      </c>
      <c r="P1217" s="1">
        <v>0</v>
      </c>
      <c r="Q1217" s="1">
        <v>8.8999999999999999E-3</v>
      </c>
      <c r="R1217" s="1">
        <v>3.6799999999999999E-2</v>
      </c>
      <c r="S1217" s="1">
        <v>2.4400000000000002E-2</v>
      </c>
      <c r="T1217" s="1">
        <v>0.1069</v>
      </c>
      <c r="U1217" s="1">
        <v>1.2800000000000001E-2</v>
      </c>
    </row>
    <row r="1218" spans="1:21" x14ac:dyDescent="0.25">
      <c r="A1218" t="s">
        <v>2593</v>
      </c>
      <c r="B1218" t="s">
        <v>2594</v>
      </c>
      <c r="C1218" t="s">
        <v>30</v>
      </c>
      <c r="D1218" t="s">
        <v>31</v>
      </c>
      <c r="E1218" t="s">
        <v>31</v>
      </c>
      <c r="F1218" t="str">
        <f t="shared" si="21"/>
        <v>2018-05-20</v>
      </c>
      <c r="G1218">
        <v>29.8</v>
      </c>
      <c r="H1218" t="str">
        <f>"2018-04-23"</f>
        <v>2018-04-23</v>
      </c>
      <c r="I1218" t="s">
        <v>27</v>
      </c>
      <c r="J1218" t="str">
        <f>"2018-03-27"</f>
        <v>2018-03-27</v>
      </c>
      <c r="K1218" t="s">
        <v>57</v>
      </c>
      <c r="L1218">
        <v>1.18027828</v>
      </c>
      <c r="M1218">
        <v>1217</v>
      </c>
      <c r="N1218" s="1">
        <v>5.11E-2</v>
      </c>
      <c r="O1218" s="1">
        <v>8.1699999999999995E-2</v>
      </c>
      <c r="P1218" s="1">
        <v>0</v>
      </c>
      <c r="Q1218" s="1">
        <v>8.5000000000000006E-3</v>
      </c>
      <c r="R1218" s="1">
        <v>1.3599999999999999E-2</v>
      </c>
      <c r="S1218" s="1">
        <v>5.11E-2</v>
      </c>
      <c r="T1218" s="1">
        <v>4.9299999999999997E-2</v>
      </c>
      <c r="U1218" s="1">
        <v>4.7500000000000001E-2</v>
      </c>
    </row>
    <row r="1219" spans="1:21" x14ac:dyDescent="0.25">
      <c r="A1219" t="s">
        <v>2595</v>
      </c>
      <c r="B1219" t="s">
        <v>2596</v>
      </c>
      <c r="C1219" t="s">
        <v>30</v>
      </c>
      <c r="D1219" t="s">
        <v>299</v>
      </c>
      <c r="E1219" t="s">
        <v>2120</v>
      </c>
      <c r="F1219" t="str">
        <f t="shared" si="21"/>
        <v>2018-05-20</v>
      </c>
      <c r="G1219">
        <v>15.35</v>
      </c>
      <c r="H1219" t="str">
        <f>"2018-05-10"</f>
        <v>2018-05-10</v>
      </c>
      <c r="I1219" t="s">
        <v>27</v>
      </c>
      <c r="J1219" t="str">
        <f>"2018-04-02"</f>
        <v>2018-04-02</v>
      </c>
      <c r="K1219" t="s">
        <v>57</v>
      </c>
      <c r="L1219">
        <v>1.18016432</v>
      </c>
      <c r="M1219">
        <v>1218</v>
      </c>
      <c r="N1219" s="1">
        <v>9.9000000000000008E-3</v>
      </c>
      <c r="O1219" s="1">
        <v>8.1000000000000003E-2</v>
      </c>
      <c r="P1219" s="1">
        <v>0</v>
      </c>
      <c r="Q1219" s="1">
        <v>6.6E-3</v>
      </c>
      <c r="R1219" s="1">
        <v>6.6E-3</v>
      </c>
      <c r="S1219" s="1">
        <v>6.6000000000000003E-2</v>
      </c>
      <c r="T1219" s="1">
        <v>8.48E-2</v>
      </c>
      <c r="U1219" s="1">
        <v>4.7800000000000002E-2</v>
      </c>
    </row>
    <row r="1220" spans="1:21" x14ac:dyDescent="0.25">
      <c r="A1220" t="s">
        <v>2597</v>
      </c>
      <c r="B1220" t="s">
        <v>2598</v>
      </c>
      <c r="C1220" t="s">
        <v>37</v>
      </c>
      <c r="D1220" t="s">
        <v>66</v>
      </c>
      <c r="E1220" t="s">
        <v>94</v>
      </c>
      <c r="F1220" t="str">
        <f t="shared" si="21"/>
        <v>2018-05-20</v>
      </c>
      <c r="G1220">
        <v>66.239999999999995</v>
      </c>
      <c r="H1220" t="str">
        <f>"2018-05-06"</f>
        <v>2018-05-06</v>
      </c>
      <c r="I1220" t="s">
        <v>27</v>
      </c>
      <c r="J1220" t="str">
        <f>"2018-04-30"</f>
        <v>2018-04-30</v>
      </c>
      <c r="K1220" t="s">
        <v>57</v>
      </c>
      <c r="L1220">
        <v>1.18015666</v>
      </c>
      <c r="M1220">
        <v>1219</v>
      </c>
      <c r="N1220" s="1">
        <v>4.4999999999999998E-2</v>
      </c>
      <c r="O1220" s="1">
        <v>8.09E-2</v>
      </c>
      <c r="P1220" s="1">
        <v>0</v>
      </c>
      <c r="Q1220" s="1">
        <v>1.9699999999999999E-2</v>
      </c>
      <c r="R1220" s="1">
        <v>4.3499999999999997E-2</v>
      </c>
      <c r="S1220" s="1">
        <v>4.7300000000000002E-2</v>
      </c>
      <c r="T1220" s="1">
        <v>8.3400000000000002E-2</v>
      </c>
      <c r="U1220" s="1">
        <v>-5.3199999999999997E-2</v>
      </c>
    </row>
    <row r="1221" spans="1:21" x14ac:dyDescent="0.25">
      <c r="A1221" t="s">
        <v>2599</v>
      </c>
      <c r="B1221" t="s">
        <v>2600</v>
      </c>
      <c r="C1221" t="s">
        <v>23</v>
      </c>
      <c r="D1221" t="s">
        <v>24</v>
      </c>
      <c r="E1221" t="s">
        <v>25</v>
      </c>
      <c r="F1221" t="str">
        <f t="shared" si="21"/>
        <v>2018-05-20</v>
      </c>
      <c r="G1221">
        <v>12.85</v>
      </c>
      <c r="H1221" t="str">
        <f>"2018-05-14"</f>
        <v>2018-05-14</v>
      </c>
      <c r="I1221" t="s">
        <v>27</v>
      </c>
      <c r="J1221" t="str">
        <f>"2018-05-09"</f>
        <v>2018-05-09</v>
      </c>
      <c r="K1221" t="s">
        <v>57</v>
      </c>
      <c r="L1221">
        <v>1.1799719900000001</v>
      </c>
      <c r="M1221">
        <v>1220</v>
      </c>
      <c r="N1221" s="1">
        <v>2.3900000000000001E-2</v>
      </c>
      <c r="O1221" s="1">
        <v>7.9799999999999996E-2</v>
      </c>
      <c r="P1221" s="1">
        <v>-2.6499999999999999E-2</v>
      </c>
      <c r="Q1221" s="1">
        <v>0</v>
      </c>
      <c r="R1221" s="1">
        <v>2.3900000000000001E-2</v>
      </c>
      <c r="S1221" s="1">
        <v>0.10780000000000001</v>
      </c>
      <c r="T1221" s="1">
        <v>-2.6499999999999999E-2</v>
      </c>
      <c r="U1221" s="1">
        <v>0.16289999999999999</v>
      </c>
    </row>
    <row r="1222" spans="1:21" x14ac:dyDescent="0.25">
      <c r="A1222" t="s">
        <v>2601</v>
      </c>
      <c r="B1222" t="s">
        <v>2602</v>
      </c>
      <c r="C1222" t="s">
        <v>30</v>
      </c>
      <c r="D1222" t="s">
        <v>31</v>
      </c>
      <c r="E1222" t="s">
        <v>31</v>
      </c>
      <c r="F1222" t="str">
        <f t="shared" si="21"/>
        <v>2018-05-20</v>
      </c>
      <c r="G1222">
        <v>35.75</v>
      </c>
      <c r="H1222" t="str">
        <f>"2018-05-06"</f>
        <v>2018-05-06</v>
      </c>
      <c r="I1222" t="s">
        <v>27</v>
      </c>
      <c r="J1222" t="str">
        <f>"2018-05-03"</f>
        <v>2018-05-03</v>
      </c>
      <c r="K1222" t="s">
        <v>57</v>
      </c>
      <c r="L1222">
        <v>1.1794678700000001</v>
      </c>
      <c r="M1222">
        <v>1221</v>
      </c>
      <c r="N1222" s="1">
        <v>5.1499999999999997E-2</v>
      </c>
      <c r="O1222" s="1">
        <v>7.6799999999999993E-2</v>
      </c>
      <c r="P1222" s="1">
        <v>0</v>
      </c>
      <c r="Q1222" s="1">
        <v>2.1399999999999999E-2</v>
      </c>
      <c r="R1222" s="1">
        <v>4.6899999999999997E-2</v>
      </c>
      <c r="S1222" s="1">
        <v>4.8399999999999999E-2</v>
      </c>
      <c r="T1222" s="1">
        <v>0.1154</v>
      </c>
      <c r="U1222" s="1">
        <v>-0.1129</v>
      </c>
    </row>
    <row r="1223" spans="1:21" x14ac:dyDescent="0.25">
      <c r="A1223" t="s">
        <v>2603</v>
      </c>
      <c r="B1223" t="s">
        <v>2604</v>
      </c>
      <c r="C1223" t="s">
        <v>30</v>
      </c>
      <c r="D1223" t="s">
        <v>31</v>
      </c>
      <c r="E1223" t="s">
        <v>31</v>
      </c>
      <c r="F1223" t="str">
        <f t="shared" si="21"/>
        <v>2018-05-20</v>
      </c>
      <c r="G1223">
        <v>32.96</v>
      </c>
      <c r="H1223" t="str">
        <f>"2018-05-09"</f>
        <v>2018-05-09</v>
      </c>
      <c r="I1223" t="s">
        <v>27</v>
      </c>
      <c r="J1223" t="str">
        <f>"2018-04-17"</f>
        <v>2018-04-17</v>
      </c>
      <c r="K1223" t="s">
        <v>57</v>
      </c>
      <c r="L1223">
        <v>1.1788194400000001</v>
      </c>
      <c r="M1223">
        <v>1222</v>
      </c>
      <c r="N1223" s="1">
        <v>1.89E-2</v>
      </c>
      <c r="O1223" s="1">
        <v>7.2900000000000006E-2</v>
      </c>
      <c r="P1223" s="1">
        <v>0</v>
      </c>
      <c r="Q1223" s="1">
        <v>1.7299999999999999E-2</v>
      </c>
      <c r="R1223" s="1">
        <v>2.9399999999999999E-2</v>
      </c>
      <c r="S1223" s="1">
        <v>4.2000000000000003E-2</v>
      </c>
      <c r="T1223" s="1">
        <v>1.0999999999999999E-2</v>
      </c>
      <c r="U1223" s="1">
        <v>5.5100000000000003E-2</v>
      </c>
    </row>
    <row r="1224" spans="1:21" x14ac:dyDescent="0.25">
      <c r="A1224" t="s">
        <v>2605</v>
      </c>
      <c r="B1224" t="s">
        <v>2606</v>
      </c>
      <c r="C1224" t="s">
        <v>114</v>
      </c>
      <c r="D1224" t="s">
        <v>803</v>
      </c>
      <c r="E1224" t="s">
        <v>2607</v>
      </c>
      <c r="F1224" t="str">
        <f t="shared" si="21"/>
        <v>2018-05-20</v>
      </c>
      <c r="G1224">
        <v>1.24</v>
      </c>
      <c r="H1224" t="str">
        <f>"2018-04-30"</f>
        <v>2018-04-30</v>
      </c>
      <c r="I1224" t="s">
        <v>27</v>
      </c>
      <c r="J1224" t="str">
        <f>"2018-02-28"</f>
        <v>2018-02-28</v>
      </c>
      <c r="K1224" t="s">
        <v>57</v>
      </c>
      <c r="L1224">
        <v>1.1781609200000001</v>
      </c>
      <c r="M1224">
        <v>1223</v>
      </c>
      <c r="N1224" s="1">
        <v>-8.0000000000000002E-3</v>
      </c>
      <c r="O1224" s="1">
        <v>6.9000000000000006E-2</v>
      </c>
      <c r="P1224" s="1">
        <v>-6.0600000000000001E-2</v>
      </c>
      <c r="Q1224" s="1">
        <v>-8.0000000000000002E-3</v>
      </c>
      <c r="R1224" s="1">
        <v>1.6400000000000001E-2</v>
      </c>
      <c r="S1224" s="1">
        <v>8.0999999999999996E-3</v>
      </c>
      <c r="T1224" s="1">
        <v>-8.0000000000000002E-3</v>
      </c>
      <c r="U1224" s="1">
        <v>-0.30730000000000002</v>
      </c>
    </row>
    <row r="1225" spans="1:21" x14ac:dyDescent="0.25">
      <c r="A1225" t="s">
        <v>2608</v>
      </c>
      <c r="B1225" t="s">
        <v>2609</v>
      </c>
      <c r="C1225" t="s">
        <v>109</v>
      </c>
      <c r="D1225" t="s">
        <v>156</v>
      </c>
      <c r="E1225" t="s">
        <v>277</v>
      </c>
      <c r="F1225" t="str">
        <f t="shared" si="21"/>
        <v>2018-05-20</v>
      </c>
      <c r="G1225">
        <v>73.150000000000006</v>
      </c>
      <c r="H1225" t="str">
        <f>"2018-05-21"</f>
        <v>2018-05-21</v>
      </c>
      <c r="I1225" t="s">
        <v>27</v>
      </c>
      <c r="J1225" t="str">
        <f>"2018-05-02"</f>
        <v>2018-05-02</v>
      </c>
      <c r="K1225" t="s">
        <v>57</v>
      </c>
      <c r="L1225">
        <v>1.17733333</v>
      </c>
      <c r="M1225">
        <v>1224</v>
      </c>
      <c r="N1225" s="1">
        <v>0</v>
      </c>
      <c r="O1225" s="1">
        <v>6.4000000000000001E-2</v>
      </c>
      <c r="P1225" s="1">
        <v>0</v>
      </c>
      <c r="Q1225" s="1">
        <v>1.18E-2</v>
      </c>
      <c r="R1225" s="1">
        <v>2.0199999999999999E-2</v>
      </c>
      <c r="S1225" s="1">
        <v>9.2600000000000002E-2</v>
      </c>
      <c r="T1225" s="1">
        <v>6.7100000000000007E-2</v>
      </c>
      <c r="U1225" s="1">
        <v>0.10920000000000001</v>
      </c>
    </row>
    <row r="1226" spans="1:21" x14ac:dyDescent="0.25">
      <c r="A1226" t="s">
        <v>2610</v>
      </c>
      <c r="B1226" t="s">
        <v>2611</v>
      </c>
      <c r="C1226" t="s">
        <v>30</v>
      </c>
      <c r="D1226" t="s">
        <v>31</v>
      </c>
      <c r="E1226" t="s">
        <v>31</v>
      </c>
      <c r="F1226" t="str">
        <f t="shared" si="21"/>
        <v>2018-05-20</v>
      </c>
      <c r="G1226">
        <v>38.47</v>
      </c>
      <c r="H1226" t="str">
        <f>"2018-05-09"</f>
        <v>2018-05-09</v>
      </c>
      <c r="I1226" t="s">
        <v>27</v>
      </c>
      <c r="J1226" t="str">
        <f>"2018-04-22"</f>
        <v>2018-04-22</v>
      </c>
      <c r="K1226" t="s">
        <v>57</v>
      </c>
      <c r="L1226">
        <v>1.17672731</v>
      </c>
      <c r="M1226">
        <v>1225</v>
      </c>
      <c r="N1226" s="1">
        <v>1.1599999999999999E-2</v>
      </c>
      <c r="O1226" s="1">
        <v>6.0400000000000002E-2</v>
      </c>
      <c r="P1226" s="1">
        <v>0</v>
      </c>
      <c r="Q1226" s="1">
        <v>9.7000000000000003E-3</v>
      </c>
      <c r="R1226" s="1">
        <v>2.9399999999999999E-2</v>
      </c>
      <c r="S1226" s="1">
        <v>5.3100000000000001E-2</v>
      </c>
      <c r="T1226" s="1">
        <v>4.7399999999999998E-2</v>
      </c>
      <c r="U1226" s="1">
        <v>6.2100000000000002E-2</v>
      </c>
    </row>
    <row r="1227" spans="1:21" x14ac:dyDescent="0.25">
      <c r="A1227" t="s">
        <v>2612</v>
      </c>
      <c r="B1227" t="s">
        <v>2613</v>
      </c>
      <c r="C1227" t="s">
        <v>30</v>
      </c>
      <c r="D1227" t="s">
        <v>31</v>
      </c>
      <c r="E1227" t="s">
        <v>31</v>
      </c>
      <c r="F1227" t="str">
        <f t="shared" si="21"/>
        <v>2018-05-20</v>
      </c>
      <c r="G1227">
        <v>15</v>
      </c>
      <c r="H1227" t="str">
        <f>"2018-05-17"</f>
        <v>2018-05-17</v>
      </c>
      <c r="I1227" t="s">
        <v>27</v>
      </c>
      <c r="J1227" t="str">
        <f>"2018-03-08"</f>
        <v>2018-03-08</v>
      </c>
      <c r="K1227" t="s">
        <v>57</v>
      </c>
      <c r="L1227">
        <v>1.1760563399999999</v>
      </c>
      <c r="M1227">
        <v>1226</v>
      </c>
      <c r="N1227" s="1">
        <v>1.35E-2</v>
      </c>
      <c r="O1227" s="1">
        <v>5.6300000000000003E-2</v>
      </c>
      <c r="P1227" s="1">
        <v>0</v>
      </c>
      <c r="Q1227" s="1">
        <v>3.3E-3</v>
      </c>
      <c r="R1227" s="1">
        <v>3.8100000000000002E-2</v>
      </c>
      <c r="S1227" s="1">
        <v>5.2600000000000001E-2</v>
      </c>
      <c r="T1227" s="1">
        <v>3.09E-2</v>
      </c>
      <c r="U1227" s="1">
        <v>3.3E-3</v>
      </c>
    </row>
    <row r="1228" spans="1:21" x14ac:dyDescent="0.25">
      <c r="A1228" t="s">
        <v>2614</v>
      </c>
      <c r="B1228" t="s">
        <v>2615</v>
      </c>
      <c r="C1228" t="s">
        <v>30</v>
      </c>
      <c r="D1228" t="s">
        <v>299</v>
      </c>
      <c r="E1228" t="s">
        <v>1087</v>
      </c>
      <c r="F1228" t="str">
        <f t="shared" si="21"/>
        <v>2018-05-20</v>
      </c>
      <c r="G1228">
        <v>8.85</v>
      </c>
      <c r="H1228" t="str">
        <f>"2018-05-02"</f>
        <v>2018-05-02</v>
      </c>
      <c r="I1228" t="s">
        <v>27</v>
      </c>
      <c r="J1228" t="str">
        <f>"2018-04-18"</f>
        <v>2018-04-18</v>
      </c>
      <c r="K1228" t="s">
        <v>57</v>
      </c>
      <c r="L1228">
        <v>1.17559524</v>
      </c>
      <c r="M1228">
        <v>1227</v>
      </c>
      <c r="N1228" s="1">
        <v>-2.4299999999999999E-2</v>
      </c>
      <c r="O1228" s="1">
        <v>5.3600000000000002E-2</v>
      </c>
      <c r="P1228" s="1">
        <v>-4.4299999999999999E-2</v>
      </c>
      <c r="Q1228" s="1">
        <v>2.0799999999999999E-2</v>
      </c>
      <c r="R1228" s="1">
        <v>-2.53E-2</v>
      </c>
      <c r="S1228" s="1">
        <v>4.24E-2</v>
      </c>
      <c r="T1228" s="1">
        <v>3.0300000000000001E-2</v>
      </c>
      <c r="U1228" s="1">
        <v>3.39E-2</v>
      </c>
    </row>
    <row r="1229" spans="1:21" x14ac:dyDescent="0.25">
      <c r="A1229" t="s">
        <v>2616</v>
      </c>
      <c r="B1229" t="s">
        <v>2617</v>
      </c>
      <c r="C1229" t="s">
        <v>43</v>
      </c>
      <c r="D1229" t="s">
        <v>44</v>
      </c>
      <c r="E1229" t="s">
        <v>246</v>
      </c>
      <c r="F1229" t="str">
        <f t="shared" ref="F1229:F1292" si="22">"2018-05-20"</f>
        <v>2018-05-20</v>
      </c>
      <c r="G1229">
        <v>23.78</v>
      </c>
      <c r="H1229" t="str">
        <f>"2018-04-19"</f>
        <v>2018-04-19</v>
      </c>
      <c r="I1229" t="s">
        <v>27</v>
      </c>
      <c r="J1229" t="str">
        <f>"2018-04-05"</f>
        <v>2018-04-05</v>
      </c>
      <c r="K1229" t="s">
        <v>57</v>
      </c>
      <c r="L1229">
        <v>1.17536873</v>
      </c>
      <c r="M1229">
        <v>1228</v>
      </c>
      <c r="N1229" s="1">
        <v>-2.06E-2</v>
      </c>
      <c r="O1229" s="1">
        <v>5.2200000000000003E-2</v>
      </c>
      <c r="P1229" s="1">
        <v>-6.0100000000000001E-2</v>
      </c>
      <c r="Q1229" s="1">
        <v>3.8E-3</v>
      </c>
      <c r="R1229" s="1">
        <v>-4.6899999999999997E-2</v>
      </c>
      <c r="S1229" s="1">
        <v>7.1999999999999998E-3</v>
      </c>
      <c r="T1229" s="1">
        <v>1.89E-2</v>
      </c>
      <c r="U1229" s="1">
        <v>-1.5699999999999999E-2</v>
      </c>
    </row>
    <row r="1230" spans="1:21" x14ac:dyDescent="0.25">
      <c r="A1230" t="s">
        <v>2618</v>
      </c>
      <c r="B1230" t="s">
        <v>2619</v>
      </c>
      <c r="C1230" t="s">
        <v>30</v>
      </c>
      <c r="D1230" t="s">
        <v>299</v>
      </c>
      <c r="E1230" t="s">
        <v>2120</v>
      </c>
      <c r="F1230" t="str">
        <f t="shared" si="22"/>
        <v>2018-05-20</v>
      </c>
      <c r="G1230">
        <v>18.54</v>
      </c>
      <c r="H1230" t="str">
        <f>"2018-05-07"</f>
        <v>2018-05-07</v>
      </c>
      <c r="I1230" t="s">
        <v>27</v>
      </c>
      <c r="J1230" t="str">
        <f>"2018-04-19"</f>
        <v>2018-04-19</v>
      </c>
      <c r="K1230" t="s">
        <v>57</v>
      </c>
      <c r="L1230">
        <v>1.1740845099999999</v>
      </c>
      <c r="M1230">
        <v>1229</v>
      </c>
      <c r="N1230" s="1">
        <v>1.7000000000000001E-2</v>
      </c>
      <c r="O1230" s="1">
        <v>4.4499999999999998E-2</v>
      </c>
      <c r="P1230" s="1">
        <v>0</v>
      </c>
      <c r="Q1230" s="1">
        <v>5.4000000000000003E-3</v>
      </c>
      <c r="R1230" s="1">
        <v>1.5900000000000001E-2</v>
      </c>
      <c r="S1230" s="1">
        <v>4.4499999999999998E-2</v>
      </c>
      <c r="T1230" s="1">
        <v>2.2000000000000001E-3</v>
      </c>
      <c r="U1230" s="1">
        <v>8.6999999999999994E-3</v>
      </c>
    </row>
    <row r="1231" spans="1:21" x14ac:dyDescent="0.25">
      <c r="A1231" t="s">
        <v>2620</v>
      </c>
      <c r="B1231" t="s">
        <v>2621</v>
      </c>
      <c r="C1231" t="s">
        <v>30</v>
      </c>
      <c r="D1231" t="s">
        <v>48</v>
      </c>
      <c r="E1231" t="s">
        <v>505</v>
      </c>
      <c r="F1231" t="str">
        <f t="shared" si="22"/>
        <v>2018-05-20</v>
      </c>
      <c r="G1231">
        <v>17.55</v>
      </c>
      <c r="H1231" t="str">
        <f>"2018-05-06"</f>
        <v>2018-05-06</v>
      </c>
      <c r="I1231" t="s">
        <v>27</v>
      </c>
      <c r="J1231" t="str">
        <f>"2018-04-03"</f>
        <v>2018-04-03</v>
      </c>
      <c r="K1231" t="s">
        <v>57</v>
      </c>
      <c r="L1231">
        <v>1.17256637</v>
      </c>
      <c r="M1231">
        <v>1230</v>
      </c>
      <c r="N1231" s="1">
        <v>-4.36E-2</v>
      </c>
      <c r="O1231" s="1">
        <v>3.5400000000000001E-2</v>
      </c>
      <c r="P1231" s="1">
        <v>-4.36E-2</v>
      </c>
      <c r="Q1231" s="1">
        <v>2.8999999999999998E-3</v>
      </c>
      <c r="R1231" s="1">
        <v>-1.4E-2</v>
      </c>
      <c r="S1231" s="1">
        <v>-1.1299999999999999E-2</v>
      </c>
      <c r="T1231" s="1">
        <v>6.6900000000000001E-2</v>
      </c>
      <c r="U1231" s="1">
        <v>-1.1299999999999999E-2</v>
      </c>
    </row>
    <row r="1232" spans="1:21" x14ac:dyDescent="0.25">
      <c r="A1232" t="s">
        <v>2622</v>
      </c>
      <c r="B1232" t="s">
        <v>2623</v>
      </c>
      <c r="C1232" t="s">
        <v>518</v>
      </c>
      <c r="D1232" t="s">
        <v>573</v>
      </c>
      <c r="E1232" t="s">
        <v>1385</v>
      </c>
      <c r="F1232" t="str">
        <f t="shared" si="22"/>
        <v>2018-05-20</v>
      </c>
      <c r="G1232">
        <v>70.150000000000006</v>
      </c>
      <c r="H1232" t="str">
        <f>"2018-04-05"</f>
        <v>2018-04-05</v>
      </c>
      <c r="I1232" t="s">
        <v>27</v>
      </c>
      <c r="J1232" t="str">
        <f>"2018-03-21"</f>
        <v>2018-03-21</v>
      </c>
      <c r="K1232" t="s">
        <v>57</v>
      </c>
      <c r="L1232">
        <v>1.17105584</v>
      </c>
      <c r="M1232">
        <v>1231</v>
      </c>
      <c r="N1232" s="1">
        <v>-4.82E-2</v>
      </c>
      <c r="O1232" s="1">
        <v>2.63E-2</v>
      </c>
      <c r="P1232" s="1">
        <v>-4.82E-2</v>
      </c>
      <c r="Q1232" s="1">
        <v>7.1999999999999998E-3</v>
      </c>
      <c r="R1232" s="1">
        <v>-1.41E-2</v>
      </c>
      <c r="S1232" s="1">
        <v>-6.9999999999999999E-4</v>
      </c>
      <c r="T1232" s="1">
        <v>1.0800000000000001E-2</v>
      </c>
      <c r="U1232" s="1">
        <v>0</v>
      </c>
    </row>
    <row r="1233" spans="1:21" x14ac:dyDescent="0.25">
      <c r="A1233" t="s">
        <v>2624</v>
      </c>
      <c r="B1233" t="s">
        <v>2625</v>
      </c>
      <c r="C1233" t="s">
        <v>109</v>
      </c>
      <c r="D1233" t="s">
        <v>156</v>
      </c>
      <c r="E1233" t="s">
        <v>277</v>
      </c>
      <c r="F1233" t="str">
        <f t="shared" si="22"/>
        <v>2018-05-20</v>
      </c>
      <c r="G1233">
        <v>6.2</v>
      </c>
      <c r="H1233" t="str">
        <f>"2018-04-17"</f>
        <v>2018-04-17</v>
      </c>
      <c r="I1233" t="s">
        <v>27</v>
      </c>
      <c r="J1233" t="str">
        <f>"2018-04-12"</f>
        <v>2018-04-12</v>
      </c>
      <c r="K1233" t="s">
        <v>57</v>
      </c>
      <c r="L1233">
        <v>1.16939891</v>
      </c>
      <c r="M1233">
        <v>1232</v>
      </c>
      <c r="N1233" s="1">
        <v>-1.5900000000000001E-2</v>
      </c>
      <c r="O1233" s="1">
        <v>1.6400000000000001E-2</v>
      </c>
      <c r="P1233" s="1">
        <v>-2.3599999999999999E-2</v>
      </c>
      <c r="Q1233" s="1">
        <v>0</v>
      </c>
      <c r="R1233" s="1">
        <v>-1.2E-2</v>
      </c>
      <c r="S1233" s="1">
        <v>-8.0000000000000002E-3</v>
      </c>
      <c r="T1233" s="1">
        <v>8.0999999999999996E-3</v>
      </c>
      <c r="U1233" s="1">
        <v>-8.0000000000000002E-3</v>
      </c>
    </row>
    <row r="1234" spans="1:21" x14ac:dyDescent="0.25">
      <c r="A1234" t="s">
        <v>2626</v>
      </c>
      <c r="B1234" t="s">
        <v>2627</v>
      </c>
      <c r="C1234" t="s">
        <v>30</v>
      </c>
      <c r="D1234" t="s">
        <v>299</v>
      </c>
      <c r="E1234" t="s">
        <v>1087</v>
      </c>
      <c r="F1234" t="str">
        <f t="shared" si="22"/>
        <v>2018-05-20</v>
      </c>
      <c r="G1234">
        <v>20.09</v>
      </c>
      <c r="H1234" t="str">
        <f>"2018-04-26"</f>
        <v>2018-04-26</v>
      </c>
      <c r="I1234" t="s">
        <v>27</v>
      </c>
      <c r="J1234" t="str">
        <f>"2018-03-28"</f>
        <v>2018-03-28</v>
      </c>
      <c r="K1234" t="s">
        <v>57</v>
      </c>
      <c r="L1234">
        <v>1.1690223799999999</v>
      </c>
      <c r="M1234">
        <v>1233</v>
      </c>
      <c r="N1234" s="1">
        <v>-2.52E-2</v>
      </c>
      <c r="O1234" s="1">
        <v>1.41E-2</v>
      </c>
      <c r="P1234" s="1">
        <v>-6.1199999999999997E-2</v>
      </c>
      <c r="Q1234" s="1">
        <v>1.1599999999999999E-2</v>
      </c>
      <c r="R1234" s="1">
        <v>-2.3300000000000001E-2</v>
      </c>
      <c r="S1234" s="1">
        <v>-3.0000000000000001E-3</v>
      </c>
      <c r="T1234" s="1">
        <v>1.9800000000000002E-2</v>
      </c>
      <c r="U1234" s="1">
        <v>5.4999999999999997E-3</v>
      </c>
    </row>
    <row r="1235" spans="1:21" x14ac:dyDescent="0.25">
      <c r="A1235" t="s">
        <v>2628</v>
      </c>
      <c r="B1235" t="s">
        <v>2629</v>
      </c>
      <c r="C1235" t="s">
        <v>37</v>
      </c>
      <c r="D1235" t="s">
        <v>38</v>
      </c>
      <c r="E1235" t="s">
        <v>97</v>
      </c>
      <c r="F1235" t="str">
        <f t="shared" si="22"/>
        <v>2018-05-20</v>
      </c>
      <c r="G1235">
        <v>31.92</v>
      </c>
      <c r="H1235" t="str">
        <f>"2018-02-18"</f>
        <v>2018-02-18</v>
      </c>
      <c r="I1235" t="s">
        <v>27</v>
      </c>
      <c r="J1235" t="str">
        <f>"2017-11-02"</f>
        <v>2017-11-02</v>
      </c>
      <c r="K1235" t="s">
        <v>57</v>
      </c>
      <c r="L1235">
        <v>1.21425695</v>
      </c>
      <c r="M1235">
        <v>1234</v>
      </c>
      <c r="N1235" s="1">
        <v>-3.7400000000000003E-2</v>
      </c>
      <c r="O1235" s="1">
        <v>0.28549999999999998</v>
      </c>
      <c r="P1235" s="1">
        <v>-0.1003</v>
      </c>
      <c r="Q1235" s="1">
        <v>-1.6000000000000001E-3</v>
      </c>
      <c r="R1235" s="1">
        <v>3.8699999999999998E-2</v>
      </c>
      <c r="S1235" s="1">
        <v>8.9800000000000005E-2</v>
      </c>
      <c r="T1235" s="1">
        <v>1.37E-2</v>
      </c>
      <c r="U1235" s="1">
        <v>-0.22259999999999999</v>
      </c>
    </row>
    <row r="1236" spans="1:21" x14ac:dyDescent="0.25">
      <c r="A1236" t="s">
        <v>2630</v>
      </c>
      <c r="B1236" t="s">
        <v>2631</v>
      </c>
      <c r="C1236" t="s">
        <v>37</v>
      </c>
      <c r="D1236" t="s">
        <v>38</v>
      </c>
      <c r="E1236" t="s">
        <v>39</v>
      </c>
      <c r="F1236" t="str">
        <f t="shared" si="22"/>
        <v>2018-05-20</v>
      </c>
      <c r="G1236">
        <v>5.15</v>
      </c>
      <c r="H1236" t="str">
        <f>"2018-05-13"</f>
        <v>2018-05-13</v>
      </c>
      <c r="I1236" t="s">
        <v>27</v>
      </c>
      <c r="J1236" t="str">
        <f>"2017-12-28"</f>
        <v>2017-12-28</v>
      </c>
      <c r="K1236" t="s">
        <v>57</v>
      </c>
      <c r="L1236">
        <v>1.2140482100000001</v>
      </c>
      <c r="M1236">
        <v>1235</v>
      </c>
      <c r="N1236" s="1">
        <v>-7.2099999999999997E-2</v>
      </c>
      <c r="O1236" s="1">
        <v>0.2843</v>
      </c>
      <c r="P1236" s="1">
        <v>-0.11509999999999999</v>
      </c>
      <c r="Q1236" s="1">
        <v>-9.5999999999999992E-3</v>
      </c>
      <c r="R1236" s="1">
        <v>-9.3299999999999994E-2</v>
      </c>
      <c r="S1236" s="1">
        <v>0.13689999999999999</v>
      </c>
      <c r="T1236" s="1">
        <v>3.6200000000000003E-2</v>
      </c>
      <c r="U1236" s="1">
        <v>-0.18509999999999999</v>
      </c>
    </row>
    <row r="1237" spans="1:21" x14ac:dyDescent="0.25">
      <c r="A1237" t="s">
        <v>2632</v>
      </c>
      <c r="B1237" t="s">
        <v>2633</v>
      </c>
      <c r="C1237" t="s">
        <v>37</v>
      </c>
      <c r="D1237" t="s">
        <v>38</v>
      </c>
      <c r="E1237" t="s">
        <v>39</v>
      </c>
      <c r="F1237" t="str">
        <f t="shared" si="22"/>
        <v>2018-05-20</v>
      </c>
      <c r="G1237">
        <v>1.78</v>
      </c>
      <c r="H1237" t="str">
        <f>"2018-03-06"</f>
        <v>2018-03-06</v>
      </c>
      <c r="I1237" t="s">
        <v>27</v>
      </c>
      <c r="J1237" t="str">
        <f>"2016-07-07"</f>
        <v>2016-07-07</v>
      </c>
      <c r="K1237" t="s">
        <v>57</v>
      </c>
      <c r="L1237">
        <v>1.2119047599999999</v>
      </c>
      <c r="M1237">
        <v>1236</v>
      </c>
      <c r="N1237" s="1">
        <v>-0.1188</v>
      </c>
      <c r="O1237" s="1">
        <v>0.27139999999999997</v>
      </c>
      <c r="P1237" s="1">
        <v>-0.2054</v>
      </c>
      <c r="Q1237" s="1">
        <v>-2.1999999999999999E-2</v>
      </c>
      <c r="R1237" s="1">
        <v>-0.1188</v>
      </c>
      <c r="S1237" s="1">
        <v>3.49E-2</v>
      </c>
      <c r="T1237" s="1">
        <v>1.7100000000000001E-2</v>
      </c>
      <c r="U1237" s="1">
        <v>-0.4027</v>
      </c>
    </row>
    <row r="1238" spans="1:21" x14ac:dyDescent="0.25">
      <c r="A1238" t="s">
        <v>2634</v>
      </c>
      <c r="B1238" t="s">
        <v>2635</v>
      </c>
      <c r="C1238" t="s">
        <v>30</v>
      </c>
      <c r="D1238" t="s">
        <v>77</v>
      </c>
      <c r="E1238" t="s">
        <v>78</v>
      </c>
      <c r="F1238" t="str">
        <f t="shared" si="22"/>
        <v>2018-05-20</v>
      </c>
      <c r="G1238">
        <v>53.9</v>
      </c>
      <c r="H1238" t="str">
        <f>"2018-03-04"</f>
        <v>2018-03-04</v>
      </c>
      <c r="I1238" t="s">
        <v>27</v>
      </c>
      <c r="J1238" t="str">
        <f>"2018-01-10"</f>
        <v>2018-01-10</v>
      </c>
      <c r="K1238" t="s">
        <v>57</v>
      </c>
      <c r="L1238">
        <v>1.1978707799999999</v>
      </c>
      <c r="M1238">
        <v>1237</v>
      </c>
      <c r="N1238" s="1">
        <v>-4.5199999999999997E-2</v>
      </c>
      <c r="O1238" s="1">
        <v>0.18720000000000001</v>
      </c>
      <c r="P1238" s="1">
        <v>-0.1149</v>
      </c>
      <c r="Q1238" s="1">
        <v>1.32E-2</v>
      </c>
      <c r="R1238" s="1">
        <v>1.7899999999999999E-2</v>
      </c>
      <c r="S1238" s="1">
        <v>-4.0899999999999999E-2</v>
      </c>
      <c r="T1238" s="1">
        <v>-2.3599999999999999E-2</v>
      </c>
      <c r="U1238" s="1">
        <v>-6.4999999999999997E-3</v>
      </c>
    </row>
    <row r="1239" spans="1:21" x14ac:dyDescent="0.25">
      <c r="A1239" t="s">
        <v>2636</v>
      </c>
      <c r="B1239" t="s">
        <v>2637</v>
      </c>
      <c r="C1239" t="s">
        <v>109</v>
      </c>
      <c r="D1239" t="s">
        <v>110</v>
      </c>
      <c r="E1239" t="s">
        <v>111</v>
      </c>
      <c r="F1239" t="str">
        <f t="shared" si="22"/>
        <v>2018-05-20</v>
      </c>
      <c r="G1239">
        <v>5.4</v>
      </c>
      <c r="H1239" t="str">
        <f>"2018-03-08"</f>
        <v>2018-03-08</v>
      </c>
      <c r="I1239" t="s">
        <v>27</v>
      </c>
      <c r="J1239" t="str">
        <f>"2017-11-01"</f>
        <v>2017-11-01</v>
      </c>
      <c r="K1239" t="s">
        <v>57</v>
      </c>
      <c r="L1239">
        <v>1.19565217</v>
      </c>
      <c r="M1239">
        <v>1238</v>
      </c>
      <c r="N1239" s="1">
        <v>-0.1074</v>
      </c>
      <c r="O1239" s="1">
        <v>0.1739</v>
      </c>
      <c r="P1239" s="1">
        <v>-0.129</v>
      </c>
      <c r="Q1239" s="1">
        <v>9.2999999999999992E-3</v>
      </c>
      <c r="R1239" s="1">
        <v>4.8500000000000001E-2</v>
      </c>
      <c r="S1239" s="1">
        <v>3.85E-2</v>
      </c>
      <c r="T1239" s="1">
        <v>-6.9000000000000006E-2</v>
      </c>
      <c r="U1239" s="1">
        <v>-0.37209999999999999</v>
      </c>
    </row>
    <row r="1240" spans="1:21" x14ac:dyDescent="0.25">
      <c r="A1240" t="s">
        <v>2638</v>
      </c>
      <c r="B1240" t="s">
        <v>2639</v>
      </c>
      <c r="C1240" t="s">
        <v>37</v>
      </c>
      <c r="D1240" t="s">
        <v>38</v>
      </c>
      <c r="E1240" t="s">
        <v>39</v>
      </c>
      <c r="F1240" t="str">
        <f t="shared" si="22"/>
        <v>2018-05-20</v>
      </c>
      <c r="G1240">
        <v>11.81</v>
      </c>
      <c r="H1240" t="str">
        <f>"2018-05-08"</f>
        <v>2018-05-08</v>
      </c>
      <c r="I1240" t="s">
        <v>27</v>
      </c>
      <c r="J1240" t="str">
        <f>"2017-12-04"</f>
        <v>2017-12-04</v>
      </c>
      <c r="K1240" t="s">
        <v>57</v>
      </c>
      <c r="L1240">
        <v>1.19259622</v>
      </c>
      <c r="M1240">
        <v>1239</v>
      </c>
      <c r="N1240" s="1">
        <v>-9.7100000000000006E-2</v>
      </c>
      <c r="O1240" s="1">
        <v>0.15559999999999999</v>
      </c>
      <c r="P1240" s="1">
        <v>-0.1966</v>
      </c>
      <c r="Q1240" s="1">
        <v>-5.1400000000000001E-2</v>
      </c>
      <c r="R1240" s="1">
        <v>-8.5900000000000004E-2</v>
      </c>
      <c r="S1240" s="1">
        <v>-9.64E-2</v>
      </c>
      <c r="T1240" s="1">
        <v>6.7799999999999999E-2</v>
      </c>
      <c r="U1240" s="1">
        <v>-0.53100000000000003</v>
      </c>
    </row>
    <row r="1241" spans="1:21" x14ac:dyDescent="0.25">
      <c r="A1241" t="s">
        <v>2640</v>
      </c>
      <c r="B1241" t="s">
        <v>2641</v>
      </c>
      <c r="C1241" t="s">
        <v>109</v>
      </c>
      <c r="D1241" t="s">
        <v>156</v>
      </c>
      <c r="E1241" t="s">
        <v>277</v>
      </c>
      <c r="F1241" t="str">
        <f t="shared" si="22"/>
        <v>2018-05-20</v>
      </c>
      <c r="G1241">
        <v>3.34</v>
      </c>
      <c r="H1241" t="str">
        <f>"2018-03-11"</f>
        <v>2018-03-11</v>
      </c>
      <c r="I1241" t="s">
        <v>27</v>
      </c>
      <c r="J1241" t="str">
        <f>"2018-01-30"</f>
        <v>2018-01-30</v>
      </c>
      <c r="K1241" t="s">
        <v>57</v>
      </c>
      <c r="L1241">
        <v>1.1919540200000001</v>
      </c>
      <c r="M1241">
        <v>1240</v>
      </c>
      <c r="N1241" s="1">
        <v>-4.5699999999999998E-2</v>
      </c>
      <c r="O1241" s="1">
        <v>0.1517</v>
      </c>
      <c r="P1241" s="1">
        <v>-0.1414</v>
      </c>
      <c r="Q1241" s="1">
        <v>3.0000000000000001E-3</v>
      </c>
      <c r="R1241" s="1">
        <v>3.73E-2</v>
      </c>
      <c r="S1241" s="1">
        <v>4.3799999999999999E-2</v>
      </c>
      <c r="T1241" s="1">
        <v>3.0000000000000001E-3</v>
      </c>
      <c r="U1241" s="1">
        <v>-0.11409999999999999</v>
      </c>
    </row>
    <row r="1242" spans="1:21" x14ac:dyDescent="0.25">
      <c r="A1242" t="s">
        <v>2642</v>
      </c>
      <c r="B1242" t="s">
        <v>2643</v>
      </c>
      <c r="C1242" t="s">
        <v>30</v>
      </c>
      <c r="D1242" t="s">
        <v>299</v>
      </c>
      <c r="E1242" t="s">
        <v>300</v>
      </c>
      <c r="F1242" t="str">
        <f t="shared" si="22"/>
        <v>2018-05-20</v>
      </c>
      <c r="G1242">
        <v>7.61</v>
      </c>
      <c r="H1242" t="str">
        <f>"2018-04-09"</f>
        <v>2018-04-09</v>
      </c>
      <c r="I1242" t="s">
        <v>27</v>
      </c>
      <c r="J1242" t="str">
        <f>"2017-08-06"</f>
        <v>2017-08-06</v>
      </c>
      <c r="K1242" t="s">
        <v>57</v>
      </c>
      <c r="L1242">
        <v>1.1835504100000001</v>
      </c>
      <c r="M1242">
        <v>1241</v>
      </c>
      <c r="N1242" s="1">
        <v>-7.5899999999999995E-2</v>
      </c>
      <c r="O1242" s="1">
        <v>0.1013</v>
      </c>
      <c r="P1242" s="1">
        <v>-0.13819999999999999</v>
      </c>
      <c r="Q1242" s="1">
        <v>1.8700000000000001E-2</v>
      </c>
      <c r="R1242" s="1">
        <v>1.2999999999999999E-3</v>
      </c>
      <c r="S1242" s="1">
        <v>-6.1699999999999998E-2</v>
      </c>
      <c r="T1242" s="1">
        <v>-7.8700000000000006E-2</v>
      </c>
      <c r="U1242" s="1">
        <v>-0.2321</v>
      </c>
    </row>
    <row r="1243" spans="1:21" x14ac:dyDescent="0.25">
      <c r="A1243" t="s">
        <v>2644</v>
      </c>
      <c r="B1243" t="s">
        <v>2645</v>
      </c>
      <c r="C1243" t="s">
        <v>23</v>
      </c>
      <c r="D1243" t="s">
        <v>24</v>
      </c>
      <c r="E1243" t="s">
        <v>494</v>
      </c>
      <c r="F1243" t="str">
        <f t="shared" si="22"/>
        <v>2018-05-20</v>
      </c>
      <c r="G1243">
        <v>8.8000000000000007</v>
      </c>
      <c r="H1243" t="str">
        <f>"2018-04-29"</f>
        <v>2018-04-29</v>
      </c>
      <c r="I1243" t="s">
        <v>27</v>
      </c>
      <c r="J1243" t="str">
        <f>"2017-09-26"</f>
        <v>2017-09-26</v>
      </c>
      <c r="K1243" t="s">
        <v>57</v>
      </c>
      <c r="L1243">
        <v>1.1756487</v>
      </c>
      <c r="M1243">
        <v>1242</v>
      </c>
      <c r="N1243" s="1">
        <v>-0.12870000000000001</v>
      </c>
      <c r="O1243" s="1">
        <v>5.3900000000000003E-2</v>
      </c>
      <c r="P1243" s="1">
        <v>-0.14149999999999999</v>
      </c>
      <c r="Q1243" s="1">
        <v>-5.5999999999999999E-3</v>
      </c>
      <c r="R1243" s="1">
        <v>1.15E-2</v>
      </c>
      <c r="S1243" s="1">
        <v>-5.3800000000000001E-2</v>
      </c>
      <c r="T1243" s="1">
        <v>-3.8300000000000001E-2</v>
      </c>
      <c r="U1243" s="1">
        <v>-0.5393</v>
      </c>
    </row>
    <row r="1244" spans="1:21" x14ac:dyDescent="0.25">
      <c r="A1244" t="s">
        <v>2646</v>
      </c>
      <c r="B1244" t="s">
        <v>2647</v>
      </c>
      <c r="C1244" t="s">
        <v>114</v>
      </c>
      <c r="D1244" t="s">
        <v>115</v>
      </c>
      <c r="E1244" t="s">
        <v>116</v>
      </c>
      <c r="F1244" t="str">
        <f t="shared" si="22"/>
        <v>2018-05-20</v>
      </c>
      <c r="G1244">
        <v>12.85</v>
      </c>
      <c r="H1244" t="str">
        <f>"2017-12-07"</f>
        <v>2017-12-07</v>
      </c>
      <c r="I1244" t="s">
        <v>27</v>
      </c>
      <c r="J1244" t="str">
        <f>"2017-11-12"</f>
        <v>2017-11-12</v>
      </c>
      <c r="K1244" t="s">
        <v>57</v>
      </c>
      <c r="L1244">
        <v>1.1729940800000001</v>
      </c>
      <c r="M1244">
        <v>1243</v>
      </c>
      <c r="N1244" s="1">
        <v>-7.8899999999999998E-2</v>
      </c>
      <c r="O1244" s="1">
        <v>3.7999999999999999E-2</v>
      </c>
      <c r="P1244" s="1">
        <v>-0.159</v>
      </c>
      <c r="Q1244" s="1">
        <v>1.18E-2</v>
      </c>
      <c r="R1244" s="1">
        <v>7.1000000000000004E-3</v>
      </c>
      <c r="S1244" s="1">
        <v>-0.10639999999999999</v>
      </c>
      <c r="T1244" s="1">
        <v>8.0000000000000004E-4</v>
      </c>
      <c r="U1244" s="1">
        <v>-0.22450000000000001</v>
      </c>
    </row>
    <row r="1245" spans="1:21" x14ac:dyDescent="0.25">
      <c r="A1245" t="s">
        <v>2648</v>
      </c>
      <c r="B1245" t="s">
        <v>2649</v>
      </c>
      <c r="C1245" t="s">
        <v>23</v>
      </c>
      <c r="D1245" t="s">
        <v>52</v>
      </c>
      <c r="E1245" t="s">
        <v>190</v>
      </c>
      <c r="F1245" t="str">
        <f t="shared" si="22"/>
        <v>2018-05-20</v>
      </c>
      <c r="G1245">
        <v>17.239999999999998</v>
      </c>
      <c r="H1245" t="str">
        <f>"2018-03-29"</f>
        <v>2018-03-29</v>
      </c>
      <c r="I1245" t="s">
        <v>27</v>
      </c>
      <c r="J1245" t="str">
        <f>"2018-03-20"</f>
        <v>2018-03-20</v>
      </c>
      <c r="K1245" t="s">
        <v>57</v>
      </c>
      <c r="L1245">
        <v>1.1708283799999999</v>
      </c>
      <c r="M1245">
        <v>1244</v>
      </c>
      <c r="N1245" s="1">
        <v>-7.9600000000000004E-2</v>
      </c>
      <c r="O1245" s="1">
        <v>2.5000000000000001E-2</v>
      </c>
      <c r="P1245" s="1">
        <v>-0.14230000000000001</v>
      </c>
      <c r="Q1245" s="1">
        <v>1.41E-2</v>
      </c>
      <c r="R1245" s="1">
        <v>1.29E-2</v>
      </c>
      <c r="S1245" s="1">
        <v>-3.5299999999999998E-2</v>
      </c>
      <c r="T1245" s="1">
        <v>-5.6899999999999999E-2</v>
      </c>
      <c r="U1245" s="1">
        <v>-0.18640000000000001</v>
      </c>
    </row>
    <row r="1246" spans="1:21" x14ac:dyDescent="0.25">
      <c r="A1246" t="s">
        <v>2650</v>
      </c>
      <c r="B1246" t="s">
        <v>2651</v>
      </c>
      <c r="C1246" t="s">
        <v>43</v>
      </c>
      <c r="D1246" t="s">
        <v>119</v>
      </c>
      <c r="E1246" t="s">
        <v>205</v>
      </c>
      <c r="F1246" t="str">
        <f t="shared" si="22"/>
        <v>2018-05-20</v>
      </c>
      <c r="G1246">
        <v>27.4</v>
      </c>
      <c r="H1246" t="str">
        <f>"2018-03-08"</f>
        <v>2018-03-08</v>
      </c>
      <c r="I1246" t="s">
        <v>27</v>
      </c>
      <c r="J1246" t="str">
        <f>"2017-12-31"</f>
        <v>2017-12-31</v>
      </c>
      <c r="K1246" t="s">
        <v>57</v>
      </c>
      <c r="L1246">
        <v>1.1654589399999999</v>
      </c>
      <c r="M1246">
        <v>1245</v>
      </c>
      <c r="N1246" s="1">
        <v>-0.12740000000000001</v>
      </c>
      <c r="O1246" s="1">
        <v>-7.1999999999999998E-3</v>
      </c>
      <c r="P1246" s="1">
        <v>-0.1477</v>
      </c>
      <c r="Q1246" s="1">
        <v>-1.8E-3</v>
      </c>
      <c r="R1246" s="1">
        <v>1.67E-2</v>
      </c>
      <c r="S1246" s="1">
        <v>-9.8699999999999996E-2</v>
      </c>
      <c r="T1246" s="1">
        <v>-0.1002</v>
      </c>
      <c r="U1246" s="1">
        <v>-0.1356</v>
      </c>
    </row>
    <row r="1247" spans="1:21" x14ac:dyDescent="0.25">
      <c r="A1247" t="s">
        <v>2652</v>
      </c>
      <c r="B1247" t="s">
        <v>2653</v>
      </c>
      <c r="C1247" t="s">
        <v>109</v>
      </c>
      <c r="D1247" t="s">
        <v>156</v>
      </c>
      <c r="E1247" t="s">
        <v>277</v>
      </c>
      <c r="F1247" t="str">
        <f t="shared" si="22"/>
        <v>2018-05-20</v>
      </c>
      <c r="G1247">
        <v>11.54</v>
      </c>
      <c r="I1247" t="s">
        <v>34</v>
      </c>
      <c r="K1247" t="s">
        <v>34</v>
      </c>
      <c r="L1247">
        <v>0</v>
      </c>
      <c r="M1247">
        <v>1246</v>
      </c>
      <c r="O1247" s="1">
        <v>0</v>
      </c>
      <c r="Q1247" s="1">
        <v>-2.5999999999999999E-3</v>
      </c>
      <c r="R1247" s="1">
        <v>-3.6700000000000003E-2</v>
      </c>
      <c r="S1247" s="1">
        <v>-0.1734</v>
      </c>
      <c r="T1247" s="1">
        <v>-0.21970000000000001</v>
      </c>
      <c r="U1247" s="1">
        <v>0</v>
      </c>
    </row>
    <row r="1248" spans="1:21" x14ac:dyDescent="0.25">
      <c r="A1248" t="s">
        <v>2654</v>
      </c>
      <c r="B1248" t="s">
        <v>2655</v>
      </c>
      <c r="C1248" t="s">
        <v>30</v>
      </c>
      <c r="D1248" t="s">
        <v>31</v>
      </c>
      <c r="E1248" t="s">
        <v>31</v>
      </c>
      <c r="F1248" t="str">
        <f t="shared" si="22"/>
        <v>2018-05-20</v>
      </c>
      <c r="G1248">
        <v>30.07</v>
      </c>
      <c r="I1248" t="s">
        <v>34</v>
      </c>
      <c r="K1248" t="s">
        <v>34</v>
      </c>
      <c r="L1248">
        <v>0</v>
      </c>
      <c r="M1248">
        <v>1247</v>
      </c>
      <c r="O1248" s="1">
        <v>0</v>
      </c>
      <c r="Q1248" s="1">
        <v>5.3E-3</v>
      </c>
      <c r="R1248" s="1">
        <v>2.1399999999999999E-2</v>
      </c>
      <c r="S1248" s="1">
        <v>2.9100000000000001E-2</v>
      </c>
      <c r="T1248" s="1">
        <v>7.7399999999999997E-2</v>
      </c>
      <c r="U1248" s="1">
        <v>0</v>
      </c>
    </row>
    <row r="1249" spans="1:21" x14ac:dyDescent="0.25">
      <c r="A1249" t="s">
        <v>2656</v>
      </c>
      <c r="B1249" t="s">
        <v>2657</v>
      </c>
      <c r="C1249" t="s">
        <v>109</v>
      </c>
      <c r="D1249" t="s">
        <v>156</v>
      </c>
      <c r="E1249" t="s">
        <v>284</v>
      </c>
      <c r="F1249" t="str">
        <f t="shared" si="22"/>
        <v>2018-05-20</v>
      </c>
      <c r="G1249">
        <v>8.93</v>
      </c>
      <c r="I1249" t="s">
        <v>34</v>
      </c>
      <c r="K1249" t="s">
        <v>34</v>
      </c>
      <c r="L1249">
        <v>0</v>
      </c>
      <c r="M1249">
        <v>1248</v>
      </c>
      <c r="O1249" s="1">
        <v>0</v>
      </c>
      <c r="Q1249" s="1">
        <v>0.03</v>
      </c>
      <c r="R1249" s="1">
        <v>2.1700000000000001E-2</v>
      </c>
      <c r="S1249" s="1">
        <v>0.26669999999999999</v>
      </c>
      <c r="T1249" s="1">
        <v>-0.14299999999999999</v>
      </c>
      <c r="U1249" s="1">
        <v>0</v>
      </c>
    </row>
    <row r="1250" spans="1:21" x14ac:dyDescent="0.25">
      <c r="A1250" t="s">
        <v>2658</v>
      </c>
      <c r="B1250" t="s">
        <v>2659</v>
      </c>
      <c r="C1250" t="s">
        <v>37</v>
      </c>
      <c r="D1250" t="s">
        <v>38</v>
      </c>
      <c r="E1250" t="s">
        <v>39</v>
      </c>
      <c r="F1250" t="str">
        <f t="shared" si="22"/>
        <v>2018-05-20</v>
      </c>
      <c r="G1250">
        <v>20.059999999999999</v>
      </c>
      <c r="I1250" t="s">
        <v>34</v>
      </c>
      <c r="K1250" t="s">
        <v>34</v>
      </c>
      <c r="L1250">
        <v>0</v>
      </c>
      <c r="M1250">
        <v>1249</v>
      </c>
      <c r="O1250" s="1">
        <v>0</v>
      </c>
      <c r="Q1250" s="1">
        <v>-1E-3</v>
      </c>
      <c r="R1250" s="1">
        <v>5.4699999999999999E-2</v>
      </c>
      <c r="S1250" s="1">
        <v>0.19620000000000001</v>
      </c>
      <c r="T1250" s="1">
        <v>-0.114</v>
      </c>
      <c r="U1250" s="1">
        <v>0</v>
      </c>
    </row>
    <row r="1251" spans="1:21" x14ac:dyDescent="0.25">
      <c r="A1251" t="s">
        <v>2660</v>
      </c>
      <c r="B1251" t="s">
        <v>2661</v>
      </c>
      <c r="C1251" t="s">
        <v>37</v>
      </c>
      <c r="D1251" t="s">
        <v>38</v>
      </c>
      <c r="E1251" t="s">
        <v>39</v>
      </c>
      <c r="F1251" t="str">
        <f t="shared" si="22"/>
        <v>2018-05-20</v>
      </c>
      <c r="G1251">
        <v>14.28</v>
      </c>
      <c r="I1251" t="s">
        <v>34</v>
      </c>
      <c r="K1251" t="s">
        <v>34</v>
      </c>
      <c r="L1251">
        <v>0</v>
      </c>
      <c r="M1251">
        <v>1250</v>
      </c>
      <c r="O1251" s="1">
        <v>0</v>
      </c>
      <c r="Q1251" s="1">
        <v>-8.3000000000000001E-3</v>
      </c>
      <c r="R1251" s="1">
        <v>-2.8E-3</v>
      </c>
      <c r="S1251" s="1">
        <v>5.3900000000000003E-2</v>
      </c>
      <c r="T1251" s="1">
        <v>-6.3E-2</v>
      </c>
      <c r="U1251" s="1">
        <v>0</v>
      </c>
    </row>
    <row r="1252" spans="1:21" x14ac:dyDescent="0.25">
      <c r="A1252" t="s">
        <v>2662</v>
      </c>
      <c r="B1252" t="s">
        <v>2663</v>
      </c>
      <c r="C1252" t="s">
        <v>30</v>
      </c>
      <c r="D1252" t="s">
        <v>299</v>
      </c>
      <c r="E1252" t="s">
        <v>1087</v>
      </c>
      <c r="F1252" t="str">
        <f t="shared" si="22"/>
        <v>2018-05-20</v>
      </c>
      <c r="G1252">
        <v>20.98</v>
      </c>
      <c r="I1252" t="s">
        <v>34</v>
      </c>
      <c r="K1252" t="s">
        <v>34</v>
      </c>
      <c r="L1252">
        <v>0</v>
      </c>
      <c r="M1252">
        <v>1251</v>
      </c>
      <c r="O1252" s="1">
        <v>0</v>
      </c>
      <c r="Q1252" s="1">
        <v>1E-3</v>
      </c>
      <c r="R1252" s="1">
        <v>-5.7000000000000002E-3</v>
      </c>
      <c r="S1252" s="1">
        <v>1.84E-2</v>
      </c>
      <c r="T1252" s="1">
        <v>2.29E-2</v>
      </c>
      <c r="U1252" s="1">
        <v>0</v>
      </c>
    </row>
    <row r="1253" spans="1:21" x14ac:dyDescent="0.25">
      <c r="A1253" t="s">
        <v>2664</v>
      </c>
      <c r="B1253" t="s">
        <v>2665</v>
      </c>
      <c r="C1253" t="s">
        <v>37</v>
      </c>
      <c r="D1253" t="s">
        <v>38</v>
      </c>
      <c r="E1253" t="s">
        <v>39</v>
      </c>
      <c r="F1253" t="str">
        <f t="shared" si="22"/>
        <v>2018-05-20</v>
      </c>
      <c r="G1253">
        <v>16.96</v>
      </c>
      <c r="I1253" t="s">
        <v>34</v>
      </c>
      <c r="K1253" t="s">
        <v>34</v>
      </c>
      <c r="L1253">
        <v>0</v>
      </c>
      <c r="M1253">
        <v>1252</v>
      </c>
      <c r="O1253" s="1">
        <v>0</v>
      </c>
      <c r="Q1253" s="1">
        <v>-2.3999999999999998E-3</v>
      </c>
      <c r="R1253" s="1">
        <v>-1.34E-2</v>
      </c>
      <c r="S1253" s="1">
        <v>4.9500000000000002E-2</v>
      </c>
      <c r="T1253" s="1">
        <v>4.82E-2</v>
      </c>
      <c r="U1253" s="1">
        <v>0</v>
      </c>
    </row>
    <row r="1254" spans="1:21" x14ac:dyDescent="0.25">
      <c r="A1254" t="s">
        <v>2666</v>
      </c>
      <c r="B1254" t="s">
        <v>2667</v>
      </c>
      <c r="C1254" t="s">
        <v>37</v>
      </c>
      <c r="D1254" t="s">
        <v>38</v>
      </c>
      <c r="E1254" t="s">
        <v>39</v>
      </c>
      <c r="F1254" t="str">
        <f t="shared" si="22"/>
        <v>2018-05-20</v>
      </c>
      <c r="G1254">
        <v>16.18</v>
      </c>
      <c r="I1254" t="s">
        <v>34</v>
      </c>
      <c r="K1254" t="s">
        <v>34</v>
      </c>
      <c r="L1254">
        <v>0</v>
      </c>
      <c r="M1254">
        <v>1253</v>
      </c>
      <c r="O1254" s="1">
        <v>0</v>
      </c>
      <c r="Q1254" s="1">
        <v>5.1999999999999998E-2</v>
      </c>
      <c r="R1254" s="1">
        <v>0.17929999999999999</v>
      </c>
      <c r="S1254" s="1">
        <v>1.0212000000000001</v>
      </c>
      <c r="T1254" s="1">
        <v>0.39</v>
      </c>
      <c r="U1254" s="1">
        <v>0</v>
      </c>
    </row>
    <row r="1255" spans="1:21" x14ac:dyDescent="0.25">
      <c r="A1255" t="s">
        <v>2668</v>
      </c>
      <c r="B1255" t="s">
        <v>2669</v>
      </c>
      <c r="C1255" t="s">
        <v>109</v>
      </c>
      <c r="D1255" t="s">
        <v>110</v>
      </c>
      <c r="E1255" t="s">
        <v>111</v>
      </c>
      <c r="F1255" t="str">
        <f t="shared" si="22"/>
        <v>2018-05-20</v>
      </c>
      <c r="G1255">
        <v>16.25</v>
      </c>
      <c r="I1255" t="s">
        <v>34</v>
      </c>
      <c r="K1255" t="s">
        <v>34</v>
      </c>
      <c r="L1255">
        <v>0</v>
      </c>
      <c r="M1255">
        <v>1254</v>
      </c>
      <c r="O1255" s="1">
        <v>0</v>
      </c>
      <c r="Q1255" s="1">
        <v>9.2999999999999992E-3</v>
      </c>
      <c r="R1255" s="1">
        <v>3.3099999999999997E-2</v>
      </c>
      <c r="S1255" s="1">
        <v>9.06E-2</v>
      </c>
      <c r="T1255" s="1">
        <v>-0.14069999999999999</v>
      </c>
      <c r="U1255" s="1">
        <v>-0.22289999999999999</v>
      </c>
    </row>
    <row r="1256" spans="1:21" x14ac:dyDescent="0.25">
      <c r="A1256" t="s">
        <v>2670</v>
      </c>
      <c r="B1256" t="s">
        <v>2671</v>
      </c>
      <c r="C1256" t="s">
        <v>30</v>
      </c>
      <c r="D1256" t="s">
        <v>31</v>
      </c>
      <c r="E1256" t="s">
        <v>31</v>
      </c>
      <c r="F1256" t="str">
        <f t="shared" si="22"/>
        <v>2018-05-20</v>
      </c>
      <c r="G1256">
        <v>28.68</v>
      </c>
      <c r="I1256" t="s">
        <v>34</v>
      </c>
      <c r="K1256" t="s">
        <v>34</v>
      </c>
      <c r="L1256">
        <v>0</v>
      </c>
      <c r="M1256">
        <v>1255</v>
      </c>
      <c r="O1256" s="1">
        <v>0</v>
      </c>
      <c r="Q1256" s="1">
        <v>1.4500000000000001E-2</v>
      </c>
      <c r="R1256" s="1">
        <v>2.47E-2</v>
      </c>
      <c r="S1256" s="1">
        <v>4.1399999999999999E-2</v>
      </c>
      <c r="T1256" s="1">
        <v>0.10100000000000001</v>
      </c>
      <c r="U1256" s="1">
        <v>0</v>
      </c>
    </row>
    <row r="1257" spans="1:21" x14ac:dyDescent="0.25">
      <c r="A1257" t="s">
        <v>2672</v>
      </c>
      <c r="B1257" t="s">
        <v>2673</v>
      </c>
      <c r="C1257" t="s">
        <v>37</v>
      </c>
      <c r="D1257" t="s">
        <v>38</v>
      </c>
      <c r="E1257" t="s">
        <v>39</v>
      </c>
      <c r="F1257" t="str">
        <f t="shared" si="22"/>
        <v>2018-05-20</v>
      </c>
      <c r="G1257">
        <v>8.7899999999999991</v>
      </c>
      <c r="I1257" t="s">
        <v>34</v>
      </c>
      <c r="K1257" t="s">
        <v>34</v>
      </c>
      <c r="L1257">
        <v>0</v>
      </c>
      <c r="M1257">
        <v>1256</v>
      </c>
      <c r="O1257" s="1">
        <v>0</v>
      </c>
      <c r="Q1257" s="1">
        <v>-4.87E-2</v>
      </c>
      <c r="R1257" s="1">
        <v>-0.22689999999999999</v>
      </c>
      <c r="S1257" s="1">
        <v>-1.46E-2</v>
      </c>
      <c r="T1257" s="1">
        <v>-0.57330000000000003</v>
      </c>
      <c r="U1257" s="1">
        <v>0</v>
      </c>
    </row>
    <row r="1258" spans="1:21" x14ac:dyDescent="0.25">
      <c r="A1258" t="s">
        <v>2674</v>
      </c>
      <c r="B1258" t="s">
        <v>2675</v>
      </c>
      <c r="C1258" t="s">
        <v>30</v>
      </c>
      <c r="D1258" t="s">
        <v>77</v>
      </c>
      <c r="E1258" t="s">
        <v>1008</v>
      </c>
      <c r="F1258" t="str">
        <f t="shared" si="22"/>
        <v>2018-05-20</v>
      </c>
      <c r="G1258">
        <v>7.14</v>
      </c>
      <c r="I1258" t="s">
        <v>34</v>
      </c>
      <c r="K1258" t="s">
        <v>34</v>
      </c>
      <c r="L1258">
        <v>0</v>
      </c>
      <c r="M1258">
        <v>1257</v>
      </c>
      <c r="O1258" s="1">
        <v>0</v>
      </c>
      <c r="Q1258" s="1">
        <v>8.5000000000000006E-3</v>
      </c>
      <c r="R1258" s="1">
        <v>3.1800000000000002E-2</v>
      </c>
      <c r="S1258" s="1">
        <v>8.0199999999999994E-2</v>
      </c>
      <c r="T1258" s="1">
        <v>0</v>
      </c>
      <c r="U1258" s="1">
        <v>0</v>
      </c>
    </row>
    <row r="1259" spans="1:21" x14ac:dyDescent="0.25">
      <c r="A1259" t="s">
        <v>2676</v>
      </c>
      <c r="B1259" t="s">
        <v>2677</v>
      </c>
      <c r="C1259" t="s">
        <v>23</v>
      </c>
      <c r="D1259" t="s">
        <v>24</v>
      </c>
      <c r="E1259" t="s">
        <v>494</v>
      </c>
      <c r="F1259" t="str">
        <f t="shared" si="22"/>
        <v>2018-05-20</v>
      </c>
      <c r="G1259">
        <v>204.87</v>
      </c>
      <c r="I1259" t="s">
        <v>34</v>
      </c>
      <c r="K1259" t="s">
        <v>34</v>
      </c>
      <c r="L1259">
        <v>0</v>
      </c>
      <c r="M1259">
        <v>1258</v>
      </c>
      <c r="O1259" s="1">
        <v>0</v>
      </c>
      <c r="Q1259" s="1">
        <v>6.6E-3</v>
      </c>
      <c r="R1259" s="1">
        <v>4.53E-2</v>
      </c>
      <c r="S1259" s="1">
        <v>0</v>
      </c>
      <c r="T1259" s="1">
        <v>0</v>
      </c>
      <c r="U1259" s="1">
        <v>0</v>
      </c>
    </row>
    <row r="1260" spans="1:21" x14ac:dyDescent="0.25">
      <c r="A1260" t="s">
        <v>2678</v>
      </c>
      <c r="B1260" t="s">
        <v>2679</v>
      </c>
      <c r="C1260" t="s">
        <v>37</v>
      </c>
      <c r="D1260" t="s">
        <v>38</v>
      </c>
      <c r="E1260" t="s">
        <v>39</v>
      </c>
      <c r="F1260" t="str">
        <f t="shared" si="22"/>
        <v>2018-05-20</v>
      </c>
      <c r="G1260">
        <v>15.4</v>
      </c>
      <c r="I1260" t="s">
        <v>34</v>
      </c>
      <c r="K1260" t="s">
        <v>34</v>
      </c>
      <c r="L1260">
        <v>0</v>
      </c>
      <c r="M1260">
        <v>1259</v>
      </c>
      <c r="O1260" s="1">
        <v>0</v>
      </c>
      <c r="Q1260" s="1">
        <v>-7.17E-2</v>
      </c>
      <c r="R1260" s="1">
        <v>-0.10979999999999999</v>
      </c>
      <c r="S1260" s="1">
        <v>-2.35E-2</v>
      </c>
      <c r="T1260" s="1">
        <v>4.6899999999999997E-2</v>
      </c>
      <c r="U1260" s="1">
        <v>0</v>
      </c>
    </row>
    <row r="1261" spans="1:21" x14ac:dyDescent="0.25">
      <c r="A1261" t="s">
        <v>2680</v>
      </c>
      <c r="B1261" t="s">
        <v>2681</v>
      </c>
      <c r="C1261" t="s">
        <v>518</v>
      </c>
      <c r="D1261" t="s">
        <v>519</v>
      </c>
      <c r="E1261" t="s">
        <v>520</v>
      </c>
      <c r="F1261" t="str">
        <f t="shared" si="22"/>
        <v>2018-05-20</v>
      </c>
      <c r="G1261">
        <v>11</v>
      </c>
      <c r="I1261" t="s">
        <v>34</v>
      </c>
      <c r="K1261" t="s">
        <v>34</v>
      </c>
      <c r="L1261">
        <v>0</v>
      </c>
      <c r="M1261">
        <v>1260</v>
      </c>
      <c r="O1261" s="1">
        <v>0</v>
      </c>
      <c r="Q1261" s="1">
        <v>-4.4999999999999997E-3</v>
      </c>
      <c r="R1261" s="1">
        <v>-1.35E-2</v>
      </c>
      <c r="S1261" s="1">
        <v>-6.3E-3</v>
      </c>
      <c r="T1261" s="1">
        <v>-8.7900000000000006E-2</v>
      </c>
      <c r="U1261" s="1">
        <v>0</v>
      </c>
    </row>
    <row r="1262" spans="1:21" x14ac:dyDescent="0.25">
      <c r="A1262" t="s">
        <v>2682</v>
      </c>
      <c r="B1262" t="s">
        <v>2683</v>
      </c>
      <c r="C1262" t="s">
        <v>109</v>
      </c>
      <c r="D1262" t="s">
        <v>156</v>
      </c>
      <c r="E1262" t="s">
        <v>284</v>
      </c>
      <c r="F1262" t="str">
        <f t="shared" si="22"/>
        <v>2018-05-20</v>
      </c>
      <c r="G1262">
        <v>5.51</v>
      </c>
      <c r="I1262" t="s">
        <v>34</v>
      </c>
      <c r="K1262" t="s">
        <v>34</v>
      </c>
      <c r="L1262">
        <v>0</v>
      </c>
      <c r="M1262">
        <v>1261</v>
      </c>
      <c r="O1262" s="1">
        <v>0</v>
      </c>
      <c r="Q1262" s="1">
        <v>1.66E-2</v>
      </c>
      <c r="R1262" s="1">
        <v>-3.1600000000000003E-2</v>
      </c>
      <c r="S1262" s="1">
        <v>3.9600000000000003E-2</v>
      </c>
      <c r="T1262" s="1">
        <v>-0.19439999999999999</v>
      </c>
      <c r="U1262" s="1">
        <v>0</v>
      </c>
    </row>
    <row r="1263" spans="1:21" x14ac:dyDescent="0.25">
      <c r="A1263" t="s">
        <v>2684</v>
      </c>
      <c r="B1263" t="s">
        <v>2685</v>
      </c>
      <c r="C1263" t="s">
        <v>30</v>
      </c>
      <c r="D1263" t="s">
        <v>48</v>
      </c>
      <c r="E1263" t="s">
        <v>49</v>
      </c>
      <c r="F1263" t="str">
        <f t="shared" si="22"/>
        <v>2018-05-20</v>
      </c>
      <c r="G1263">
        <v>23.52</v>
      </c>
      <c r="I1263" t="s">
        <v>34</v>
      </c>
      <c r="K1263" t="s">
        <v>34</v>
      </c>
      <c r="L1263">
        <v>0</v>
      </c>
      <c r="M1263">
        <v>1262</v>
      </c>
      <c r="O1263" s="1">
        <v>0</v>
      </c>
      <c r="Q1263" s="1">
        <v>-1.2999999999999999E-3</v>
      </c>
      <c r="R1263" s="1">
        <v>-3.4099999999999998E-2</v>
      </c>
      <c r="S1263" s="1">
        <v>0.1915</v>
      </c>
      <c r="T1263" s="1">
        <v>0.36349999999999999</v>
      </c>
      <c r="U1263" s="1">
        <v>0</v>
      </c>
    </row>
    <row r="1264" spans="1:21" x14ac:dyDescent="0.25">
      <c r="A1264" t="s">
        <v>2686</v>
      </c>
      <c r="B1264" t="s">
        <v>2687</v>
      </c>
      <c r="C1264" t="s">
        <v>37</v>
      </c>
      <c r="D1264" t="s">
        <v>38</v>
      </c>
      <c r="E1264" t="s">
        <v>39</v>
      </c>
      <c r="F1264" t="str">
        <f t="shared" si="22"/>
        <v>2018-05-20</v>
      </c>
      <c r="G1264">
        <v>20.5</v>
      </c>
      <c r="I1264" t="s">
        <v>34</v>
      </c>
      <c r="K1264" t="s">
        <v>34</v>
      </c>
      <c r="L1264">
        <v>0</v>
      </c>
      <c r="M1264">
        <v>1263</v>
      </c>
      <c r="O1264" s="1">
        <v>0</v>
      </c>
      <c r="Q1264" s="1">
        <v>-6.3500000000000001E-2</v>
      </c>
      <c r="R1264" s="1">
        <v>-5.2699999999999997E-2</v>
      </c>
      <c r="S1264" s="1">
        <v>0.60160000000000002</v>
      </c>
      <c r="T1264" s="1">
        <v>-0.31580000000000003</v>
      </c>
      <c r="U1264" s="1">
        <v>0</v>
      </c>
    </row>
    <row r="1265" spans="1:21" x14ac:dyDescent="0.25">
      <c r="A1265" t="s">
        <v>2688</v>
      </c>
      <c r="B1265" t="s">
        <v>2689</v>
      </c>
      <c r="C1265" t="s">
        <v>37</v>
      </c>
      <c r="D1265" t="s">
        <v>38</v>
      </c>
      <c r="E1265" t="s">
        <v>39</v>
      </c>
      <c r="F1265" t="str">
        <f t="shared" si="22"/>
        <v>2018-05-20</v>
      </c>
      <c r="G1265">
        <v>31.04</v>
      </c>
      <c r="I1265" t="s">
        <v>34</v>
      </c>
      <c r="K1265" t="s">
        <v>34</v>
      </c>
      <c r="L1265">
        <v>0</v>
      </c>
      <c r="M1265">
        <v>1264</v>
      </c>
      <c r="O1265" s="1">
        <v>0</v>
      </c>
      <c r="Q1265" s="1">
        <v>1.0699999999999999E-2</v>
      </c>
      <c r="R1265" s="1">
        <v>8.6099999999999996E-2</v>
      </c>
      <c r="S1265" s="1">
        <v>0.34899999999999998</v>
      </c>
      <c r="T1265" s="1">
        <v>0.11899999999999999</v>
      </c>
      <c r="U1265" s="1">
        <v>0</v>
      </c>
    </row>
    <row r="1266" spans="1:21" x14ac:dyDescent="0.25">
      <c r="A1266" t="s">
        <v>2690</v>
      </c>
      <c r="B1266" t="s">
        <v>2691</v>
      </c>
      <c r="C1266" t="s">
        <v>37</v>
      </c>
      <c r="D1266" t="s">
        <v>38</v>
      </c>
      <c r="E1266" t="s">
        <v>39</v>
      </c>
      <c r="F1266" t="str">
        <f t="shared" si="22"/>
        <v>2018-05-20</v>
      </c>
      <c r="G1266">
        <v>15.99</v>
      </c>
      <c r="I1266" t="s">
        <v>34</v>
      </c>
      <c r="K1266" t="s">
        <v>34</v>
      </c>
      <c r="L1266">
        <v>0</v>
      </c>
      <c r="M1266">
        <v>1265</v>
      </c>
      <c r="O1266" s="1">
        <v>0</v>
      </c>
      <c r="Q1266" s="1">
        <v>-5.9999999999999995E-4</v>
      </c>
      <c r="R1266" s="1">
        <v>-1.2999999999999999E-2</v>
      </c>
      <c r="S1266" s="1">
        <v>0.16889999999999999</v>
      </c>
      <c r="T1266" s="1">
        <v>1.1376999999999999</v>
      </c>
      <c r="U1266" s="1">
        <v>0</v>
      </c>
    </row>
    <row r="1267" spans="1:21" x14ac:dyDescent="0.25">
      <c r="A1267" t="s">
        <v>2692</v>
      </c>
      <c r="B1267" t="s">
        <v>2693</v>
      </c>
      <c r="C1267" t="s">
        <v>87</v>
      </c>
      <c r="D1267" t="s">
        <v>144</v>
      </c>
      <c r="E1267" t="s">
        <v>145</v>
      </c>
      <c r="F1267" t="str">
        <f t="shared" si="22"/>
        <v>2018-05-20</v>
      </c>
      <c r="G1267">
        <v>17.329999999999998</v>
      </c>
      <c r="I1267" t="s">
        <v>34</v>
      </c>
      <c r="K1267" t="s">
        <v>34</v>
      </c>
      <c r="L1267">
        <v>0</v>
      </c>
      <c r="M1267">
        <v>1266</v>
      </c>
      <c r="O1267" s="1">
        <v>0</v>
      </c>
      <c r="Q1267" s="1">
        <v>-1.37E-2</v>
      </c>
      <c r="R1267" s="1">
        <v>1.8200000000000001E-2</v>
      </c>
      <c r="S1267" s="1">
        <v>-6.2700000000000006E-2</v>
      </c>
      <c r="T1267" s="1">
        <v>0.16309999999999999</v>
      </c>
      <c r="U1267" s="1">
        <v>-0.27789999999999998</v>
      </c>
    </row>
    <row r="1268" spans="1:21" x14ac:dyDescent="0.25">
      <c r="A1268" t="s">
        <v>2694</v>
      </c>
      <c r="B1268" t="s">
        <v>2695</v>
      </c>
      <c r="C1268" t="s">
        <v>30</v>
      </c>
      <c r="D1268" t="s">
        <v>77</v>
      </c>
      <c r="E1268" t="s">
        <v>1008</v>
      </c>
      <c r="F1268" t="str">
        <f t="shared" si="22"/>
        <v>2018-05-20</v>
      </c>
      <c r="G1268">
        <v>23.1</v>
      </c>
      <c r="I1268" t="s">
        <v>34</v>
      </c>
      <c r="K1268" t="s">
        <v>34</v>
      </c>
      <c r="L1268">
        <v>0</v>
      </c>
      <c r="M1268">
        <v>1267</v>
      </c>
      <c r="O1268" s="1">
        <v>0</v>
      </c>
      <c r="Q1268" s="1">
        <v>2.2100000000000002E-2</v>
      </c>
      <c r="R1268" s="1">
        <v>5.2400000000000002E-2</v>
      </c>
      <c r="S1268" s="1">
        <v>4.3E-3</v>
      </c>
      <c r="T1268" s="1">
        <v>-9.4100000000000003E-2</v>
      </c>
      <c r="U1268" s="1">
        <v>0</v>
      </c>
    </row>
    <row r="1269" spans="1:21" x14ac:dyDescent="0.25">
      <c r="A1269" t="s">
        <v>2696</v>
      </c>
      <c r="B1269" t="s">
        <v>2697</v>
      </c>
      <c r="C1269" t="s">
        <v>30</v>
      </c>
      <c r="D1269" t="s">
        <v>77</v>
      </c>
      <c r="E1269" t="s">
        <v>78</v>
      </c>
      <c r="F1269" t="str">
        <f t="shared" si="22"/>
        <v>2018-05-20</v>
      </c>
      <c r="G1269">
        <v>20.25</v>
      </c>
      <c r="I1269" t="s">
        <v>34</v>
      </c>
      <c r="K1269" t="s">
        <v>34</v>
      </c>
      <c r="L1269">
        <v>0</v>
      </c>
      <c r="M1269">
        <v>1268</v>
      </c>
      <c r="O1269" s="1">
        <v>0</v>
      </c>
      <c r="Q1269" s="1">
        <v>1.55E-2</v>
      </c>
      <c r="R1269" s="1">
        <v>4.4999999999999997E-3</v>
      </c>
      <c r="S1269" s="1">
        <v>-0.15770000000000001</v>
      </c>
      <c r="T1269" s="1">
        <v>5.9700000000000003E-2</v>
      </c>
      <c r="U1269" s="1">
        <v>0</v>
      </c>
    </row>
    <row r="1270" spans="1:21" x14ac:dyDescent="0.25">
      <c r="A1270" t="s">
        <v>2698</v>
      </c>
      <c r="B1270" t="s">
        <v>2699</v>
      </c>
      <c r="C1270" t="s">
        <v>109</v>
      </c>
      <c r="D1270" t="s">
        <v>156</v>
      </c>
      <c r="E1270" t="s">
        <v>277</v>
      </c>
      <c r="F1270" t="str">
        <f t="shared" si="22"/>
        <v>2018-05-20</v>
      </c>
      <c r="G1270">
        <v>44.01</v>
      </c>
      <c r="I1270" t="s">
        <v>34</v>
      </c>
      <c r="K1270" t="s">
        <v>34</v>
      </c>
      <c r="L1270">
        <v>0</v>
      </c>
      <c r="M1270">
        <v>1269</v>
      </c>
      <c r="O1270" s="1">
        <v>0</v>
      </c>
      <c r="Q1270" s="1">
        <v>2.76E-2</v>
      </c>
      <c r="R1270" s="1">
        <v>-4.4499999999999998E-2</v>
      </c>
      <c r="S1270" s="1">
        <v>0.1285</v>
      </c>
      <c r="T1270" s="1">
        <v>0.27679999999999999</v>
      </c>
      <c r="U1270" s="1">
        <v>0</v>
      </c>
    </row>
    <row r="1271" spans="1:21" x14ac:dyDescent="0.25">
      <c r="A1271" t="s">
        <v>2700</v>
      </c>
      <c r="B1271" t="s">
        <v>2701</v>
      </c>
      <c r="C1271" t="s">
        <v>87</v>
      </c>
      <c r="D1271" t="s">
        <v>144</v>
      </c>
      <c r="E1271" t="s">
        <v>145</v>
      </c>
      <c r="F1271" t="str">
        <f t="shared" si="22"/>
        <v>2018-05-20</v>
      </c>
      <c r="G1271">
        <v>17.02</v>
      </c>
      <c r="I1271" t="s">
        <v>34</v>
      </c>
      <c r="K1271" t="s">
        <v>34</v>
      </c>
      <c r="L1271">
        <v>0</v>
      </c>
      <c r="M1271">
        <v>1270</v>
      </c>
      <c r="O1271" s="1">
        <v>0</v>
      </c>
      <c r="Q1271" s="1">
        <v>-3.1899999999999998E-2</v>
      </c>
      <c r="R1271" s="1">
        <v>4.1000000000000003E-3</v>
      </c>
      <c r="S1271" s="1">
        <v>0.1234</v>
      </c>
      <c r="T1271" s="1">
        <v>0.1197</v>
      </c>
      <c r="U1271" s="1">
        <v>5.5199999999999999E-2</v>
      </c>
    </row>
    <row r="1272" spans="1:21" x14ac:dyDescent="0.25">
      <c r="A1272" t="s">
        <v>2702</v>
      </c>
      <c r="B1272" t="s">
        <v>2703</v>
      </c>
      <c r="C1272" t="s">
        <v>37</v>
      </c>
      <c r="D1272" t="s">
        <v>38</v>
      </c>
      <c r="E1272" t="s">
        <v>39</v>
      </c>
      <c r="F1272" t="str">
        <f t="shared" si="22"/>
        <v>2018-05-20</v>
      </c>
      <c r="G1272">
        <v>9</v>
      </c>
      <c r="I1272" t="s">
        <v>34</v>
      </c>
      <c r="K1272" t="s">
        <v>34</v>
      </c>
      <c r="L1272">
        <v>0</v>
      </c>
      <c r="M1272">
        <v>1271</v>
      </c>
      <c r="O1272" s="1">
        <v>0</v>
      </c>
      <c r="Q1272" s="1">
        <v>-3.4299999999999997E-2</v>
      </c>
      <c r="R1272" s="1">
        <v>-5.5599999999999997E-2</v>
      </c>
      <c r="S1272" s="1">
        <v>4.7699999999999999E-2</v>
      </c>
      <c r="T1272" s="1">
        <v>-0.74099999999999999</v>
      </c>
      <c r="U1272" s="1">
        <v>0</v>
      </c>
    </row>
    <row r="1273" spans="1:21" x14ac:dyDescent="0.25">
      <c r="A1273" t="s">
        <v>2704</v>
      </c>
      <c r="B1273" t="s">
        <v>2705</v>
      </c>
      <c r="C1273" t="s">
        <v>37</v>
      </c>
      <c r="D1273" t="s">
        <v>38</v>
      </c>
      <c r="E1273" t="s">
        <v>39</v>
      </c>
      <c r="F1273" t="str">
        <f t="shared" si="22"/>
        <v>2018-05-20</v>
      </c>
      <c r="G1273">
        <v>50.89</v>
      </c>
      <c r="I1273" t="s">
        <v>34</v>
      </c>
      <c r="K1273" t="s">
        <v>34</v>
      </c>
      <c r="L1273">
        <v>0</v>
      </c>
      <c r="M1273">
        <v>1272</v>
      </c>
      <c r="O1273" s="1">
        <v>0</v>
      </c>
      <c r="Q1273" s="1">
        <v>-4.0000000000000002E-4</v>
      </c>
      <c r="R1273" s="1">
        <v>8.3199999999999996E-2</v>
      </c>
      <c r="S1273" s="1">
        <v>0.30049999999999999</v>
      </c>
      <c r="T1273" s="1">
        <v>1.2088000000000001</v>
      </c>
      <c r="U1273" s="1">
        <v>2.0712000000000002</v>
      </c>
    </row>
    <row r="1274" spans="1:21" x14ac:dyDescent="0.25">
      <c r="A1274" t="s">
        <v>2706</v>
      </c>
      <c r="B1274" t="s">
        <v>2707</v>
      </c>
      <c r="C1274" t="s">
        <v>37</v>
      </c>
      <c r="D1274" t="s">
        <v>38</v>
      </c>
      <c r="E1274" t="s">
        <v>39</v>
      </c>
      <c r="F1274" t="str">
        <f t="shared" si="22"/>
        <v>2018-05-20</v>
      </c>
      <c r="G1274">
        <v>19.72</v>
      </c>
      <c r="I1274" t="s">
        <v>34</v>
      </c>
      <c r="K1274" t="s">
        <v>34</v>
      </c>
      <c r="L1274">
        <v>0</v>
      </c>
      <c r="M1274">
        <v>1273</v>
      </c>
      <c r="O1274" s="1">
        <v>0</v>
      </c>
      <c r="Q1274" s="1">
        <v>-5.0000000000000001E-4</v>
      </c>
      <c r="R1274" s="1">
        <v>5.45E-2</v>
      </c>
      <c r="S1274" s="1">
        <v>1.3899999999999999E-2</v>
      </c>
      <c r="T1274" s="1">
        <v>-0.1101</v>
      </c>
      <c r="U1274" s="1">
        <v>0</v>
      </c>
    </row>
    <row r="1275" spans="1:21" x14ac:dyDescent="0.25">
      <c r="A1275" t="s">
        <v>2708</v>
      </c>
      <c r="B1275" t="s">
        <v>2709</v>
      </c>
      <c r="C1275" t="s">
        <v>37</v>
      </c>
      <c r="D1275" t="s">
        <v>38</v>
      </c>
      <c r="E1275" t="s">
        <v>39</v>
      </c>
      <c r="F1275" t="str">
        <f t="shared" si="22"/>
        <v>2018-05-20</v>
      </c>
      <c r="G1275">
        <v>18.47</v>
      </c>
      <c r="I1275" t="s">
        <v>34</v>
      </c>
      <c r="K1275" t="s">
        <v>34</v>
      </c>
      <c r="L1275">
        <v>0</v>
      </c>
      <c r="M1275">
        <v>1274</v>
      </c>
      <c r="O1275" s="1">
        <v>0</v>
      </c>
      <c r="Q1275" s="1">
        <v>-4.2000000000000003E-2</v>
      </c>
      <c r="R1275" s="1">
        <v>-0.14729999999999999</v>
      </c>
      <c r="S1275" s="1">
        <v>0.1653</v>
      </c>
      <c r="T1275" s="1">
        <v>0.27639999999999998</v>
      </c>
      <c r="U1275" s="1">
        <v>0</v>
      </c>
    </row>
    <row r="1276" spans="1:21" x14ac:dyDescent="0.25">
      <c r="A1276" t="s">
        <v>2710</v>
      </c>
      <c r="B1276" t="s">
        <v>2711</v>
      </c>
      <c r="C1276" t="s">
        <v>109</v>
      </c>
      <c r="D1276" t="s">
        <v>110</v>
      </c>
      <c r="E1276" t="s">
        <v>111</v>
      </c>
      <c r="F1276" t="str">
        <f t="shared" si="22"/>
        <v>2018-05-20</v>
      </c>
      <c r="G1276">
        <v>21.91</v>
      </c>
      <c r="I1276" t="s">
        <v>34</v>
      </c>
      <c r="K1276" t="s">
        <v>34</v>
      </c>
      <c r="L1276">
        <v>0</v>
      </c>
      <c r="M1276">
        <v>1275</v>
      </c>
      <c r="O1276" s="1">
        <v>0</v>
      </c>
      <c r="Q1276" s="1">
        <v>-1.04E-2</v>
      </c>
      <c r="R1276" s="1">
        <v>2.0500000000000001E-2</v>
      </c>
      <c r="S1276" s="1">
        <v>0.24490000000000001</v>
      </c>
      <c r="T1276" s="1">
        <v>0.2112</v>
      </c>
      <c r="U1276" s="1">
        <v>0.46949999999999997</v>
      </c>
    </row>
    <row r="1277" spans="1:21" x14ac:dyDescent="0.25">
      <c r="A1277" t="s">
        <v>2712</v>
      </c>
      <c r="B1277" t="s">
        <v>2713</v>
      </c>
      <c r="C1277" t="s">
        <v>87</v>
      </c>
      <c r="D1277" t="s">
        <v>144</v>
      </c>
      <c r="E1277" t="s">
        <v>145</v>
      </c>
      <c r="F1277" t="str">
        <f t="shared" si="22"/>
        <v>2018-05-20</v>
      </c>
      <c r="G1277">
        <v>21.92</v>
      </c>
      <c r="I1277" t="s">
        <v>34</v>
      </c>
      <c r="K1277" t="s">
        <v>34</v>
      </c>
      <c r="L1277">
        <v>0</v>
      </c>
      <c r="M1277">
        <v>1276</v>
      </c>
      <c r="O1277" s="1">
        <v>0</v>
      </c>
      <c r="Q1277" s="1">
        <v>2.24E-2</v>
      </c>
      <c r="R1277" s="1">
        <v>0.12640000000000001</v>
      </c>
      <c r="S1277" s="1">
        <v>0.11269999999999999</v>
      </c>
      <c r="T1277" s="1">
        <v>8.9499999999999996E-2</v>
      </c>
      <c r="U1277" s="1">
        <v>0</v>
      </c>
    </row>
    <row r="1278" spans="1:21" x14ac:dyDescent="0.25">
      <c r="A1278" t="s">
        <v>2714</v>
      </c>
      <c r="B1278" t="s">
        <v>1270</v>
      </c>
      <c r="C1278" t="s">
        <v>30</v>
      </c>
      <c r="D1278" t="s">
        <v>31</v>
      </c>
      <c r="E1278" t="s">
        <v>31</v>
      </c>
      <c r="F1278" t="str">
        <f t="shared" si="22"/>
        <v>2018-05-20</v>
      </c>
      <c r="G1278">
        <v>13.8</v>
      </c>
      <c r="I1278" t="s">
        <v>34</v>
      </c>
      <c r="K1278" t="s">
        <v>34</v>
      </c>
      <c r="L1278">
        <v>0</v>
      </c>
      <c r="M1278">
        <v>1277</v>
      </c>
      <c r="O1278" s="1">
        <v>0</v>
      </c>
      <c r="Q1278" s="1">
        <v>6.9999999999999999E-4</v>
      </c>
      <c r="R1278" s="1">
        <v>2.9100000000000001E-2</v>
      </c>
      <c r="S1278" s="1">
        <v>3.5299999999999998E-2</v>
      </c>
      <c r="T1278" s="1">
        <v>-5.7999999999999996E-3</v>
      </c>
      <c r="U1278" s="1">
        <v>0</v>
      </c>
    </row>
    <row r="1279" spans="1:21" x14ac:dyDescent="0.25">
      <c r="A1279" t="s">
        <v>2715</v>
      </c>
      <c r="B1279" t="s">
        <v>2716</v>
      </c>
      <c r="C1279" t="s">
        <v>30</v>
      </c>
      <c r="D1279" t="s">
        <v>31</v>
      </c>
      <c r="E1279" t="s">
        <v>31</v>
      </c>
      <c r="F1279" t="str">
        <f t="shared" si="22"/>
        <v>2018-05-20</v>
      </c>
      <c r="G1279">
        <v>24.99</v>
      </c>
      <c r="I1279" t="s">
        <v>34</v>
      </c>
      <c r="K1279" t="s">
        <v>34</v>
      </c>
      <c r="L1279">
        <v>0</v>
      </c>
      <c r="M1279">
        <v>1278</v>
      </c>
      <c r="O1279" s="1">
        <v>0</v>
      </c>
      <c r="Q1279" s="1">
        <v>0</v>
      </c>
      <c r="R1279" s="1">
        <v>7.9000000000000001E-2</v>
      </c>
      <c r="S1279" s="1">
        <v>0.1963</v>
      </c>
      <c r="T1279" s="1">
        <v>0.2049</v>
      </c>
      <c r="U1279" s="1">
        <v>0</v>
      </c>
    </row>
    <row r="1280" spans="1:21" x14ac:dyDescent="0.25">
      <c r="A1280" t="s">
        <v>2717</v>
      </c>
      <c r="B1280" t="s">
        <v>2718</v>
      </c>
      <c r="C1280" t="s">
        <v>37</v>
      </c>
      <c r="D1280" t="s">
        <v>38</v>
      </c>
      <c r="E1280" t="s">
        <v>39</v>
      </c>
      <c r="F1280" t="str">
        <f t="shared" si="22"/>
        <v>2018-05-20</v>
      </c>
      <c r="G1280">
        <v>32.450000000000003</v>
      </c>
      <c r="I1280" t="s">
        <v>34</v>
      </c>
      <c r="K1280" t="s">
        <v>34</v>
      </c>
      <c r="L1280">
        <v>0</v>
      </c>
      <c r="M1280">
        <v>1279</v>
      </c>
      <c r="O1280" s="1">
        <v>0</v>
      </c>
      <c r="Q1280" s="1">
        <v>3.8399999999999997E-2</v>
      </c>
      <c r="R1280" s="1">
        <v>0.13150000000000001</v>
      </c>
      <c r="S1280" s="1">
        <v>0.1386</v>
      </c>
      <c r="T1280" s="1">
        <v>-3.6200000000000003E-2</v>
      </c>
      <c r="U1280" s="1">
        <v>0.55259999999999998</v>
      </c>
    </row>
    <row r="1281" spans="1:21" x14ac:dyDescent="0.25">
      <c r="A1281" t="s">
        <v>2719</v>
      </c>
      <c r="B1281" t="s">
        <v>2720</v>
      </c>
      <c r="C1281" t="s">
        <v>87</v>
      </c>
      <c r="D1281" t="s">
        <v>88</v>
      </c>
      <c r="E1281" t="s">
        <v>89</v>
      </c>
      <c r="F1281" t="str">
        <f t="shared" si="22"/>
        <v>2018-05-20</v>
      </c>
      <c r="G1281">
        <v>19.62</v>
      </c>
      <c r="I1281" t="s">
        <v>34</v>
      </c>
      <c r="K1281" t="s">
        <v>34</v>
      </c>
      <c r="L1281">
        <v>0</v>
      </c>
      <c r="M1281">
        <v>1280</v>
      </c>
      <c r="O1281" s="1">
        <v>0</v>
      </c>
      <c r="Q1281" s="1">
        <v>-1.9E-2</v>
      </c>
      <c r="R1281" s="1">
        <v>7.1999999999999998E-3</v>
      </c>
      <c r="S1281" s="1">
        <v>2.7799999999999998E-2</v>
      </c>
      <c r="T1281" s="1">
        <v>0.18840000000000001</v>
      </c>
      <c r="U1281" s="1">
        <v>0.44369999999999998</v>
      </c>
    </row>
    <row r="1282" spans="1:21" x14ac:dyDescent="0.25">
      <c r="A1282" t="s">
        <v>2721</v>
      </c>
      <c r="B1282" t="s">
        <v>2722</v>
      </c>
      <c r="C1282" t="s">
        <v>37</v>
      </c>
      <c r="D1282" t="s">
        <v>38</v>
      </c>
      <c r="E1282" t="s">
        <v>97</v>
      </c>
      <c r="F1282" t="str">
        <f t="shared" si="22"/>
        <v>2018-05-20</v>
      </c>
      <c r="G1282">
        <v>17.91</v>
      </c>
      <c r="I1282" t="s">
        <v>34</v>
      </c>
      <c r="K1282" t="s">
        <v>34</v>
      </c>
      <c r="L1282">
        <v>0</v>
      </c>
      <c r="M1282">
        <v>1281</v>
      </c>
      <c r="O1282" s="1">
        <v>0</v>
      </c>
      <c r="Q1282" s="1">
        <v>-1.43E-2</v>
      </c>
      <c r="R1282" s="1">
        <v>-8.7599999999999997E-2</v>
      </c>
      <c r="S1282" s="1">
        <v>-0.22770000000000001</v>
      </c>
      <c r="T1282" s="1">
        <v>-0.20399999999999999</v>
      </c>
      <c r="U1282" s="1">
        <v>0</v>
      </c>
    </row>
    <row r="1283" spans="1:21" x14ac:dyDescent="0.25">
      <c r="A1283" t="s">
        <v>2723</v>
      </c>
      <c r="B1283" t="s">
        <v>2724</v>
      </c>
      <c r="C1283" t="s">
        <v>37</v>
      </c>
      <c r="D1283" t="s">
        <v>38</v>
      </c>
      <c r="E1283" t="s">
        <v>39</v>
      </c>
      <c r="F1283" t="str">
        <f t="shared" si="22"/>
        <v>2018-05-20</v>
      </c>
      <c r="G1283">
        <v>22.73</v>
      </c>
      <c r="I1283" t="s">
        <v>34</v>
      </c>
      <c r="K1283" t="s">
        <v>34</v>
      </c>
      <c r="L1283">
        <v>0</v>
      </c>
      <c r="M1283">
        <v>1282</v>
      </c>
      <c r="O1283" s="1">
        <v>0</v>
      </c>
      <c r="Q1283" s="1">
        <v>-1.5599999999999999E-2</v>
      </c>
      <c r="R1283" s="1">
        <v>8.8999999999999999E-3</v>
      </c>
      <c r="S1283" s="1">
        <v>-0.1797</v>
      </c>
      <c r="T1283" s="1">
        <v>6.6E-3</v>
      </c>
      <c r="U1283" s="1">
        <v>0</v>
      </c>
    </row>
    <row r="1284" spans="1:21" x14ac:dyDescent="0.25">
      <c r="A1284" t="s">
        <v>2725</v>
      </c>
      <c r="B1284" t="s">
        <v>2726</v>
      </c>
      <c r="C1284" t="s">
        <v>30</v>
      </c>
      <c r="D1284" t="s">
        <v>31</v>
      </c>
      <c r="E1284" t="s">
        <v>31</v>
      </c>
      <c r="F1284" t="str">
        <f t="shared" si="22"/>
        <v>2018-05-20</v>
      </c>
      <c r="G1284">
        <v>12.77</v>
      </c>
      <c r="I1284" t="s">
        <v>34</v>
      </c>
      <c r="K1284" t="s">
        <v>34</v>
      </c>
      <c r="L1284">
        <v>0</v>
      </c>
      <c r="M1284">
        <v>1283</v>
      </c>
      <c r="O1284" s="1">
        <v>0</v>
      </c>
      <c r="Q1284" s="1">
        <v>1.6000000000000001E-3</v>
      </c>
      <c r="R1284" s="1">
        <v>5.9799999999999999E-2</v>
      </c>
      <c r="S1284" s="1">
        <v>8.5900000000000004E-2</v>
      </c>
      <c r="T1284" s="1">
        <v>-2.7400000000000001E-2</v>
      </c>
      <c r="U1284" s="1">
        <v>0</v>
      </c>
    </row>
    <row r="1285" spans="1:21" x14ac:dyDescent="0.25">
      <c r="A1285" t="s">
        <v>2727</v>
      </c>
      <c r="B1285" t="s">
        <v>2728</v>
      </c>
      <c r="C1285" t="s">
        <v>37</v>
      </c>
      <c r="D1285" t="s">
        <v>38</v>
      </c>
      <c r="E1285" t="s">
        <v>39</v>
      </c>
      <c r="F1285" t="str">
        <f t="shared" si="22"/>
        <v>2018-05-20</v>
      </c>
      <c r="G1285">
        <v>21.32</v>
      </c>
      <c r="I1285" t="s">
        <v>34</v>
      </c>
      <c r="K1285" t="s">
        <v>34</v>
      </c>
      <c r="L1285">
        <v>0</v>
      </c>
      <c r="M1285">
        <v>1284</v>
      </c>
      <c r="O1285" s="1">
        <v>0</v>
      </c>
      <c r="Q1285" s="1">
        <v>-0.1361</v>
      </c>
      <c r="R1285" s="1">
        <v>-0.13650000000000001</v>
      </c>
      <c r="S1285" s="1">
        <v>-8.9700000000000002E-2</v>
      </c>
      <c r="T1285" s="1">
        <v>0.11219999999999999</v>
      </c>
      <c r="U1285" s="1">
        <v>0</v>
      </c>
    </row>
    <row r="1286" spans="1:21" x14ac:dyDescent="0.25">
      <c r="A1286" t="s">
        <v>2729</v>
      </c>
      <c r="B1286" t="s">
        <v>2730</v>
      </c>
      <c r="C1286" t="s">
        <v>43</v>
      </c>
      <c r="D1286" t="s">
        <v>44</v>
      </c>
      <c r="E1286" t="s">
        <v>320</v>
      </c>
      <c r="F1286" t="str">
        <f t="shared" si="22"/>
        <v>2018-05-20</v>
      </c>
      <c r="G1286">
        <v>20.11</v>
      </c>
      <c r="I1286" t="s">
        <v>34</v>
      </c>
      <c r="K1286" t="s">
        <v>34</v>
      </c>
      <c r="L1286">
        <v>0</v>
      </c>
      <c r="M1286">
        <v>1285</v>
      </c>
      <c r="O1286" s="1">
        <v>0</v>
      </c>
      <c r="Q1286" s="1">
        <v>3.5000000000000003E-2</v>
      </c>
      <c r="R1286" s="1">
        <v>6.1800000000000001E-2</v>
      </c>
      <c r="S1286" s="1">
        <v>0.40529999999999999</v>
      </c>
      <c r="T1286" s="1">
        <v>0.10920000000000001</v>
      </c>
      <c r="U1286" s="1">
        <v>0</v>
      </c>
    </row>
    <row r="1287" spans="1:21" x14ac:dyDescent="0.25">
      <c r="A1287" t="s">
        <v>2731</v>
      </c>
      <c r="B1287" t="s">
        <v>2732</v>
      </c>
      <c r="C1287" t="s">
        <v>30</v>
      </c>
      <c r="D1287" t="s">
        <v>77</v>
      </c>
      <c r="E1287" t="s">
        <v>78</v>
      </c>
      <c r="F1287" t="str">
        <f t="shared" si="22"/>
        <v>2018-05-20</v>
      </c>
      <c r="G1287">
        <v>14.26</v>
      </c>
      <c r="I1287" t="s">
        <v>34</v>
      </c>
      <c r="K1287" t="s">
        <v>34</v>
      </c>
      <c r="L1287">
        <v>0</v>
      </c>
      <c r="M1287">
        <v>1286</v>
      </c>
      <c r="O1287" s="1">
        <v>0</v>
      </c>
      <c r="Q1287" s="1">
        <v>7.7999999999999996E-3</v>
      </c>
      <c r="R1287" s="1">
        <v>-2.06E-2</v>
      </c>
      <c r="S1287" s="1">
        <v>-8.1799999999999998E-2</v>
      </c>
      <c r="T1287" s="1">
        <v>-4.4200000000000003E-2</v>
      </c>
      <c r="U1287" s="1">
        <v>0</v>
      </c>
    </row>
    <row r="1288" spans="1:21" x14ac:dyDescent="0.25">
      <c r="A1288" t="s">
        <v>2733</v>
      </c>
      <c r="B1288" t="s">
        <v>2734</v>
      </c>
      <c r="C1288" t="s">
        <v>30</v>
      </c>
      <c r="D1288" t="s">
        <v>299</v>
      </c>
      <c r="E1288" t="s">
        <v>2120</v>
      </c>
      <c r="F1288" t="str">
        <f t="shared" si="22"/>
        <v>2018-05-20</v>
      </c>
      <c r="G1288">
        <v>18.149999999999999</v>
      </c>
      <c r="I1288" t="s">
        <v>34</v>
      </c>
      <c r="K1288" t="s">
        <v>34</v>
      </c>
      <c r="L1288">
        <v>0</v>
      </c>
      <c r="M1288">
        <v>1287</v>
      </c>
      <c r="O1288" s="1">
        <v>0</v>
      </c>
      <c r="Q1288" s="1">
        <v>8.3000000000000001E-3</v>
      </c>
      <c r="R1288" s="1">
        <v>2.8299999999999999E-2</v>
      </c>
      <c r="S1288" s="1">
        <v>9.2700000000000005E-2</v>
      </c>
      <c r="T1288" s="1">
        <v>3.8899999999999997E-2</v>
      </c>
      <c r="U1288" s="1">
        <v>0</v>
      </c>
    </row>
    <row r="1289" spans="1:21" x14ac:dyDescent="0.25">
      <c r="A1289" t="s">
        <v>2735</v>
      </c>
      <c r="B1289" t="s">
        <v>2736</v>
      </c>
      <c r="C1289" t="s">
        <v>37</v>
      </c>
      <c r="D1289" t="s">
        <v>38</v>
      </c>
      <c r="E1289" t="s">
        <v>39</v>
      </c>
      <c r="F1289" t="str">
        <f t="shared" si="22"/>
        <v>2018-05-20</v>
      </c>
      <c r="G1289">
        <v>16.64</v>
      </c>
      <c r="I1289" t="s">
        <v>34</v>
      </c>
      <c r="K1289" t="s">
        <v>34</v>
      </c>
      <c r="L1289">
        <v>0</v>
      </c>
      <c r="M1289">
        <v>1288</v>
      </c>
      <c r="O1289" s="1">
        <v>0</v>
      </c>
      <c r="Q1289" s="1">
        <v>8.5000000000000006E-3</v>
      </c>
      <c r="R1289" s="1">
        <v>-2.63E-2</v>
      </c>
      <c r="S1289" s="1">
        <v>1.9599999999999999E-2</v>
      </c>
      <c r="T1289" s="1">
        <v>-0.14050000000000001</v>
      </c>
      <c r="U1289" s="1">
        <v>0</v>
      </c>
    </row>
    <row r="1290" spans="1:21" x14ac:dyDescent="0.25">
      <c r="A1290" t="s">
        <v>2737</v>
      </c>
      <c r="B1290" t="s">
        <v>2738</v>
      </c>
      <c r="C1290" t="s">
        <v>87</v>
      </c>
      <c r="D1290" t="s">
        <v>144</v>
      </c>
      <c r="E1290" t="s">
        <v>145</v>
      </c>
      <c r="F1290" t="str">
        <f t="shared" si="22"/>
        <v>2018-05-20</v>
      </c>
      <c r="G1290">
        <v>10.46</v>
      </c>
      <c r="I1290" t="s">
        <v>34</v>
      </c>
      <c r="K1290" t="s">
        <v>34</v>
      </c>
      <c r="L1290">
        <v>0</v>
      </c>
      <c r="M1290">
        <v>1289</v>
      </c>
      <c r="O1290" s="1">
        <v>0</v>
      </c>
      <c r="Q1290" s="1">
        <v>5.9799999999999999E-2</v>
      </c>
      <c r="R1290" s="1">
        <v>0.1726</v>
      </c>
      <c r="S1290" s="1">
        <v>0.27560000000000001</v>
      </c>
      <c r="T1290" s="1">
        <v>6.6299999999999998E-2</v>
      </c>
      <c r="U1290" s="1">
        <v>0</v>
      </c>
    </row>
    <row r="1291" spans="1:21" x14ac:dyDescent="0.25">
      <c r="A1291" t="s">
        <v>2739</v>
      </c>
      <c r="B1291" t="s">
        <v>2740</v>
      </c>
      <c r="C1291" t="s">
        <v>30</v>
      </c>
      <c r="D1291" t="s">
        <v>299</v>
      </c>
      <c r="E1291" t="s">
        <v>300</v>
      </c>
      <c r="F1291" t="str">
        <f t="shared" si="22"/>
        <v>2018-05-20</v>
      </c>
      <c r="G1291">
        <v>21.89</v>
      </c>
      <c r="I1291" t="s">
        <v>34</v>
      </c>
      <c r="K1291" t="s">
        <v>34</v>
      </c>
      <c r="L1291">
        <v>0</v>
      </c>
      <c r="M1291">
        <v>1290</v>
      </c>
      <c r="O1291" s="1">
        <v>0</v>
      </c>
      <c r="Q1291" s="1">
        <v>1.8E-3</v>
      </c>
      <c r="R1291" s="1">
        <v>2.1899999999999999E-2</v>
      </c>
      <c r="S1291" s="1">
        <v>9.5600000000000004E-2</v>
      </c>
      <c r="T1291" s="1">
        <v>0.21010000000000001</v>
      </c>
      <c r="U1291" s="1">
        <v>0</v>
      </c>
    </row>
    <row r="1292" spans="1:21" x14ac:dyDescent="0.25">
      <c r="A1292" t="s">
        <v>2741</v>
      </c>
      <c r="B1292" t="s">
        <v>2742</v>
      </c>
      <c r="C1292" t="s">
        <v>37</v>
      </c>
      <c r="D1292" t="s">
        <v>38</v>
      </c>
      <c r="E1292" t="s">
        <v>39</v>
      </c>
      <c r="F1292" t="str">
        <f t="shared" si="22"/>
        <v>2018-05-20</v>
      </c>
      <c r="G1292">
        <v>27.21</v>
      </c>
      <c r="I1292" t="s">
        <v>34</v>
      </c>
      <c r="K1292" t="s">
        <v>34</v>
      </c>
      <c r="L1292">
        <v>0</v>
      </c>
      <c r="M1292">
        <v>1291</v>
      </c>
      <c r="O1292" s="1">
        <v>0</v>
      </c>
      <c r="Q1292" s="1">
        <v>7.6300000000000007E-2</v>
      </c>
      <c r="R1292" s="1">
        <v>1.4200000000000001E-2</v>
      </c>
      <c r="S1292" s="1">
        <v>0.1759</v>
      </c>
      <c r="T1292" s="1">
        <v>2.5999999999999999E-3</v>
      </c>
      <c r="U1292" s="1">
        <v>0</v>
      </c>
    </row>
    <row r="1293" spans="1:21" x14ac:dyDescent="0.25">
      <c r="A1293" t="s">
        <v>2743</v>
      </c>
      <c r="B1293" t="s">
        <v>2744</v>
      </c>
      <c r="C1293" t="s">
        <v>23</v>
      </c>
      <c r="D1293" t="s">
        <v>52</v>
      </c>
      <c r="E1293" t="s">
        <v>53</v>
      </c>
      <c r="F1293" t="str">
        <f t="shared" ref="F1293:F1356" si="23">"2018-05-20"</f>
        <v>2018-05-20</v>
      </c>
      <c r="G1293">
        <v>17.52</v>
      </c>
      <c r="I1293" t="s">
        <v>34</v>
      </c>
      <c r="K1293" t="s">
        <v>34</v>
      </c>
      <c r="L1293">
        <v>0</v>
      </c>
      <c r="M1293">
        <v>1292</v>
      </c>
      <c r="O1293" s="1">
        <v>0</v>
      </c>
      <c r="Q1293" s="1">
        <v>3.3999999999999998E-3</v>
      </c>
      <c r="R1293" s="1">
        <v>4.9099999999999998E-2</v>
      </c>
      <c r="S1293" s="1">
        <v>0.1603</v>
      </c>
      <c r="T1293" s="1">
        <v>6.1800000000000001E-2</v>
      </c>
      <c r="U1293" s="1">
        <v>0</v>
      </c>
    </row>
    <row r="1294" spans="1:21" x14ac:dyDescent="0.25">
      <c r="A1294" t="s">
        <v>2745</v>
      </c>
      <c r="B1294" t="s">
        <v>2746</v>
      </c>
      <c r="C1294" t="s">
        <v>37</v>
      </c>
      <c r="D1294" t="s">
        <v>38</v>
      </c>
      <c r="E1294" t="s">
        <v>97</v>
      </c>
      <c r="F1294" t="str">
        <f t="shared" si="23"/>
        <v>2018-05-20</v>
      </c>
      <c r="G1294">
        <v>24.2</v>
      </c>
      <c r="I1294" t="s">
        <v>34</v>
      </c>
      <c r="K1294" t="s">
        <v>34</v>
      </c>
      <c r="L1294">
        <v>0</v>
      </c>
      <c r="M1294">
        <v>1293</v>
      </c>
      <c r="O1294" s="1">
        <v>0</v>
      </c>
      <c r="Q1294" s="1">
        <v>5.7999999999999996E-3</v>
      </c>
      <c r="R1294" s="1">
        <v>-3.2000000000000001E-2</v>
      </c>
      <c r="S1294" s="1">
        <v>0.20039999999999999</v>
      </c>
      <c r="T1294" s="1">
        <v>0.39</v>
      </c>
      <c r="U1294" s="1">
        <v>0</v>
      </c>
    </row>
    <row r="1295" spans="1:21" x14ac:dyDescent="0.25">
      <c r="A1295" t="s">
        <v>2747</v>
      </c>
      <c r="B1295" t="s">
        <v>2748</v>
      </c>
      <c r="C1295" t="s">
        <v>87</v>
      </c>
      <c r="D1295" t="s">
        <v>144</v>
      </c>
      <c r="E1295" t="s">
        <v>145</v>
      </c>
      <c r="F1295" t="str">
        <f t="shared" si="23"/>
        <v>2018-05-20</v>
      </c>
      <c r="G1295">
        <v>35.96</v>
      </c>
      <c r="I1295" t="s">
        <v>34</v>
      </c>
      <c r="K1295" t="s">
        <v>34</v>
      </c>
      <c r="L1295">
        <v>0</v>
      </c>
      <c r="M1295">
        <v>1294</v>
      </c>
      <c r="O1295" s="1">
        <v>0</v>
      </c>
      <c r="Q1295" s="1">
        <v>2E-3</v>
      </c>
      <c r="R1295" s="1">
        <v>0.09</v>
      </c>
      <c r="S1295" s="1">
        <v>0.20669999999999999</v>
      </c>
      <c r="T1295" s="1">
        <v>0.4259</v>
      </c>
      <c r="U1295" s="1">
        <v>0</v>
      </c>
    </row>
    <row r="1296" spans="1:21" x14ac:dyDescent="0.25">
      <c r="A1296" t="s">
        <v>2749</v>
      </c>
      <c r="B1296" t="s">
        <v>2750</v>
      </c>
      <c r="C1296" t="s">
        <v>87</v>
      </c>
      <c r="D1296" t="s">
        <v>88</v>
      </c>
      <c r="E1296" t="s">
        <v>89</v>
      </c>
      <c r="F1296" t="str">
        <f t="shared" si="23"/>
        <v>2018-05-20</v>
      </c>
      <c r="G1296">
        <v>7.41</v>
      </c>
      <c r="I1296" t="s">
        <v>34</v>
      </c>
      <c r="K1296" t="s">
        <v>34</v>
      </c>
      <c r="L1296">
        <v>0</v>
      </c>
      <c r="M1296">
        <v>1295</v>
      </c>
      <c r="O1296" s="1">
        <v>0</v>
      </c>
      <c r="Q1296" s="1">
        <v>5.7099999999999998E-2</v>
      </c>
      <c r="R1296" s="1">
        <v>0.1913</v>
      </c>
      <c r="S1296" s="1">
        <v>0.1578</v>
      </c>
      <c r="T1296" s="1">
        <v>0</v>
      </c>
      <c r="U1296" s="1">
        <v>0</v>
      </c>
    </row>
    <row r="1297" spans="1:21" x14ac:dyDescent="0.25">
      <c r="A1297" t="s">
        <v>2751</v>
      </c>
      <c r="B1297" t="s">
        <v>2752</v>
      </c>
      <c r="C1297" t="s">
        <v>109</v>
      </c>
      <c r="D1297" t="s">
        <v>110</v>
      </c>
      <c r="E1297" t="s">
        <v>251</v>
      </c>
      <c r="F1297" t="str">
        <f t="shared" si="23"/>
        <v>2018-05-20</v>
      </c>
      <c r="G1297">
        <v>31</v>
      </c>
      <c r="I1297" t="s">
        <v>34</v>
      </c>
      <c r="K1297" t="s">
        <v>34</v>
      </c>
      <c r="L1297">
        <v>0</v>
      </c>
      <c r="M1297">
        <v>1296</v>
      </c>
      <c r="O1297" s="1">
        <v>0</v>
      </c>
      <c r="Q1297" s="1">
        <v>-2.8999999999999998E-3</v>
      </c>
      <c r="R1297" s="1">
        <v>3.61E-2</v>
      </c>
      <c r="S1297" s="1">
        <v>-8.2799999999999999E-2</v>
      </c>
      <c r="T1297" s="1">
        <v>1.9699999999999999E-2</v>
      </c>
      <c r="U1297" s="1">
        <v>0</v>
      </c>
    </row>
    <row r="1298" spans="1:21" x14ac:dyDescent="0.25">
      <c r="A1298" t="s">
        <v>2753</v>
      </c>
      <c r="B1298" t="s">
        <v>2754</v>
      </c>
      <c r="C1298" t="s">
        <v>109</v>
      </c>
      <c r="D1298" t="s">
        <v>110</v>
      </c>
      <c r="E1298" t="s">
        <v>732</v>
      </c>
      <c r="F1298" t="str">
        <f t="shared" si="23"/>
        <v>2018-05-20</v>
      </c>
      <c r="G1298">
        <v>26.77</v>
      </c>
      <c r="I1298" t="s">
        <v>34</v>
      </c>
      <c r="K1298" t="s">
        <v>34</v>
      </c>
      <c r="L1298">
        <v>0</v>
      </c>
      <c r="M1298">
        <v>1297</v>
      </c>
      <c r="O1298" s="1">
        <v>0</v>
      </c>
      <c r="Q1298" s="1">
        <v>1.44E-2</v>
      </c>
      <c r="R1298" s="1">
        <v>2.18E-2</v>
      </c>
      <c r="S1298" s="1">
        <v>-5.4699999999999999E-2</v>
      </c>
      <c r="T1298" s="1">
        <v>2.7199999999999998E-2</v>
      </c>
      <c r="U1298" s="1">
        <v>0</v>
      </c>
    </row>
    <row r="1299" spans="1:21" x14ac:dyDescent="0.25">
      <c r="A1299" t="s">
        <v>2755</v>
      </c>
      <c r="B1299" t="s">
        <v>2756</v>
      </c>
      <c r="C1299" t="s">
        <v>30</v>
      </c>
      <c r="D1299" t="s">
        <v>299</v>
      </c>
      <c r="E1299" t="s">
        <v>2120</v>
      </c>
      <c r="F1299" t="str">
        <f t="shared" si="23"/>
        <v>2018-05-20</v>
      </c>
      <c r="G1299">
        <v>20.41</v>
      </c>
      <c r="I1299" t="s">
        <v>34</v>
      </c>
      <c r="K1299" t="s">
        <v>34</v>
      </c>
      <c r="L1299">
        <v>0</v>
      </c>
      <c r="M1299">
        <v>1298</v>
      </c>
      <c r="O1299" s="1">
        <v>0</v>
      </c>
      <c r="Q1299" s="1">
        <v>3.8999999999999998E-3</v>
      </c>
      <c r="R1299" s="1">
        <v>1.6400000000000001E-2</v>
      </c>
      <c r="S1299" s="1">
        <v>3.1899999999999998E-2</v>
      </c>
      <c r="T1299" s="1">
        <v>8.9700000000000002E-2</v>
      </c>
      <c r="U1299" s="1">
        <v>0</v>
      </c>
    </row>
    <row r="1300" spans="1:21" x14ac:dyDescent="0.25">
      <c r="A1300" t="s">
        <v>2757</v>
      </c>
      <c r="B1300" t="s">
        <v>2758</v>
      </c>
      <c r="C1300" t="s">
        <v>30</v>
      </c>
      <c r="D1300" t="s">
        <v>31</v>
      </c>
      <c r="E1300" t="s">
        <v>31</v>
      </c>
      <c r="F1300" t="str">
        <f t="shared" si="23"/>
        <v>2018-05-20</v>
      </c>
      <c r="G1300">
        <v>22.23</v>
      </c>
      <c r="I1300" t="s">
        <v>34</v>
      </c>
      <c r="K1300" t="s">
        <v>34</v>
      </c>
      <c r="L1300">
        <v>0</v>
      </c>
      <c r="M1300">
        <v>1299</v>
      </c>
      <c r="O1300" s="1">
        <v>0</v>
      </c>
      <c r="Q1300" s="1">
        <v>1.9300000000000001E-2</v>
      </c>
      <c r="R1300" s="1">
        <v>4.9599999999999998E-2</v>
      </c>
      <c r="S1300" s="1">
        <v>-3.1E-2</v>
      </c>
      <c r="T1300" s="1">
        <v>-4.1799999999999997E-2</v>
      </c>
      <c r="U1300" s="1">
        <v>0</v>
      </c>
    </row>
    <row r="1301" spans="1:21" x14ac:dyDescent="0.25">
      <c r="A1301" t="s">
        <v>2759</v>
      </c>
      <c r="B1301" t="s">
        <v>2760</v>
      </c>
      <c r="C1301" t="s">
        <v>30</v>
      </c>
      <c r="D1301" t="s">
        <v>299</v>
      </c>
      <c r="E1301" t="s">
        <v>2120</v>
      </c>
      <c r="F1301" t="str">
        <f t="shared" si="23"/>
        <v>2018-05-20</v>
      </c>
      <c r="G1301">
        <v>20.37</v>
      </c>
      <c r="I1301" t="s">
        <v>34</v>
      </c>
      <c r="K1301" t="s">
        <v>34</v>
      </c>
      <c r="L1301">
        <v>0</v>
      </c>
      <c r="M1301">
        <v>1300</v>
      </c>
      <c r="O1301" s="1">
        <v>0</v>
      </c>
      <c r="Q1301" s="1">
        <v>9.4000000000000004E-3</v>
      </c>
      <c r="R1301" s="1">
        <v>-3.8999999999999998E-3</v>
      </c>
      <c r="S1301" s="1">
        <v>2.3599999999999999E-2</v>
      </c>
      <c r="T1301" s="1">
        <v>2.41E-2</v>
      </c>
      <c r="U1301" s="1">
        <v>-9.6299999999999997E-2</v>
      </c>
    </row>
    <row r="1302" spans="1:21" x14ac:dyDescent="0.25">
      <c r="A1302" t="s">
        <v>2761</v>
      </c>
      <c r="B1302" t="s">
        <v>2762</v>
      </c>
      <c r="C1302" t="s">
        <v>30</v>
      </c>
      <c r="D1302" t="s">
        <v>31</v>
      </c>
      <c r="E1302" t="s">
        <v>31</v>
      </c>
      <c r="F1302" t="str">
        <f t="shared" si="23"/>
        <v>2018-05-20</v>
      </c>
      <c r="G1302">
        <v>47</v>
      </c>
      <c r="I1302" t="s">
        <v>34</v>
      </c>
      <c r="K1302" t="s">
        <v>34</v>
      </c>
      <c r="L1302">
        <v>0</v>
      </c>
      <c r="M1302">
        <v>1301</v>
      </c>
      <c r="O1302" s="1">
        <v>0</v>
      </c>
      <c r="Q1302" s="1">
        <v>1.95E-2</v>
      </c>
      <c r="R1302" s="1">
        <v>1.6199999999999999E-2</v>
      </c>
      <c r="S1302" s="1">
        <v>0</v>
      </c>
      <c r="T1302" s="1">
        <v>0</v>
      </c>
      <c r="U1302" s="1">
        <v>0</v>
      </c>
    </row>
    <row r="1303" spans="1:21" x14ac:dyDescent="0.25">
      <c r="A1303" t="s">
        <v>2763</v>
      </c>
      <c r="B1303" t="s">
        <v>2764</v>
      </c>
      <c r="C1303" t="s">
        <v>23</v>
      </c>
      <c r="D1303" t="s">
        <v>52</v>
      </c>
      <c r="E1303" t="s">
        <v>53</v>
      </c>
      <c r="F1303" t="str">
        <f t="shared" si="23"/>
        <v>2018-05-20</v>
      </c>
      <c r="G1303">
        <v>24.49</v>
      </c>
      <c r="I1303" t="s">
        <v>34</v>
      </c>
      <c r="K1303" t="s">
        <v>34</v>
      </c>
      <c r="L1303">
        <v>0</v>
      </c>
      <c r="M1303">
        <v>1302</v>
      </c>
      <c r="O1303" s="1">
        <v>0</v>
      </c>
      <c r="Q1303" s="1">
        <v>2.8999999999999998E-3</v>
      </c>
      <c r="R1303" s="1">
        <v>-5.11E-2</v>
      </c>
      <c r="S1303" s="1">
        <v>-0.12570000000000001</v>
      </c>
      <c r="T1303" s="1">
        <v>-0.15759999999999999</v>
      </c>
      <c r="U1303" s="1">
        <v>-2.0400000000000001E-2</v>
      </c>
    </row>
    <row r="1304" spans="1:21" x14ac:dyDescent="0.25">
      <c r="A1304" t="s">
        <v>2765</v>
      </c>
      <c r="B1304" t="s">
        <v>2766</v>
      </c>
      <c r="C1304" t="s">
        <v>109</v>
      </c>
      <c r="D1304" t="s">
        <v>110</v>
      </c>
      <c r="E1304" t="s">
        <v>111</v>
      </c>
      <c r="F1304" t="str">
        <f t="shared" si="23"/>
        <v>2018-05-20</v>
      </c>
      <c r="G1304">
        <v>22.44</v>
      </c>
      <c r="I1304" t="s">
        <v>34</v>
      </c>
      <c r="K1304" t="s">
        <v>34</v>
      </c>
      <c r="L1304">
        <v>0</v>
      </c>
      <c r="M1304">
        <v>1303</v>
      </c>
      <c r="O1304" s="1">
        <v>0</v>
      </c>
      <c r="Q1304" s="1">
        <v>-6.6E-3</v>
      </c>
      <c r="R1304" s="1">
        <v>-1.23E-2</v>
      </c>
      <c r="S1304" s="1">
        <v>-7.2700000000000001E-2</v>
      </c>
      <c r="T1304" s="1">
        <v>8.4099999999999994E-2</v>
      </c>
      <c r="U1304" s="1">
        <v>0</v>
      </c>
    </row>
    <row r="1305" spans="1:21" x14ac:dyDescent="0.25">
      <c r="A1305" t="s">
        <v>2767</v>
      </c>
      <c r="B1305" t="s">
        <v>2768</v>
      </c>
      <c r="C1305" t="s">
        <v>87</v>
      </c>
      <c r="D1305" t="s">
        <v>88</v>
      </c>
      <c r="E1305" t="s">
        <v>89</v>
      </c>
      <c r="F1305" t="str">
        <f t="shared" si="23"/>
        <v>2018-05-20</v>
      </c>
      <c r="G1305">
        <v>52.63</v>
      </c>
      <c r="I1305" t="s">
        <v>34</v>
      </c>
      <c r="K1305" t="s">
        <v>34</v>
      </c>
      <c r="L1305">
        <v>0</v>
      </c>
      <c r="M1305">
        <v>1304</v>
      </c>
      <c r="O1305" s="1">
        <v>0</v>
      </c>
      <c r="Q1305" s="1">
        <v>4.0000000000000002E-4</v>
      </c>
      <c r="R1305" s="1">
        <v>4.9500000000000002E-2</v>
      </c>
      <c r="S1305" s="1">
        <v>0.1139</v>
      </c>
      <c r="T1305" s="1">
        <v>0.54659999999999997</v>
      </c>
      <c r="U1305" s="1">
        <v>0</v>
      </c>
    </row>
    <row r="1306" spans="1:21" x14ac:dyDescent="0.25">
      <c r="A1306" t="s">
        <v>2769</v>
      </c>
      <c r="B1306" t="s">
        <v>2770</v>
      </c>
      <c r="C1306" t="s">
        <v>87</v>
      </c>
      <c r="D1306" t="s">
        <v>88</v>
      </c>
      <c r="E1306" t="s">
        <v>89</v>
      </c>
      <c r="F1306" t="str">
        <f t="shared" si="23"/>
        <v>2018-05-20</v>
      </c>
      <c r="G1306">
        <v>37.020000000000003</v>
      </c>
      <c r="I1306" t="s">
        <v>34</v>
      </c>
      <c r="K1306" t="s">
        <v>34</v>
      </c>
      <c r="L1306">
        <v>0</v>
      </c>
      <c r="M1306">
        <v>1305</v>
      </c>
      <c r="O1306" s="1">
        <v>0</v>
      </c>
      <c r="Q1306" s="1">
        <v>2.4299999999999999E-2</v>
      </c>
      <c r="R1306" s="1">
        <v>0.11409999999999999</v>
      </c>
      <c r="S1306" s="1">
        <v>0.28989999999999999</v>
      </c>
      <c r="T1306" s="1">
        <v>0.2792</v>
      </c>
      <c r="U1306" s="1">
        <v>-4.1700000000000001E-2</v>
      </c>
    </row>
    <row r="1307" spans="1:21" x14ac:dyDescent="0.25">
      <c r="A1307" t="s">
        <v>2771</v>
      </c>
      <c r="B1307" t="s">
        <v>2772</v>
      </c>
      <c r="C1307" t="s">
        <v>30</v>
      </c>
      <c r="D1307" t="s">
        <v>299</v>
      </c>
      <c r="E1307" t="s">
        <v>300</v>
      </c>
      <c r="F1307" t="str">
        <f t="shared" si="23"/>
        <v>2018-05-20</v>
      </c>
      <c r="G1307">
        <v>18.399999999999999</v>
      </c>
      <c r="I1307" t="s">
        <v>34</v>
      </c>
      <c r="K1307" t="s">
        <v>34</v>
      </c>
      <c r="L1307">
        <v>0</v>
      </c>
      <c r="M1307">
        <v>1306</v>
      </c>
      <c r="O1307" s="1">
        <v>0</v>
      </c>
      <c r="Q1307" s="1">
        <v>2.2000000000000001E-3</v>
      </c>
      <c r="R1307" s="1">
        <v>0</v>
      </c>
      <c r="S1307" s="1">
        <v>5.57E-2</v>
      </c>
      <c r="T1307" s="1">
        <v>6.1699999999999998E-2</v>
      </c>
      <c r="U1307" s="1">
        <v>0</v>
      </c>
    </row>
    <row r="1308" spans="1:21" x14ac:dyDescent="0.25">
      <c r="A1308" t="s">
        <v>2773</v>
      </c>
      <c r="B1308" t="s">
        <v>2774</v>
      </c>
      <c r="C1308" t="s">
        <v>43</v>
      </c>
      <c r="D1308" t="s">
        <v>169</v>
      </c>
      <c r="E1308" t="s">
        <v>170</v>
      </c>
      <c r="F1308" t="str">
        <f t="shared" si="23"/>
        <v>2018-05-20</v>
      </c>
      <c r="G1308">
        <v>29.65</v>
      </c>
      <c r="I1308" t="s">
        <v>34</v>
      </c>
      <c r="K1308" t="s">
        <v>34</v>
      </c>
      <c r="L1308">
        <v>0</v>
      </c>
      <c r="M1308">
        <v>1307</v>
      </c>
      <c r="O1308" s="1">
        <v>0</v>
      </c>
      <c r="Q1308" s="1">
        <v>8.5000000000000006E-3</v>
      </c>
      <c r="R1308" s="1">
        <v>5.0299999999999997E-2</v>
      </c>
      <c r="S1308" s="1">
        <v>0.1026</v>
      </c>
      <c r="T1308" s="1">
        <v>8.4900000000000003E-2</v>
      </c>
      <c r="U1308" s="1">
        <v>0.59840000000000004</v>
      </c>
    </row>
    <row r="1309" spans="1:21" x14ac:dyDescent="0.25">
      <c r="A1309" t="s">
        <v>2775</v>
      </c>
      <c r="B1309" t="s">
        <v>2776</v>
      </c>
      <c r="C1309" t="s">
        <v>87</v>
      </c>
      <c r="D1309" t="s">
        <v>144</v>
      </c>
      <c r="E1309" t="s">
        <v>145</v>
      </c>
      <c r="F1309" t="str">
        <f t="shared" si="23"/>
        <v>2018-05-20</v>
      </c>
      <c r="G1309">
        <v>37.57</v>
      </c>
      <c r="I1309" t="s">
        <v>34</v>
      </c>
      <c r="K1309" t="s">
        <v>34</v>
      </c>
      <c r="L1309">
        <v>0</v>
      </c>
      <c r="M1309">
        <v>1308</v>
      </c>
      <c r="O1309" s="1">
        <v>0</v>
      </c>
      <c r="Q1309" s="1">
        <v>-2.3099999999999999E-2</v>
      </c>
      <c r="R1309" s="1">
        <v>0.1235</v>
      </c>
      <c r="S1309" s="1">
        <v>0.2646</v>
      </c>
      <c r="T1309" s="1">
        <v>0.3982</v>
      </c>
      <c r="U1309" s="1">
        <v>0</v>
      </c>
    </row>
    <row r="1310" spans="1:21" x14ac:dyDescent="0.25">
      <c r="A1310" t="s">
        <v>2777</v>
      </c>
      <c r="B1310" t="s">
        <v>2778</v>
      </c>
      <c r="C1310" t="s">
        <v>37</v>
      </c>
      <c r="D1310" t="s">
        <v>66</v>
      </c>
      <c r="E1310" t="s">
        <v>72</v>
      </c>
      <c r="F1310" t="str">
        <f t="shared" si="23"/>
        <v>2018-05-20</v>
      </c>
      <c r="G1310">
        <v>19.5</v>
      </c>
      <c r="I1310" t="s">
        <v>34</v>
      </c>
      <c r="K1310" t="s">
        <v>34</v>
      </c>
      <c r="L1310">
        <v>0</v>
      </c>
      <c r="M1310">
        <v>1309</v>
      </c>
      <c r="O1310" s="1">
        <v>0</v>
      </c>
      <c r="Q1310" s="1">
        <v>-9.1000000000000004E-3</v>
      </c>
      <c r="R1310" s="1">
        <v>8.3000000000000001E-3</v>
      </c>
      <c r="S1310" s="1">
        <v>3.1199999999999999E-2</v>
      </c>
      <c r="T1310" s="1">
        <v>0.1011</v>
      </c>
      <c r="U1310" s="1">
        <v>0</v>
      </c>
    </row>
    <row r="1311" spans="1:21" x14ac:dyDescent="0.25">
      <c r="A1311" t="s">
        <v>2779</v>
      </c>
      <c r="B1311" t="s">
        <v>2780</v>
      </c>
      <c r="C1311" t="s">
        <v>37</v>
      </c>
      <c r="D1311" t="s">
        <v>38</v>
      </c>
      <c r="E1311" t="s">
        <v>39</v>
      </c>
      <c r="F1311" t="str">
        <f t="shared" si="23"/>
        <v>2018-05-20</v>
      </c>
      <c r="G1311">
        <v>23.32</v>
      </c>
      <c r="I1311" t="s">
        <v>34</v>
      </c>
      <c r="K1311" t="s">
        <v>34</v>
      </c>
      <c r="L1311">
        <v>0</v>
      </c>
      <c r="M1311">
        <v>1310</v>
      </c>
      <c r="O1311" s="1">
        <v>0</v>
      </c>
      <c r="Q1311" s="1">
        <v>-2.3E-2</v>
      </c>
      <c r="R1311" s="1">
        <v>1.2200000000000001E-2</v>
      </c>
      <c r="S1311" s="1">
        <v>0.12709999999999999</v>
      </c>
      <c r="T1311" s="1">
        <v>-0.14949999999999999</v>
      </c>
      <c r="U1311" s="1">
        <v>0</v>
      </c>
    </row>
    <row r="1312" spans="1:21" x14ac:dyDescent="0.25">
      <c r="A1312" t="s">
        <v>2781</v>
      </c>
      <c r="B1312" t="s">
        <v>2782</v>
      </c>
      <c r="C1312" t="s">
        <v>87</v>
      </c>
      <c r="D1312" t="s">
        <v>144</v>
      </c>
      <c r="E1312" t="s">
        <v>145</v>
      </c>
      <c r="F1312" t="str">
        <f t="shared" si="23"/>
        <v>2018-05-20</v>
      </c>
      <c r="G1312">
        <v>23.08</v>
      </c>
      <c r="I1312" t="s">
        <v>34</v>
      </c>
      <c r="K1312" t="s">
        <v>34</v>
      </c>
      <c r="L1312">
        <v>0</v>
      </c>
      <c r="M1312">
        <v>1311</v>
      </c>
      <c r="O1312" s="1">
        <v>0</v>
      </c>
      <c r="Q1312" s="1">
        <v>1.3599999999999999E-2</v>
      </c>
      <c r="R1312" s="1">
        <v>4.53E-2</v>
      </c>
      <c r="S1312" s="1">
        <v>0.05</v>
      </c>
      <c r="T1312" s="1">
        <v>0.4194</v>
      </c>
      <c r="U1312" s="1">
        <v>0</v>
      </c>
    </row>
    <row r="1313" spans="1:21" x14ac:dyDescent="0.25">
      <c r="A1313" t="s">
        <v>2783</v>
      </c>
      <c r="B1313" t="s">
        <v>2784</v>
      </c>
      <c r="C1313" t="s">
        <v>100</v>
      </c>
      <c r="D1313" t="s">
        <v>199</v>
      </c>
      <c r="E1313" t="s">
        <v>200</v>
      </c>
      <c r="F1313" t="str">
        <f t="shared" si="23"/>
        <v>2018-05-20</v>
      </c>
      <c r="G1313">
        <v>16.04</v>
      </c>
      <c r="I1313" t="s">
        <v>34</v>
      </c>
      <c r="K1313" t="s">
        <v>34</v>
      </c>
      <c r="L1313">
        <v>0</v>
      </c>
      <c r="M1313">
        <v>1312</v>
      </c>
      <c r="O1313" s="1">
        <v>0</v>
      </c>
      <c r="Q1313" s="1">
        <v>2.8199999999999999E-2</v>
      </c>
      <c r="R1313" s="1">
        <v>0.14979999999999999</v>
      </c>
      <c r="S1313" s="1">
        <v>0.1108</v>
      </c>
      <c r="T1313" s="1">
        <v>0.124</v>
      </c>
      <c r="U1313" s="1">
        <v>0</v>
      </c>
    </row>
    <row r="1314" spans="1:21" x14ac:dyDescent="0.25">
      <c r="A1314" t="s">
        <v>2785</v>
      </c>
      <c r="B1314" t="s">
        <v>2786</v>
      </c>
      <c r="C1314" t="s">
        <v>37</v>
      </c>
      <c r="D1314" t="s">
        <v>38</v>
      </c>
      <c r="E1314" t="s">
        <v>39</v>
      </c>
      <c r="F1314" t="str">
        <f t="shared" si="23"/>
        <v>2018-05-20</v>
      </c>
      <c r="G1314">
        <v>14.96</v>
      </c>
      <c r="I1314" t="s">
        <v>34</v>
      </c>
      <c r="K1314" t="s">
        <v>34</v>
      </c>
      <c r="L1314">
        <v>0</v>
      </c>
      <c r="M1314">
        <v>1313</v>
      </c>
      <c r="O1314" s="1">
        <v>0</v>
      </c>
      <c r="Q1314" s="1">
        <v>3.1E-2</v>
      </c>
      <c r="R1314" s="1">
        <v>-2.5999999999999999E-2</v>
      </c>
      <c r="S1314" s="1">
        <v>-0.2402</v>
      </c>
      <c r="T1314" s="1">
        <v>-7.7100000000000002E-2</v>
      </c>
      <c r="U1314" s="1">
        <v>0</v>
      </c>
    </row>
    <row r="1315" spans="1:21" x14ac:dyDescent="0.25">
      <c r="A1315" t="s">
        <v>2787</v>
      </c>
      <c r="B1315" t="s">
        <v>2788</v>
      </c>
      <c r="C1315" t="s">
        <v>37</v>
      </c>
      <c r="D1315" t="s">
        <v>38</v>
      </c>
      <c r="E1315" t="s">
        <v>39</v>
      </c>
      <c r="F1315" t="str">
        <f t="shared" si="23"/>
        <v>2018-05-20</v>
      </c>
      <c r="G1315">
        <v>19.16</v>
      </c>
      <c r="I1315" t="s">
        <v>34</v>
      </c>
      <c r="K1315" t="s">
        <v>34</v>
      </c>
      <c r="L1315">
        <v>0</v>
      </c>
      <c r="M1315">
        <v>1314</v>
      </c>
      <c r="O1315" s="1">
        <v>0</v>
      </c>
      <c r="Q1315" s="1">
        <v>7.9000000000000008E-3</v>
      </c>
      <c r="R1315" s="1">
        <v>0.1605</v>
      </c>
      <c r="S1315" s="1">
        <v>0.1371</v>
      </c>
      <c r="T1315" s="1">
        <v>7.3999999999999996E-2</v>
      </c>
      <c r="U1315" s="1">
        <v>0</v>
      </c>
    </row>
    <row r="1316" spans="1:21" x14ac:dyDescent="0.25">
      <c r="A1316" t="s">
        <v>2789</v>
      </c>
      <c r="B1316" t="s">
        <v>2790</v>
      </c>
      <c r="C1316" t="s">
        <v>109</v>
      </c>
      <c r="D1316" t="s">
        <v>110</v>
      </c>
      <c r="E1316" t="s">
        <v>251</v>
      </c>
      <c r="F1316" t="str">
        <f t="shared" si="23"/>
        <v>2018-05-20</v>
      </c>
      <c r="G1316">
        <v>13.39</v>
      </c>
      <c r="I1316" t="s">
        <v>34</v>
      </c>
      <c r="K1316" t="s">
        <v>34</v>
      </c>
      <c r="L1316">
        <v>0</v>
      </c>
      <c r="M1316">
        <v>1315</v>
      </c>
      <c r="O1316" s="1">
        <v>0</v>
      </c>
      <c r="Q1316" s="1">
        <v>6.0000000000000001E-3</v>
      </c>
      <c r="R1316" s="1">
        <v>2.1399999999999999E-2</v>
      </c>
      <c r="S1316" s="1">
        <v>-0.1525</v>
      </c>
      <c r="T1316" s="1">
        <v>-0.10730000000000001</v>
      </c>
      <c r="U1316" s="1">
        <v>-2.2599999999999999E-2</v>
      </c>
    </row>
    <row r="1317" spans="1:21" x14ac:dyDescent="0.25">
      <c r="A1317" t="s">
        <v>2791</v>
      </c>
      <c r="B1317" t="s">
        <v>2792</v>
      </c>
      <c r="C1317" t="s">
        <v>30</v>
      </c>
      <c r="D1317" t="s">
        <v>31</v>
      </c>
      <c r="E1317" t="s">
        <v>31</v>
      </c>
      <c r="F1317" t="str">
        <f t="shared" si="23"/>
        <v>2018-05-20</v>
      </c>
      <c r="G1317">
        <v>32.96</v>
      </c>
      <c r="I1317" t="s">
        <v>34</v>
      </c>
      <c r="K1317" t="s">
        <v>34</v>
      </c>
      <c r="L1317">
        <v>0</v>
      </c>
      <c r="M1317">
        <v>1316</v>
      </c>
      <c r="O1317" s="1">
        <v>0</v>
      </c>
      <c r="Q1317" s="1">
        <v>1.8200000000000001E-2</v>
      </c>
      <c r="R1317" s="1">
        <v>3.7000000000000002E-3</v>
      </c>
      <c r="S1317" s="1">
        <v>-1.52E-2</v>
      </c>
      <c r="T1317" s="1">
        <v>-1.55E-2</v>
      </c>
      <c r="U1317" s="1">
        <v>4.1700000000000001E-2</v>
      </c>
    </row>
    <row r="1318" spans="1:21" x14ac:dyDescent="0.25">
      <c r="A1318" t="s">
        <v>2793</v>
      </c>
      <c r="B1318" t="s">
        <v>2794</v>
      </c>
      <c r="C1318" t="s">
        <v>23</v>
      </c>
      <c r="D1318" t="s">
        <v>52</v>
      </c>
      <c r="E1318" t="s">
        <v>56</v>
      </c>
      <c r="F1318" t="str">
        <f t="shared" si="23"/>
        <v>2018-05-20</v>
      </c>
      <c r="G1318">
        <v>14.71</v>
      </c>
      <c r="I1318" t="s">
        <v>34</v>
      </c>
      <c r="K1318" t="s">
        <v>34</v>
      </c>
      <c r="L1318">
        <v>0</v>
      </c>
      <c r="M1318">
        <v>1317</v>
      </c>
      <c r="O1318" s="1">
        <v>0</v>
      </c>
      <c r="Q1318" s="1">
        <v>2.9399999999999999E-2</v>
      </c>
      <c r="R1318" s="1">
        <v>1.4500000000000001E-2</v>
      </c>
      <c r="S1318" s="1">
        <v>5.6000000000000001E-2</v>
      </c>
      <c r="T1318" s="1">
        <v>7.3700000000000002E-2</v>
      </c>
      <c r="U1318" s="1">
        <v>-7.4300000000000005E-2</v>
      </c>
    </row>
    <row r="1319" spans="1:21" x14ac:dyDescent="0.25">
      <c r="A1319" t="s">
        <v>2795</v>
      </c>
      <c r="B1319" t="s">
        <v>2796</v>
      </c>
      <c r="C1319" t="s">
        <v>23</v>
      </c>
      <c r="D1319" t="s">
        <v>24</v>
      </c>
      <c r="E1319" t="s">
        <v>25</v>
      </c>
      <c r="F1319" t="str">
        <f t="shared" si="23"/>
        <v>2018-05-20</v>
      </c>
      <c r="G1319">
        <v>23.03</v>
      </c>
      <c r="I1319" t="s">
        <v>34</v>
      </c>
      <c r="K1319" t="s">
        <v>34</v>
      </c>
      <c r="L1319">
        <v>0</v>
      </c>
      <c r="M1319">
        <v>1318</v>
      </c>
      <c r="O1319" s="1">
        <v>0</v>
      </c>
      <c r="Q1319" s="1">
        <v>5.7000000000000002E-3</v>
      </c>
      <c r="R1319" s="1">
        <v>-8.9999999999999998E-4</v>
      </c>
      <c r="S1319" s="1">
        <v>3.0000000000000001E-3</v>
      </c>
      <c r="T1319" s="1">
        <v>0.16020000000000001</v>
      </c>
      <c r="U1319" s="1">
        <v>0</v>
      </c>
    </row>
    <row r="1320" spans="1:21" x14ac:dyDescent="0.25">
      <c r="A1320" t="s">
        <v>2797</v>
      </c>
      <c r="B1320" t="s">
        <v>2798</v>
      </c>
      <c r="C1320" t="s">
        <v>114</v>
      </c>
      <c r="D1320" t="s">
        <v>809</v>
      </c>
      <c r="E1320" t="s">
        <v>1529</v>
      </c>
      <c r="F1320" t="str">
        <f t="shared" si="23"/>
        <v>2018-05-20</v>
      </c>
      <c r="G1320">
        <v>27.83</v>
      </c>
      <c r="I1320" t="s">
        <v>34</v>
      </c>
      <c r="K1320" t="s">
        <v>34</v>
      </c>
      <c r="L1320">
        <v>0</v>
      </c>
      <c r="M1320">
        <v>1319</v>
      </c>
      <c r="O1320" s="1">
        <v>0</v>
      </c>
      <c r="Q1320" s="1">
        <v>-1.4500000000000001E-2</v>
      </c>
      <c r="R1320" s="1">
        <v>0.1128</v>
      </c>
      <c r="S1320" s="1">
        <v>0.1812</v>
      </c>
      <c r="T1320" s="1">
        <v>0.12130000000000001</v>
      </c>
      <c r="U1320" s="1">
        <v>0</v>
      </c>
    </row>
    <row r="1321" spans="1:21" x14ac:dyDescent="0.25">
      <c r="A1321" t="s">
        <v>2799</v>
      </c>
      <c r="B1321" t="s">
        <v>2800</v>
      </c>
      <c r="C1321" t="s">
        <v>37</v>
      </c>
      <c r="D1321" t="s">
        <v>38</v>
      </c>
      <c r="E1321" t="s">
        <v>39</v>
      </c>
      <c r="F1321" t="str">
        <f t="shared" si="23"/>
        <v>2018-05-20</v>
      </c>
      <c r="G1321">
        <v>19.38</v>
      </c>
      <c r="I1321" t="s">
        <v>34</v>
      </c>
      <c r="K1321" t="s">
        <v>34</v>
      </c>
      <c r="L1321">
        <v>0</v>
      </c>
      <c r="M1321">
        <v>1320</v>
      </c>
      <c r="O1321" s="1">
        <v>0</v>
      </c>
      <c r="Q1321" s="1">
        <v>-7.1999999999999998E-3</v>
      </c>
      <c r="R1321" s="1">
        <v>-3.5999999999999999E-3</v>
      </c>
      <c r="S1321" s="1">
        <v>7.1900000000000006E-2</v>
      </c>
      <c r="T1321" s="1">
        <v>0.1106</v>
      </c>
      <c r="U1321" s="1">
        <v>0</v>
      </c>
    </row>
    <row r="1322" spans="1:21" x14ac:dyDescent="0.25">
      <c r="A1322" t="s">
        <v>2801</v>
      </c>
      <c r="B1322" t="s">
        <v>2802</v>
      </c>
      <c r="C1322" t="s">
        <v>87</v>
      </c>
      <c r="D1322" t="s">
        <v>144</v>
      </c>
      <c r="E1322" t="s">
        <v>145</v>
      </c>
      <c r="F1322" t="str">
        <f t="shared" si="23"/>
        <v>2018-05-20</v>
      </c>
      <c r="G1322">
        <v>16.239999999999998</v>
      </c>
      <c r="I1322" t="s">
        <v>34</v>
      </c>
      <c r="K1322" t="s">
        <v>34</v>
      </c>
      <c r="L1322">
        <v>0</v>
      </c>
      <c r="M1322">
        <v>1321</v>
      </c>
      <c r="O1322" s="1">
        <v>0</v>
      </c>
      <c r="Q1322" s="1">
        <v>-2.7E-2</v>
      </c>
      <c r="R1322" s="1">
        <v>-3.7000000000000002E-3</v>
      </c>
      <c r="S1322" s="1">
        <v>-0.1174</v>
      </c>
      <c r="T1322" s="1">
        <v>-0.1047</v>
      </c>
      <c r="U1322" s="1">
        <v>0.37280000000000002</v>
      </c>
    </row>
    <row r="1323" spans="1:21" x14ac:dyDescent="0.25">
      <c r="A1323" t="s">
        <v>2803</v>
      </c>
      <c r="B1323" t="s">
        <v>2804</v>
      </c>
      <c r="C1323" t="s">
        <v>37</v>
      </c>
      <c r="D1323" t="s">
        <v>66</v>
      </c>
      <c r="E1323" t="s">
        <v>72</v>
      </c>
      <c r="F1323" t="str">
        <f t="shared" si="23"/>
        <v>2018-05-20</v>
      </c>
      <c r="G1323">
        <v>3.8</v>
      </c>
      <c r="I1323" t="s">
        <v>34</v>
      </c>
      <c r="K1323" t="s">
        <v>34</v>
      </c>
      <c r="L1323">
        <v>0</v>
      </c>
      <c r="M1323">
        <v>1322</v>
      </c>
      <c r="O1323" s="1">
        <v>0</v>
      </c>
      <c r="Q1323" s="1">
        <v>6.4399999999999999E-2</v>
      </c>
      <c r="R1323" s="1">
        <v>-0.1163</v>
      </c>
      <c r="S1323" s="1">
        <v>-0.17749999999999999</v>
      </c>
      <c r="T1323" s="1">
        <v>-0.35039999999999999</v>
      </c>
      <c r="U1323" s="1">
        <v>0</v>
      </c>
    </row>
    <row r="1324" spans="1:21" x14ac:dyDescent="0.25">
      <c r="A1324" t="s">
        <v>2805</v>
      </c>
      <c r="B1324" t="s">
        <v>2806</v>
      </c>
      <c r="C1324" t="s">
        <v>30</v>
      </c>
      <c r="D1324" t="s">
        <v>31</v>
      </c>
      <c r="E1324" t="s">
        <v>31</v>
      </c>
      <c r="F1324" t="str">
        <f t="shared" si="23"/>
        <v>2018-05-20</v>
      </c>
      <c r="G1324">
        <v>49.84</v>
      </c>
      <c r="I1324" t="s">
        <v>34</v>
      </c>
      <c r="K1324" t="s">
        <v>34</v>
      </c>
      <c r="L1324">
        <v>0</v>
      </c>
      <c r="M1324">
        <v>1323</v>
      </c>
      <c r="O1324" s="1">
        <v>0</v>
      </c>
      <c r="Q1324" s="1">
        <v>2.2800000000000001E-2</v>
      </c>
      <c r="R1324" s="1">
        <v>2.7799999999999998E-2</v>
      </c>
      <c r="S1324" s="1">
        <v>0.1263</v>
      </c>
      <c r="T1324" s="1">
        <v>0.10340000000000001</v>
      </c>
      <c r="U1324" s="1">
        <v>0</v>
      </c>
    </row>
    <row r="1325" spans="1:21" x14ac:dyDescent="0.25">
      <c r="A1325" t="s">
        <v>2807</v>
      </c>
      <c r="B1325" t="s">
        <v>2808</v>
      </c>
      <c r="C1325" t="s">
        <v>518</v>
      </c>
      <c r="D1325" t="s">
        <v>573</v>
      </c>
      <c r="E1325" t="s">
        <v>574</v>
      </c>
      <c r="F1325" t="str">
        <f t="shared" si="23"/>
        <v>2018-05-20</v>
      </c>
      <c r="G1325">
        <v>18.899999999999999</v>
      </c>
      <c r="I1325" t="s">
        <v>34</v>
      </c>
      <c r="K1325" t="s">
        <v>34</v>
      </c>
      <c r="L1325">
        <v>0</v>
      </c>
      <c r="M1325">
        <v>1324</v>
      </c>
      <c r="O1325" s="1">
        <v>0</v>
      </c>
      <c r="Q1325" s="1">
        <v>1.12E-2</v>
      </c>
      <c r="R1325" s="1">
        <v>-3.4200000000000001E-2</v>
      </c>
      <c r="S1325" s="1">
        <v>-0.1502</v>
      </c>
      <c r="T1325" s="1">
        <v>-0.16889999999999999</v>
      </c>
      <c r="U1325" s="1">
        <v>0</v>
      </c>
    </row>
    <row r="1326" spans="1:21" x14ac:dyDescent="0.25">
      <c r="A1326" t="s">
        <v>2809</v>
      </c>
      <c r="B1326" t="s">
        <v>2810</v>
      </c>
      <c r="C1326" t="s">
        <v>87</v>
      </c>
      <c r="D1326" t="s">
        <v>144</v>
      </c>
      <c r="E1326" t="s">
        <v>145</v>
      </c>
      <c r="F1326" t="str">
        <f t="shared" si="23"/>
        <v>2018-05-20</v>
      </c>
      <c r="G1326">
        <v>23.36</v>
      </c>
      <c r="I1326" t="s">
        <v>34</v>
      </c>
      <c r="K1326" t="s">
        <v>34</v>
      </c>
      <c r="L1326">
        <v>0</v>
      </c>
      <c r="M1326">
        <v>1325</v>
      </c>
      <c r="O1326" s="1">
        <v>0</v>
      </c>
      <c r="Q1326" s="1">
        <v>2.01E-2</v>
      </c>
      <c r="R1326" s="1">
        <v>0.1124</v>
      </c>
      <c r="S1326" s="1">
        <v>0.2104</v>
      </c>
      <c r="T1326" s="1">
        <v>0.15640000000000001</v>
      </c>
      <c r="U1326" s="1">
        <v>0</v>
      </c>
    </row>
    <row r="1327" spans="1:21" x14ac:dyDescent="0.25">
      <c r="A1327" t="s">
        <v>2811</v>
      </c>
      <c r="B1327" t="s">
        <v>2812</v>
      </c>
      <c r="C1327" t="s">
        <v>87</v>
      </c>
      <c r="D1327" t="s">
        <v>88</v>
      </c>
      <c r="E1327" t="s">
        <v>89</v>
      </c>
      <c r="F1327" t="str">
        <f t="shared" si="23"/>
        <v>2018-05-20</v>
      </c>
      <c r="G1327">
        <v>13.52</v>
      </c>
      <c r="I1327" t="s">
        <v>34</v>
      </c>
      <c r="K1327" t="s">
        <v>34</v>
      </c>
      <c r="L1327">
        <v>0</v>
      </c>
      <c r="M1327">
        <v>1326</v>
      </c>
      <c r="O1327" s="1">
        <v>0</v>
      </c>
      <c r="Q1327" s="1">
        <v>1.8800000000000001E-2</v>
      </c>
      <c r="R1327" s="1">
        <v>6.0000000000000001E-3</v>
      </c>
      <c r="S1327" s="1">
        <v>-6.5699999999999995E-2</v>
      </c>
      <c r="T1327" s="1">
        <v>4.7300000000000002E-2</v>
      </c>
      <c r="U1327" s="1">
        <v>2.7400000000000001E-2</v>
      </c>
    </row>
    <row r="1328" spans="1:21" x14ac:dyDescent="0.25">
      <c r="A1328" t="s">
        <v>2813</v>
      </c>
      <c r="B1328" t="s">
        <v>2814</v>
      </c>
      <c r="C1328" t="s">
        <v>23</v>
      </c>
      <c r="D1328" t="s">
        <v>52</v>
      </c>
      <c r="E1328" t="s">
        <v>53</v>
      </c>
      <c r="F1328" t="str">
        <f t="shared" si="23"/>
        <v>2018-05-20</v>
      </c>
      <c r="G1328">
        <v>35.89</v>
      </c>
      <c r="I1328" t="s">
        <v>34</v>
      </c>
      <c r="K1328" t="s">
        <v>34</v>
      </c>
      <c r="L1328">
        <v>0</v>
      </c>
      <c r="M1328">
        <v>1327</v>
      </c>
      <c r="O1328" s="1">
        <v>0</v>
      </c>
      <c r="Q1328" s="1">
        <v>2.2499999999999999E-2</v>
      </c>
      <c r="R1328" s="1">
        <v>8.7599999999999997E-2</v>
      </c>
      <c r="S1328" s="1">
        <v>0.13789999999999999</v>
      </c>
      <c r="T1328" s="1">
        <v>2.81E-2</v>
      </c>
      <c r="U1328" s="1">
        <v>0</v>
      </c>
    </row>
    <row r="1329" spans="1:21" x14ac:dyDescent="0.25">
      <c r="A1329" t="s">
        <v>2815</v>
      </c>
      <c r="B1329" t="s">
        <v>2816</v>
      </c>
      <c r="C1329" t="s">
        <v>37</v>
      </c>
      <c r="D1329" t="s">
        <v>38</v>
      </c>
      <c r="E1329" t="s">
        <v>39</v>
      </c>
      <c r="F1329" t="str">
        <f t="shared" si="23"/>
        <v>2018-05-20</v>
      </c>
      <c r="G1329">
        <v>24.164999999999999</v>
      </c>
      <c r="I1329" t="s">
        <v>34</v>
      </c>
      <c r="K1329" t="s">
        <v>34</v>
      </c>
      <c r="L1329">
        <v>0</v>
      </c>
      <c r="M1329">
        <v>1328</v>
      </c>
      <c r="O1329" s="1">
        <v>0</v>
      </c>
      <c r="Q1329" s="1">
        <v>-0.13200000000000001</v>
      </c>
      <c r="R1329" s="1">
        <v>-8.1199999999999994E-2</v>
      </c>
      <c r="S1329" s="1">
        <v>-1.21E-2</v>
      </c>
      <c r="T1329" s="1">
        <v>-0.24510000000000001</v>
      </c>
      <c r="U1329" s="1">
        <v>0</v>
      </c>
    </row>
    <row r="1330" spans="1:21" x14ac:dyDescent="0.25">
      <c r="A1330" t="s">
        <v>2817</v>
      </c>
      <c r="B1330" t="s">
        <v>2818</v>
      </c>
      <c r="C1330" t="s">
        <v>114</v>
      </c>
      <c r="D1330" t="s">
        <v>254</v>
      </c>
      <c r="E1330" t="s">
        <v>327</v>
      </c>
      <c r="F1330" t="str">
        <f t="shared" si="23"/>
        <v>2018-05-20</v>
      </c>
      <c r="G1330">
        <v>9.7799999999999994</v>
      </c>
      <c r="I1330" t="s">
        <v>34</v>
      </c>
      <c r="K1330" t="s">
        <v>34</v>
      </c>
      <c r="L1330">
        <v>0</v>
      </c>
      <c r="M1330">
        <v>1329</v>
      </c>
      <c r="O1330" s="1">
        <v>0</v>
      </c>
      <c r="Q1330" s="1">
        <v>7.1999999999999998E-3</v>
      </c>
      <c r="R1330" s="1">
        <v>3.49E-2</v>
      </c>
      <c r="S1330" s="1">
        <v>0.15190000000000001</v>
      </c>
      <c r="T1330" s="1">
        <v>0.3145</v>
      </c>
      <c r="U1330" s="1">
        <v>0</v>
      </c>
    </row>
    <row r="1331" spans="1:21" x14ac:dyDescent="0.25">
      <c r="A1331" t="s">
        <v>2819</v>
      </c>
      <c r="B1331" t="s">
        <v>2820</v>
      </c>
      <c r="C1331" t="s">
        <v>37</v>
      </c>
      <c r="D1331" t="s">
        <v>38</v>
      </c>
      <c r="E1331" t="s">
        <v>39</v>
      </c>
      <c r="F1331" t="str">
        <f t="shared" si="23"/>
        <v>2018-05-20</v>
      </c>
      <c r="G1331">
        <v>49.9</v>
      </c>
      <c r="I1331" t="s">
        <v>34</v>
      </c>
      <c r="K1331" t="s">
        <v>34</v>
      </c>
      <c r="L1331">
        <v>0</v>
      </c>
      <c r="M1331">
        <v>1330</v>
      </c>
      <c r="O1331" s="1">
        <v>0</v>
      </c>
      <c r="Q1331" s="1">
        <v>5.9999999999999995E-4</v>
      </c>
      <c r="R1331" s="1">
        <v>2.5999999999999999E-3</v>
      </c>
      <c r="S1331" s="1">
        <v>0.91849999999999998</v>
      </c>
      <c r="T1331" s="1">
        <v>0.1018</v>
      </c>
      <c r="U1331" s="1">
        <v>0</v>
      </c>
    </row>
    <row r="1332" spans="1:21" x14ac:dyDescent="0.25">
      <c r="A1332" t="s">
        <v>2821</v>
      </c>
      <c r="B1332" t="s">
        <v>2822</v>
      </c>
      <c r="C1332" t="s">
        <v>37</v>
      </c>
      <c r="D1332" t="s">
        <v>38</v>
      </c>
      <c r="E1332" t="s">
        <v>97</v>
      </c>
      <c r="F1332" t="str">
        <f t="shared" si="23"/>
        <v>2018-05-20</v>
      </c>
      <c r="G1332">
        <v>13.56</v>
      </c>
      <c r="I1332" t="s">
        <v>34</v>
      </c>
      <c r="K1332" t="s">
        <v>34</v>
      </c>
      <c r="L1332">
        <v>0</v>
      </c>
      <c r="M1332">
        <v>1331</v>
      </c>
      <c r="O1332" s="1">
        <v>0</v>
      </c>
      <c r="Q1332" s="1">
        <v>3.7499999999999999E-2</v>
      </c>
      <c r="R1332" s="1">
        <v>-5.1700000000000003E-2</v>
      </c>
      <c r="S1332" s="1">
        <v>0.37109999999999999</v>
      </c>
      <c r="T1332" s="1">
        <v>-0.12970000000000001</v>
      </c>
      <c r="U1332" s="1">
        <v>0</v>
      </c>
    </row>
    <row r="1333" spans="1:21" x14ac:dyDescent="0.25">
      <c r="A1333" t="s">
        <v>2823</v>
      </c>
      <c r="B1333" t="s">
        <v>2824</v>
      </c>
      <c r="C1333" t="s">
        <v>37</v>
      </c>
      <c r="D1333" t="s">
        <v>38</v>
      </c>
      <c r="E1333" t="s">
        <v>39</v>
      </c>
      <c r="F1333" t="str">
        <f t="shared" si="23"/>
        <v>2018-05-20</v>
      </c>
      <c r="G1333">
        <v>12.14</v>
      </c>
      <c r="I1333" t="s">
        <v>34</v>
      </c>
      <c r="K1333" t="s">
        <v>34</v>
      </c>
      <c r="L1333">
        <v>0</v>
      </c>
      <c r="M1333">
        <v>1332</v>
      </c>
      <c r="O1333" s="1">
        <v>0</v>
      </c>
      <c r="Q1333" s="1">
        <v>3.3E-3</v>
      </c>
      <c r="R1333" s="1">
        <v>6.4000000000000001E-2</v>
      </c>
      <c r="S1333" s="1">
        <v>-3.4200000000000001E-2</v>
      </c>
      <c r="T1333" s="1">
        <v>0.1573</v>
      </c>
      <c r="U1333" s="1">
        <v>0</v>
      </c>
    </row>
    <row r="1334" spans="1:21" x14ac:dyDescent="0.25">
      <c r="A1334" t="s">
        <v>2825</v>
      </c>
      <c r="B1334" t="s">
        <v>2826</v>
      </c>
      <c r="C1334" t="s">
        <v>109</v>
      </c>
      <c r="D1334" t="s">
        <v>156</v>
      </c>
      <c r="E1334" t="s">
        <v>284</v>
      </c>
      <c r="F1334" t="str">
        <f t="shared" si="23"/>
        <v>2018-05-20</v>
      </c>
      <c r="G1334">
        <v>20.73</v>
      </c>
      <c r="I1334" t="s">
        <v>34</v>
      </c>
      <c r="K1334" t="s">
        <v>34</v>
      </c>
      <c r="L1334">
        <v>0</v>
      </c>
      <c r="M1334">
        <v>1333</v>
      </c>
      <c r="O1334" s="1">
        <v>0</v>
      </c>
      <c r="Q1334" s="1">
        <v>-1.4E-3</v>
      </c>
      <c r="R1334" s="1">
        <v>1.52E-2</v>
      </c>
      <c r="S1334" s="1">
        <v>-0.3044</v>
      </c>
      <c r="T1334" s="1">
        <v>2.3699999999999999E-2</v>
      </c>
      <c r="U1334" s="1">
        <v>0</v>
      </c>
    </row>
    <row r="1335" spans="1:21" x14ac:dyDescent="0.25">
      <c r="A1335" t="s">
        <v>2827</v>
      </c>
      <c r="B1335" t="s">
        <v>2828</v>
      </c>
      <c r="C1335" t="s">
        <v>30</v>
      </c>
      <c r="D1335" t="s">
        <v>31</v>
      </c>
      <c r="E1335" t="s">
        <v>31</v>
      </c>
      <c r="F1335" t="str">
        <f t="shared" si="23"/>
        <v>2018-05-20</v>
      </c>
      <c r="G1335">
        <v>34.65</v>
      </c>
      <c r="I1335" t="s">
        <v>34</v>
      </c>
      <c r="K1335" t="s">
        <v>34</v>
      </c>
      <c r="L1335">
        <v>0</v>
      </c>
      <c r="M1335">
        <v>1334</v>
      </c>
      <c r="O1335" s="1">
        <v>0</v>
      </c>
      <c r="Q1335" s="1">
        <v>1.9099999999999999E-2</v>
      </c>
      <c r="R1335" s="1">
        <v>1.7600000000000001E-2</v>
      </c>
      <c r="S1335" s="1">
        <v>3.9E-2</v>
      </c>
      <c r="T1335" s="1">
        <v>6.2899999999999998E-2</v>
      </c>
      <c r="U1335" s="1">
        <v>0</v>
      </c>
    </row>
    <row r="1336" spans="1:21" x14ac:dyDescent="0.25">
      <c r="A1336" t="s">
        <v>2829</v>
      </c>
      <c r="B1336" t="s">
        <v>2830</v>
      </c>
      <c r="C1336" t="s">
        <v>30</v>
      </c>
      <c r="D1336" t="s">
        <v>77</v>
      </c>
      <c r="E1336" t="s">
        <v>78</v>
      </c>
      <c r="F1336" t="str">
        <f t="shared" si="23"/>
        <v>2018-05-20</v>
      </c>
      <c r="G1336">
        <v>22</v>
      </c>
      <c r="I1336" t="s">
        <v>34</v>
      </c>
      <c r="K1336" t="s">
        <v>34</v>
      </c>
      <c r="L1336">
        <v>0</v>
      </c>
      <c r="M1336">
        <v>1335</v>
      </c>
      <c r="O1336" s="1">
        <v>0</v>
      </c>
      <c r="Q1336" s="1">
        <v>-8.9999999999999998E-4</v>
      </c>
      <c r="R1336" s="1">
        <v>-5.0000000000000001E-4</v>
      </c>
      <c r="S1336" s="1">
        <v>-2.0899999999999998E-2</v>
      </c>
      <c r="T1336" s="1">
        <v>6.6900000000000001E-2</v>
      </c>
      <c r="U1336" s="1">
        <v>0</v>
      </c>
    </row>
    <row r="1337" spans="1:21" x14ac:dyDescent="0.25">
      <c r="A1337" t="s">
        <v>2831</v>
      </c>
      <c r="B1337" t="s">
        <v>2832</v>
      </c>
      <c r="C1337" t="s">
        <v>30</v>
      </c>
      <c r="D1337" t="s">
        <v>31</v>
      </c>
      <c r="E1337" t="s">
        <v>31</v>
      </c>
      <c r="F1337" t="str">
        <f t="shared" si="23"/>
        <v>2018-05-20</v>
      </c>
      <c r="G1337">
        <v>64.52</v>
      </c>
      <c r="H1337" t="str">
        <f>"2018-05-02"</f>
        <v>2018-05-02</v>
      </c>
      <c r="I1337" t="s">
        <v>40</v>
      </c>
      <c r="J1337" t="str">
        <f>"2016-05-24"</f>
        <v>2016-05-24</v>
      </c>
      <c r="K1337" t="s">
        <v>26</v>
      </c>
      <c r="L1337">
        <v>-1.83935863</v>
      </c>
      <c r="M1337">
        <v>1336</v>
      </c>
      <c r="N1337" s="1">
        <v>2.35E-2</v>
      </c>
      <c r="O1337" s="1">
        <v>-3.6200000000000003E-2</v>
      </c>
      <c r="P1337" s="1">
        <v>6.1699999999999998E-2</v>
      </c>
      <c r="Q1337" s="1">
        <v>2.5600000000000001E-2</v>
      </c>
      <c r="R1337" s="1">
        <v>0.04</v>
      </c>
      <c r="S1337" s="1">
        <v>-2.92E-2</v>
      </c>
      <c r="T1337" s="1">
        <v>4.4000000000000003E-3</v>
      </c>
      <c r="U1337" s="1">
        <v>0.28399999999999997</v>
      </c>
    </row>
    <row r="1338" spans="1:21" x14ac:dyDescent="0.25">
      <c r="A1338" t="s">
        <v>2833</v>
      </c>
      <c r="B1338" t="s">
        <v>2834</v>
      </c>
      <c r="C1338" t="s">
        <v>30</v>
      </c>
      <c r="D1338" t="s">
        <v>31</v>
      </c>
      <c r="E1338" t="s">
        <v>31</v>
      </c>
      <c r="F1338" t="str">
        <f t="shared" si="23"/>
        <v>2018-05-20</v>
      </c>
      <c r="G1338">
        <v>80.95</v>
      </c>
      <c r="H1338" t="str">
        <f>"2018-04-10"</f>
        <v>2018-04-10</v>
      </c>
      <c r="I1338" t="s">
        <v>40</v>
      </c>
      <c r="J1338" t="str">
        <f>"2018-02-04"</f>
        <v>2018-02-04</v>
      </c>
      <c r="K1338" t="s">
        <v>26</v>
      </c>
      <c r="L1338">
        <v>-1.84080629</v>
      </c>
      <c r="M1338">
        <v>1337</v>
      </c>
      <c r="N1338" s="1">
        <v>2.6599999999999999E-2</v>
      </c>
      <c r="O1338" s="1">
        <v>-4.48E-2</v>
      </c>
      <c r="P1338" s="1">
        <v>8.4400000000000003E-2</v>
      </c>
      <c r="Q1338" s="1">
        <v>1.89E-2</v>
      </c>
      <c r="R1338" s="1">
        <v>4.65E-2</v>
      </c>
      <c r="S1338" s="1">
        <v>5.8900000000000001E-2</v>
      </c>
      <c r="T1338" s="1">
        <v>-0.03</v>
      </c>
      <c r="U1338" s="1">
        <v>2.1499999999999998E-2</v>
      </c>
    </row>
    <row r="1339" spans="1:21" x14ac:dyDescent="0.25">
      <c r="A1339" t="s">
        <v>2835</v>
      </c>
      <c r="B1339" t="s">
        <v>2836</v>
      </c>
      <c r="C1339" t="s">
        <v>114</v>
      </c>
      <c r="D1339" t="s">
        <v>115</v>
      </c>
      <c r="E1339" t="s">
        <v>116</v>
      </c>
      <c r="F1339" t="str">
        <f t="shared" si="23"/>
        <v>2018-05-20</v>
      </c>
      <c r="G1339">
        <v>126.98</v>
      </c>
      <c r="H1339" t="str">
        <f>"2018-02-21"</f>
        <v>2018-02-21</v>
      </c>
      <c r="I1339" t="s">
        <v>40</v>
      </c>
      <c r="J1339" t="str">
        <f>"2017-12-03"</f>
        <v>2017-12-03</v>
      </c>
      <c r="K1339" t="s">
        <v>26</v>
      </c>
      <c r="L1339">
        <v>-1.8425581499999999</v>
      </c>
      <c r="M1339">
        <v>1338</v>
      </c>
      <c r="N1339" s="1">
        <v>6.5799999999999997E-2</v>
      </c>
      <c r="O1339" s="1">
        <v>-5.5300000000000002E-2</v>
      </c>
      <c r="P1339" s="1">
        <v>7.4300000000000005E-2</v>
      </c>
      <c r="Q1339" s="1">
        <v>7.0000000000000001E-3</v>
      </c>
      <c r="R1339" s="1">
        <v>5.0000000000000001E-3</v>
      </c>
      <c r="S1339" s="1">
        <v>3.2599999999999997E-2</v>
      </c>
      <c r="T1339" s="1">
        <v>4.1799999999999997E-2</v>
      </c>
      <c r="U1339" s="1">
        <v>4.6699999999999998E-2</v>
      </c>
    </row>
    <row r="1340" spans="1:21" x14ac:dyDescent="0.25">
      <c r="A1340" t="s">
        <v>2837</v>
      </c>
      <c r="B1340" t="s">
        <v>2838</v>
      </c>
      <c r="C1340" t="s">
        <v>23</v>
      </c>
      <c r="D1340" t="s">
        <v>173</v>
      </c>
      <c r="E1340" t="s">
        <v>174</v>
      </c>
      <c r="F1340" t="str">
        <f t="shared" si="23"/>
        <v>2018-05-20</v>
      </c>
      <c r="G1340">
        <v>229.39</v>
      </c>
      <c r="H1340" t="str">
        <f>"2018-02-08"</f>
        <v>2018-02-08</v>
      </c>
      <c r="I1340" t="s">
        <v>40</v>
      </c>
      <c r="J1340" t="str">
        <f>"2017-09-19"</f>
        <v>2017-09-19</v>
      </c>
      <c r="K1340" t="s">
        <v>26</v>
      </c>
      <c r="L1340">
        <v>-1.84537868</v>
      </c>
      <c r="M1340">
        <v>1339</v>
      </c>
      <c r="N1340" s="1">
        <v>5.0900000000000001E-2</v>
      </c>
      <c r="O1340" s="1">
        <v>-7.2300000000000003E-2</v>
      </c>
      <c r="P1340" s="1">
        <v>5.0900000000000001E-2</v>
      </c>
      <c r="Q1340" s="1">
        <v>5.1999999999999998E-3</v>
      </c>
      <c r="R1340" s="1">
        <v>2.5999999999999999E-3</v>
      </c>
      <c r="S1340" s="1">
        <v>5.0000000000000001E-4</v>
      </c>
      <c r="T1340" s="1">
        <v>-2.7000000000000001E-3</v>
      </c>
      <c r="U1340" s="1">
        <v>9.3899999999999997E-2</v>
      </c>
    </row>
    <row r="1341" spans="1:21" x14ac:dyDescent="0.25">
      <c r="A1341" t="s">
        <v>2839</v>
      </c>
      <c r="B1341" t="s">
        <v>2840</v>
      </c>
      <c r="C1341" t="s">
        <v>23</v>
      </c>
      <c r="D1341" t="s">
        <v>52</v>
      </c>
      <c r="E1341" t="s">
        <v>53</v>
      </c>
      <c r="F1341" t="str">
        <f t="shared" si="23"/>
        <v>2018-05-20</v>
      </c>
      <c r="G1341">
        <v>9.0500000000000007</v>
      </c>
      <c r="H1341" t="str">
        <f>"2018-05-10"</f>
        <v>2018-05-10</v>
      </c>
      <c r="I1341" t="s">
        <v>40</v>
      </c>
      <c r="J1341" t="str">
        <f>"2018-03-29"</f>
        <v>2018-03-29</v>
      </c>
      <c r="K1341" t="s">
        <v>26</v>
      </c>
      <c r="L1341">
        <v>-1.8460884399999999</v>
      </c>
      <c r="M1341">
        <v>1340</v>
      </c>
      <c r="N1341" s="1">
        <v>2.8400000000000002E-2</v>
      </c>
      <c r="O1341" s="1">
        <v>-7.6499999999999999E-2</v>
      </c>
      <c r="P1341" s="1">
        <v>3.4299999999999997E-2</v>
      </c>
      <c r="Q1341" s="1">
        <v>-1.6299999999999999E-2</v>
      </c>
      <c r="R1341" s="1">
        <v>3.4299999999999997E-2</v>
      </c>
      <c r="S1341" s="1">
        <v>-4.2299999999999997E-2</v>
      </c>
      <c r="T1341" s="1">
        <v>-8.1199999999999994E-2</v>
      </c>
      <c r="U1341" s="1">
        <v>-0.16969999999999999</v>
      </c>
    </row>
    <row r="1342" spans="1:21" x14ac:dyDescent="0.25">
      <c r="A1342" t="s">
        <v>2841</v>
      </c>
      <c r="B1342" t="s">
        <v>2842</v>
      </c>
      <c r="C1342" t="s">
        <v>30</v>
      </c>
      <c r="D1342" t="s">
        <v>48</v>
      </c>
      <c r="E1342" t="s">
        <v>485</v>
      </c>
      <c r="F1342" t="str">
        <f t="shared" si="23"/>
        <v>2018-05-20</v>
      </c>
      <c r="G1342">
        <v>200.89</v>
      </c>
      <c r="H1342" t="str">
        <f>"2018-03-20"</f>
        <v>2018-03-20</v>
      </c>
      <c r="I1342" t="s">
        <v>40</v>
      </c>
      <c r="J1342" t="str">
        <f>"2017-06-13"</f>
        <v>2017-06-13</v>
      </c>
      <c r="K1342" t="s">
        <v>26</v>
      </c>
      <c r="L1342">
        <v>-1.8462945100000001</v>
      </c>
      <c r="M1342">
        <v>1341</v>
      </c>
      <c r="N1342" s="1">
        <v>-3.2399999999999998E-2</v>
      </c>
      <c r="O1342" s="1">
        <v>-7.7799999999999994E-2</v>
      </c>
      <c r="P1342" s="1">
        <v>6.1199999999999997E-2</v>
      </c>
      <c r="Q1342" s="1">
        <v>3.3999999999999998E-3</v>
      </c>
      <c r="R1342" s="1">
        <v>3.1600000000000003E-2</v>
      </c>
      <c r="S1342" s="1">
        <v>1E-3</v>
      </c>
      <c r="T1342" s="1">
        <v>-4.9399999999999999E-2</v>
      </c>
      <c r="U1342" s="1">
        <v>2.81E-2</v>
      </c>
    </row>
    <row r="1343" spans="1:21" x14ac:dyDescent="0.25">
      <c r="A1343" t="s">
        <v>2843</v>
      </c>
      <c r="B1343" t="s">
        <v>2844</v>
      </c>
      <c r="C1343" t="s">
        <v>30</v>
      </c>
      <c r="D1343" t="s">
        <v>31</v>
      </c>
      <c r="E1343" t="s">
        <v>31</v>
      </c>
      <c r="F1343" t="str">
        <f t="shared" si="23"/>
        <v>2018-05-20</v>
      </c>
      <c r="G1343">
        <v>35.57</v>
      </c>
      <c r="H1343" t="str">
        <f>"2018-04-02"</f>
        <v>2018-04-02</v>
      </c>
      <c r="I1343" t="s">
        <v>40</v>
      </c>
      <c r="J1343" t="str">
        <f>"2015-10-15"</f>
        <v>2015-10-15</v>
      </c>
      <c r="K1343" t="s">
        <v>26</v>
      </c>
      <c r="L1343">
        <v>-1.8470107499999999</v>
      </c>
      <c r="M1343">
        <v>1342</v>
      </c>
      <c r="N1343" s="1">
        <v>7.6600000000000001E-2</v>
      </c>
      <c r="O1343" s="1">
        <v>-8.2100000000000006E-2</v>
      </c>
      <c r="P1343" s="1">
        <v>8.3099999999999993E-2</v>
      </c>
      <c r="Q1343" s="1">
        <v>1.34E-2</v>
      </c>
      <c r="R1343" s="1">
        <v>1.89E-2</v>
      </c>
      <c r="S1343" s="1">
        <v>2.4500000000000001E-2</v>
      </c>
      <c r="T1343" s="1">
        <v>2.7400000000000001E-2</v>
      </c>
      <c r="U1343" s="1">
        <v>0.14560000000000001</v>
      </c>
    </row>
    <row r="1344" spans="1:21" x14ac:dyDescent="0.25">
      <c r="A1344" t="s">
        <v>2845</v>
      </c>
      <c r="B1344" t="s">
        <v>2846</v>
      </c>
      <c r="C1344" t="s">
        <v>30</v>
      </c>
      <c r="D1344" t="s">
        <v>31</v>
      </c>
      <c r="E1344" t="s">
        <v>31</v>
      </c>
      <c r="F1344" t="str">
        <f t="shared" si="23"/>
        <v>2018-05-20</v>
      </c>
      <c r="G1344">
        <v>80.400000000000006</v>
      </c>
      <c r="H1344" t="str">
        <f>"2017-12-28"</f>
        <v>2017-12-28</v>
      </c>
      <c r="I1344" t="s">
        <v>40</v>
      </c>
      <c r="J1344" t="str">
        <f>"2016-05-09"</f>
        <v>2016-05-09</v>
      </c>
      <c r="K1344" t="s">
        <v>26</v>
      </c>
      <c r="L1344">
        <v>-1.84720639</v>
      </c>
      <c r="M1344">
        <v>1343</v>
      </c>
      <c r="N1344" s="1">
        <v>1.9E-2</v>
      </c>
      <c r="O1344" s="1">
        <v>-8.3199999999999996E-2</v>
      </c>
      <c r="P1344" s="1">
        <v>6.6299999999999998E-2</v>
      </c>
      <c r="Q1344" s="1">
        <v>5.5999999999999999E-3</v>
      </c>
      <c r="R1344" s="1">
        <v>2.29E-2</v>
      </c>
      <c r="S1344" s="1">
        <v>3.0999999999999999E-3</v>
      </c>
      <c r="T1344" s="1">
        <v>4.1500000000000002E-2</v>
      </c>
      <c r="U1344" s="1">
        <v>0.33550000000000002</v>
      </c>
    </row>
    <row r="1345" spans="1:21" x14ac:dyDescent="0.25">
      <c r="A1345" t="s">
        <v>2847</v>
      </c>
      <c r="B1345" t="s">
        <v>2848</v>
      </c>
      <c r="C1345" t="s">
        <v>30</v>
      </c>
      <c r="D1345" t="s">
        <v>31</v>
      </c>
      <c r="E1345" t="s">
        <v>31</v>
      </c>
      <c r="F1345" t="str">
        <f t="shared" si="23"/>
        <v>2018-05-20</v>
      </c>
      <c r="G1345">
        <v>29.02</v>
      </c>
      <c r="H1345" t="str">
        <f>"2018-02-08"</f>
        <v>2018-02-08</v>
      </c>
      <c r="I1345" t="s">
        <v>40</v>
      </c>
      <c r="J1345" t="str">
        <f>"2017-09-18"</f>
        <v>2017-09-18</v>
      </c>
      <c r="K1345" t="s">
        <v>26</v>
      </c>
      <c r="L1345">
        <v>-1.8474237600000001</v>
      </c>
      <c r="M1345">
        <v>1344</v>
      </c>
      <c r="N1345" s="1">
        <v>9.0999999999999998E-2</v>
      </c>
      <c r="O1345" s="1">
        <v>-8.4500000000000006E-2</v>
      </c>
      <c r="P1345" s="1">
        <v>9.0999999999999998E-2</v>
      </c>
      <c r="Q1345" s="1">
        <v>9.4000000000000004E-3</v>
      </c>
      <c r="R1345" s="1">
        <v>4.65E-2</v>
      </c>
      <c r="S1345" s="1">
        <v>1.04E-2</v>
      </c>
      <c r="T1345" s="1">
        <v>4.1599999999999998E-2</v>
      </c>
      <c r="U1345" s="1">
        <v>0.1434</v>
      </c>
    </row>
    <row r="1346" spans="1:21" x14ac:dyDescent="0.25">
      <c r="A1346" t="s">
        <v>2849</v>
      </c>
      <c r="B1346" t="s">
        <v>2850</v>
      </c>
      <c r="C1346" t="s">
        <v>100</v>
      </c>
      <c r="D1346" t="s">
        <v>199</v>
      </c>
      <c r="E1346" t="s">
        <v>1131</v>
      </c>
      <c r="F1346" t="str">
        <f t="shared" si="23"/>
        <v>2018-05-20</v>
      </c>
      <c r="G1346">
        <v>76.3</v>
      </c>
      <c r="H1346" t="str">
        <f>"2018-04-11"</f>
        <v>2018-04-11</v>
      </c>
      <c r="I1346" t="s">
        <v>40</v>
      </c>
      <c r="J1346" t="str">
        <f>"2016-03-06"</f>
        <v>2016-03-06</v>
      </c>
      <c r="K1346" t="s">
        <v>26</v>
      </c>
      <c r="L1346">
        <v>-1.8484306699999999</v>
      </c>
      <c r="M1346">
        <v>1345</v>
      </c>
      <c r="N1346" s="1">
        <v>2.5499999999999998E-2</v>
      </c>
      <c r="O1346" s="1">
        <v>-9.06E-2</v>
      </c>
      <c r="P1346" s="1">
        <v>7.0099999999999996E-2</v>
      </c>
      <c r="Q1346" s="1">
        <v>6.9999999999999999E-4</v>
      </c>
      <c r="R1346" s="1">
        <v>1.46E-2</v>
      </c>
      <c r="S1346" s="1">
        <v>-2.24E-2</v>
      </c>
      <c r="T1346" s="1">
        <v>-8.2900000000000001E-2</v>
      </c>
      <c r="U1346" s="1">
        <v>0.17469999999999999</v>
      </c>
    </row>
    <row r="1347" spans="1:21" x14ac:dyDescent="0.25">
      <c r="A1347" t="s">
        <v>2851</v>
      </c>
      <c r="B1347" t="s">
        <v>2852</v>
      </c>
      <c r="C1347" t="s">
        <v>43</v>
      </c>
      <c r="D1347" t="s">
        <v>169</v>
      </c>
      <c r="E1347" t="s">
        <v>904</v>
      </c>
      <c r="F1347" t="str">
        <f t="shared" si="23"/>
        <v>2018-05-20</v>
      </c>
      <c r="G1347">
        <v>14.45</v>
      </c>
      <c r="H1347" t="str">
        <f>"2018-04-09"</f>
        <v>2018-04-09</v>
      </c>
      <c r="I1347" t="s">
        <v>40</v>
      </c>
      <c r="J1347" t="str">
        <f>"2017-10-22"</f>
        <v>2017-10-22</v>
      </c>
      <c r="K1347" t="s">
        <v>26</v>
      </c>
      <c r="L1347">
        <v>-1.84853249</v>
      </c>
      <c r="M1347">
        <v>1346</v>
      </c>
      <c r="N1347" s="1">
        <v>1.4E-2</v>
      </c>
      <c r="O1347" s="1">
        <v>-9.1200000000000003E-2</v>
      </c>
      <c r="P1347" s="1">
        <v>2.8500000000000001E-2</v>
      </c>
      <c r="Q1347" s="1">
        <v>3.5000000000000001E-3</v>
      </c>
      <c r="R1347" s="1">
        <v>0</v>
      </c>
      <c r="S1347" s="1">
        <v>2.4799999999999999E-2</v>
      </c>
      <c r="T1347" s="1">
        <v>-4.6199999999999998E-2</v>
      </c>
      <c r="U1347" s="1">
        <v>3.2099999999999997E-2</v>
      </c>
    </row>
    <row r="1348" spans="1:21" x14ac:dyDescent="0.25">
      <c r="A1348" t="s">
        <v>2853</v>
      </c>
      <c r="B1348" t="s">
        <v>2854</v>
      </c>
      <c r="C1348" t="s">
        <v>30</v>
      </c>
      <c r="D1348" t="s">
        <v>77</v>
      </c>
      <c r="E1348" t="s">
        <v>1008</v>
      </c>
      <c r="F1348" t="str">
        <f t="shared" si="23"/>
        <v>2018-05-20</v>
      </c>
      <c r="G1348">
        <v>61.24</v>
      </c>
      <c r="H1348" t="str">
        <f>"2018-04-05"</f>
        <v>2018-04-05</v>
      </c>
      <c r="I1348" t="s">
        <v>40</v>
      </c>
      <c r="J1348" t="str">
        <f>"2016-08-24"</f>
        <v>2016-08-24</v>
      </c>
      <c r="K1348" t="s">
        <v>26</v>
      </c>
      <c r="L1348">
        <v>-1.84896912</v>
      </c>
      <c r="M1348">
        <v>1347</v>
      </c>
      <c r="N1348" s="1">
        <v>2.07E-2</v>
      </c>
      <c r="O1348" s="1">
        <v>-9.3799999999999994E-2</v>
      </c>
      <c r="P1348" s="1">
        <v>4.7E-2</v>
      </c>
      <c r="Q1348" s="1">
        <v>-7.4999999999999997E-3</v>
      </c>
      <c r="R1348" s="1">
        <v>-8.3000000000000001E-3</v>
      </c>
      <c r="S1348" s="1">
        <v>3.1699999999999999E-2</v>
      </c>
      <c r="T1348" s="1">
        <v>-1.6400000000000001E-2</v>
      </c>
      <c r="U1348" s="1">
        <v>0.1163</v>
      </c>
    </row>
    <row r="1349" spans="1:21" x14ac:dyDescent="0.25">
      <c r="A1349" t="s">
        <v>2855</v>
      </c>
      <c r="B1349" t="s">
        <v>2856</v>
      </c>
      <c r="C1349" t="s">
        <v>30</v>
      </c>
      <c r="D1349" t="s">
        <v>31</v>
      </c>
      <c r="E1349" t="s">
        <v>31</v>
      </c>
      <c r="F1349" t="str">
        <f t="shared" si="23"/>
        <v>2018-05-20</v>
      </c>
      <c r="G1349">
        <v>27.31</v>
      </c>
      <c r="H1349" t="str">
        <f>"2018-05-01"</f>
        <v>2018-05-01</v>
      </c>
      <c r="I1349" t="s">
        <v>40</v>
      </c>
      <c r="J1349" t="str">
        <f>"2017-10-05"</f>
        <v>2017-10-05</v>
      </c>
      <c r="K1349" t="s">
        <v>26</v>
      </c>
      <c r="L1349">
        <v>-1.8504708700000001</v>
      </c>
      <c r="M1349">
        <v>1348</v>
      </c>
      <c r="N1349" s="1">
        <v>1.9E-2</v>
      </c>
      <c r="O1349" s="1">
        <v>-0.1028</v>
      </c>
      <c r="P1349" s="1">
        <v>2.06E-2</v>
      </c>
      <c r="Q1349" s="1">
        <v>2.8999999999999998E-3</v>
      </c>
      <c r="R1349" s="1">
        <v>-2.7799999999999998E-2</v>
      </c>
      <c r="S1349" s="1">
        <v>-8.3999999999999995E-3</v>
      </c>
      <c r="T1349" s="1">
        <v>-5.4699999999999999E-2</v>
      </c>
      <c r="U1349" s="1">
        <v>2.5999999999999999E-3</v>
      </c>
    </row>
    <row r="1350" spans="1:21" x14ac:dyDescent="0.25">
      <c r="A1350" t="s">
        <v>2857</v>
      </c>
      <c r="B1350" t="s">
        <v>2858</v>
      </c>
      <c r="C1350" t="s">
        <v>43</v>
      </c>
      <c r="D1350" t="s">
        <v>44</v>
      </c>
      <c r="E1350" t="s">
        <v>320</v>
      </c>
      <c r="F1350" t="str">
        <f t="shared" si="23"/>
        <v>2018-05-20</v>
      </c>
      <c r="G1350">
        <v>69.7</v>
      </c>
      <c r="H1350" t="str">
        <f>"2018-04-29"</f>
        <v>2018-04-29</v>
      </c>
      <c r="I1350" t="s">
        <v>40</v>
      </c>
      <c r="J1350" t="str">
        <f>"2016-11-21"</f>
        <v>2016-11-21</v>
      </c>
      <c r="K1350" t="s">
        <v>26</v>
      </c>
      <c r="L1350">
        <v>-1.8504741099999999</v>
      </c>
      <c r="M1350">
        <v>1349</v>
      </c>
      <c r="N1350" s="1">
        <v>-1.09E-2</v>
      </c>
      <c r="O1350" s="1">
        <v>-0.1028</v>
      </c>
      <c r="P1350" s="1">
        <v>2.3300000000000001E-2</v>
      </c>
      <c r="Q1350" s="1">
        <v>-4.0000000000000001E-3</v>
      </c>
      <c r="R1350" s="1">
        <v>-6.7999999999999996E-3</v>
      </c>
      <c r="S1350" s="1">
        <v>-7.0499999999999993E-2</v>
      </c>
      <c r="T1350" s="1">
        <v>-5.9900000000000002E-2</v>
      </c>
      <c r="U1350" s="1">
        <v>2.2700000000000001E-2</v>
      </c>
    </row>
    <row r="1351" spans="1:21" x14ac:dyDescent="0.25">
      <c r="A1351" t="s">
        <v>2859</v>
      </c>
      <c r="B1351" t="s">
        <v>2860</v>
      </c>
      <c r="C1351" t="s">
        <v>30</v>
      </c>
      <c r="D1351" t="s">
        <v>31</v>
      </c>
      <c r="E1351" t="s">
        <v>31</v>
      </c>
      <c r="F1351" t="str">
        <f t="shared" si="23"/>
        <v>2018-05-20</v>
      </c>
      <c r="G1351">
        <v>35.200000000000003</v>
      </c>
      <c r="H1351" t="str">
        <f>"2018-04-16"</f>
        <v>2018-04-16</v>
      </c>
      <c r="I1351" t="s">
        <v>40</v>
      </c>
      <c r="J1351" t="str">
        <f>"2015-05-18"</f>
        <v>2015-05-18</v>
      </c>
      <c r="K1351" t="s">
        <v>26</v>
      </c>
      <c r="L1351">
        <v>-1.8504926900000001</v>
      </c>
      <c r="M1351">
        <v>1350</v>
      </c>
      <c r="N1351" s="1">
        <v>5.0700000000000002E-2</v>
      </c>
      <c r="O1351" s="1">
        <v>-0.10299999999999999</v>
      </c>
      <c r="P1351" s="1">
        <v>6.3799999999999996E-2</v>
      </c>
      <c r="Q1351" s="1">
        <v>1.4999999999999999E-2</v>
      </c>
      <c r="R1351" s="1">
        <v>3.56E-2</v>
      </c>
      <c r="S1351" s="1">
        <v>4.7300000000000002E-2</v>
      </c>
      <c r="T1351" s="1">
        <v>-2.5700000000000001E-2</v>
      </c>
      <c r="U1351" s="1">
        <v>0.21879999999999999</v>
      </c>
    </row>
    <row r="1352" spans="1:21" x14ac:dyDescent="0.25">
      <c r="A1352" t="s">
        <v>2861</v>
      </c>
      <c r="B1352" t="s">
        <v>2862</v>
      </c>
      <c r="C1352" t="s">
        <v>114</v>
      </c>
      <c r="D1352" t="s">
        <v>646</v>
      </c>
      <c r="E1352" t="s">
        <v>647</v>
      </c>
      <c r="F1352" t="str">
        <f t="shared" si="23"/>
        <v>2018-05-20</v>
      </c>
      <c r="G1352">
        <v>44.45</v>
      </c>
      <c r="H1352" t="str">
        <f>"2018-05-07"</f>
        <v>2018-05-07</v>
      </c>
      <c r="I1352" t="s">
        <v>40</v>
      </c>
      <c r="J1352" t="str">
        <f>"2018-02-27"</f>
        <v>2018-02-27</v>
      </c>
      <c r="K1352" t="s">
        <v>26</v>
      </c>
      <c r="L1352">
        <v>-1.8508188999999999</v>
      </c>
      <c r="M1352">
        <v>1351</v>
      </c>
      <c r="N1352" s="1">
        <v>2.8500000000000001E-2</v>
      </c>
      <c r="O1352" s="1">
        <v>-0.10489999999999999</v>
      </c>
      <c r="P1352" s="1">
        <v>3.2300000000000002E-2</v>
      </c>
      <c r="Q1352" s="1">
        <v>0.01</v>
      </c>
      <c r="R1352" s="1">
        <v>3.2300000000000002E-2</v>
      </c>
      <c r="S1352" s="1">
        <v>-3.7699999999999997E-2</v>
      </c>
      <c r="T1352" s="1">
        <v>-9.64E-2</v>
      </c>
      <c r="U1352" s="1">
        <v>-8.5599999999999996E-2</v>
      </c>
    </row>
    <row r="1353" spans="1:21" x14ac:dyDescent="0.25">
      <c r="A1353" t="s">
        <v>2863</v>
      </c>
      <c r="B1353" t="s">
        <v>2864</v>
      </c>
      <c r="C1353" t="s">
        <v>30</v>
      </c>
      <c r="D1353" t="s">
        <v>31</v>
      </c>
      <c r="E1353" t="s">
        <v>31</v>
      </c>
      <c r="F1353" t="str">
        <f t="shared" si="23"/>
        <v>2018-05-20</v>
      </c>
      <c r="G1353">
        <v>33.08</v>
      </c>
      <c r="H1353" t="str">
        <f>"2018-05-15"</f>
        <v>2018-05-15</v>
      </c>
      <c r="I1353" t="s">
        <v>40</v>
      </c>
      <c r="J1353" t="str">
        <f>"2016-08-09"</f>
        <v>2016-08-09</v>
      </c>
      <c r="K1353" t="s">
        <v>26</v>
      </c>
      <c r="L1353">
        <v>-1.8511920799999999</v>
      </c>
      <c r="M1353">
        <v>1352</v>
      </c>
      <c r="N1353" s="1">
        <v>1.2500000000000001E-2</v>
      </c>
      <c r="O1353" s="1">
        <v>-0.1072</v>
      </c>
      <c r="P1353" s="1">
        <v>2.7300000000000001E-2</v>
      </c>
      <c r="Q1353" s="1">
        <v>9.1999999999999998E-3</v>
      </c>
      <c r="R1353" s="1">
        <v>1.0699999999999999E-2</v>
      </c>
      <c r="S1353" s="1">
        <v>-3.3599999999999998E-2</v>
      </c>
      <c r="T1353" s="1">
        <v>-2.7900000000000001E-2</v>
      </c>
      <c r="U1353" s="1">
        <v>0.1023</v>
      </c>
    </row>
    <row r="1354" spans="1:21" x14ac:dyDescent="0.25">
      <c r="A1354" t="s">
        <v>2865</v>
      </c>
      <c r="B1354" t="s">
        <v>2866</v>
      </c>
      <c r="C1354" t="s">
        <v>114</v>
      </c>
      <c r="D1354" t="s">
        <v>809</v>
      </c>
      <c r="E1354" t="s">
        <v>1783</v>
      </c>
      <c r="F1354" t="str">
        <f t="shared" si="23"/>
        <v>2018-05-20</v>
      </c>
      <c r="G1354">
        <v>23.3</v>
      </c>
      <c r="H1354" t="str">
        <f>"2018-05-03"</f>
        <v>2018-05-03</v>
      </c>
      <c r="I1354" t="s">
        <v>40</v>
      </c>
      <c r="J1354" t="str">
        <f>"2016-12-06"</f>
        <v>2016-12-06</v>
      </c>
      <c r="K1354" t="s">
        <v>26</v>
      </c>
      <c r="L1354">
        <v>-1.8514977699999999</v>
      </c>
      <c r="M1354">
        <v>1353</v>
      </c>
      <c r="N1354" s="1">
        <v>3.3300000000000003E-2</v>
      </c>
      <c r="O1354" s="1">
        <v>-0.109</v>
      </c>
      <c r="P1354" s="1">
        <v>6.6400000000000001E-2</v>
      </c>
      <c r="Q1354" s="1">
        <v>1.7500000000000002E-2</v>
      </c>
      <c r="R1354" s="1">
        <v>3.3300000000000003E-2</v>
      </c>
      <c r="S1354" s="1">
        <v>-7.3599999999999999E-2</v>
      </c>
      <c r="T1354" s="1">
        <v>-6.2399999999999997E-2</v>
      </c>
      <c r="U1354" s="1">
        <v>0.15629999999999999</v>
      </c>
    </row>
    <row r="1355" spans="1:21" x14ac:dyDescent="0.25">
      <c r="A1355" t="s">
        <v>2867</v>
      </c>
      <c r="B1355" t="s">
        <v>2868</v>
      </c>
      <c r="C1355" t="s">
        <v>43</v>
      </c>
      <c r="D1355" t="s">
        <v>44</v>
      </c>
      <c r="E1355" t="s">
        <v>246</v>
      </c>
      <c r="F1355" t="str">
        <f t="shared" si="23"/>
        <v>2018-05-20</v>
      </c>
      <c r="G1355">
        <v>56.11</v>
      </c>
      <c r="H1355" t="str">
        <f>"2018-05-02"</f>
        <v>2018-05-02</v>
      </c>
      <c r="I1355" t="s">
        <v>40</v>
      </c>
      <c r="J1355" t="str">
        <f>"2017-05-10"</f>
        <v>2017-05-10</v>
      </c>
      <c r="K1355" t="s">
        <v>26</v>
      </c>
      <c r="L1355">
        <v>-1.8527528499999999</v>
      </c>
      <c r="M1355">
        <v>1354</v>
      </c>
      <c r="N1355" s="1">
        <v>4.3099999999999999E-2</v>
      </c>
      <c r="O1355" s="1">
        <v>-0.11650000000000001</v>
      </c>
      <c r="P1355" s="1">
        <v>5.45E-2</v>
      </c>
      <c r="Q1355" s="1">
        <v>1.1900000000000001E-2</v>
      </c>
      <c r="R1355" s="1">
        <v>3.73E-2</v>
      </c>
      <c r="S1355" s="1">
        <v>-3.95E-2</v>
      </c>
      <c r="T1355" s="1">
        <v>-8.48E-2</v>
      </c>
      <c r="U1355" s="1">
        <v>0.1002</v>
      </c>
    </row>
    <row r="1356" spans="1:21" x14ac:dyDescent="0.25">
      <c r="A1356" t="s">
        <v>2869</v>
      </c>
      <c r="B1356" t="s">
        <v>2870</v>
      </c>
      <c r="C1356" t="s">
        <v>30</v>
      </c>
      <c r="D1356" t="s">
        <v>299</v>
      </c>
      <c r="E1356" t="s">
        <v>300</v>
      </c>
      <c r="F1356" t="str">
        <f t="shared" si="23"/>
        <v>2018-05-20</v>
      </c>
      <c r="G1356">
        <v>48.95</v>
      </c>
      <c r="H1356" t="str">
        <f>"2018-05-15"</f>
        <v>2018-05-15</v>
      </c>
      <c r="I1356" t="s">
        <v>40</v>
      </c>
      <c r="J1356" t="str">
        <f>"2016-04-18"</f>
        <v>2016-04-18</v>
      </c>
      <c r="K1356" t="s">
        <v>26</v>
      </c>
      <c r="L1356">
        <v>-1.853003</v>
      </c>
      <c r="M1356">
        <v>1355</v>
      </c>
      <c r="N1356" s="1">
        <v>5.3800000000000001E-2</v>
      </c>
      <c r="O1356" s="1">
        <v>-0.11799999999999999</v>
      </c>
      <c r="P1356" s="1">
        <v>5.3800000000000001E-2</v>
      </c>
      <c r="Q1356" s="1">
        <v>1.35E-2</v>
      </c>
      <c r="R1356" s="1">
        <v>4.1500000000000002E-2</v>
      </c>
      <c r="S1356" s="1">
        <v>-6.7599999999999993E-2</v>
      </c>
      <c r="T1356" s="1">
        <v>-8.2500000000000004E-2</v>
      </c>
      <c r="U1356" s="1">
        <v>0.1012</v>
      </c>
    </row>
    <row r="1357" spans="1:21" x14ac:dyDescent="0.25">
      <c r="A1357" t="s">
        <v>2871</v>
      </c>
      <c r="B1357" t="s">
        <v>2872</v>
      </c>
      <c r="C1357" t="s">
        <v>30</v>
      </c>
      <c r="D1357" t="s">
        <v>31</v>
      </c>
      <c r="E1357" t="s">
        <v>31</v>
      </c>
      <c r="F1357" t="str">
        <f t="shared" ref="F1357:F1420" si="24">"2018-05-20"</f>
        <v>2018-05-20</v>
      </c>
      <c r="G1357">
        <v>32.700000000000003</v>
      </c>
      <c r="H1357" t="str">
        <f>"2018-04-19"</f>
        <v>2018-04-19</v>
      </c>
      <c r="I1357" t="s">
        <v>40</v>
      </c>
      <c r="J1357" t="str">
        <f>"2017-10-12"</f>
        <v>2017-10-12</v>
      </c>
      <c r="K1357" t="s">
        <v>26</v>
      </c>
      <c r="L1357">
        <v>-1.8540829999999999</v>
      </c>
      <c r="M1357">
        <v>1356</v>
      </c>
      <c r="N1357" s="1">
        <v>2.0299999999999999E-2</v>
      </c>
      <c r="O1357" s="1">
        <v>-0.1245</v>
      </c>
      <c r="P1357" s="1">
        <v>3.9699999999999999E-2</v>
      </c>
      <c r="Q1357" s="1">
        <v>1.55E-2</v>
      </c>
      <c r="R1357" s="1">
        <v>1.55E-2</v>
      </c>
      <c r="S1357" s="1">
        <v>4.5999999999999999E-3</v>
      </c>
      <c r="T1357" s="1">
        <v>-9.1700000000000004E-2</v>
      </c>
      <c r="U1357" s="1">
        <v>1.24E-2</v>
      </c>
    </row>
    <row r="1358" spans="1:21" x14ac:dyDescent="0.25">
      <c r="A1358" t="s">
        <v>2873</v>
      </c>
      <c r="B1358" t="s">
        <v>2874</v>
      </c>
      <c r="C1358" t="s">
        <v>43</v>
      </c>
      <c r="D1358" t="s">
        <v>150</v>
      </c>
      <c r="E1358" t="s">
        <v>408</v>
      </c>
      <c r="F1358" t="str">
        <f t="shared" si="24"/>
        <v>2018-05-20</v>
      </c>
      <c r="G1358">
        <v>29.41</v>
      </c>
      <c r="H1358" t="str">
        <f>"2018-04-11"</f>
        <v>2018-04-11</v>
      </c>
      <c r="I1358" t="s">
        <v>40</v>
      </c>
      <c r="J1358" t="str">
        <f>"2018-03-08"</f>
        <v>2018-03-08</v>
      </c>
      <c r="K1358" t="s">
        <v>26</v>
      </c>
      <c r="L1358">
        <v>-1.80564367</v>
      </c>
      <c r="M1358">
        <v>1357</v>
      </c>
      <c r="N1358" s="1">
        <v>0.3584</v>
      </c>
      <c r="O1358" s="1">
        <v>0.1661</v>
      </c>
      <c r="P1358" s="1">
        <v>0.39379999999999998</v>
      </c>
      <c r="Q1358" s="1">
        <v>1.9099999999999999E-2</v>
      </c>
      <c r="R1358" s="1">
        <v>3.9600000000000003E-2</v>
      </c>
      <c r="S1358" s="1">
        <v>0.33560000000000001</v>
      </c>
      <c r="T1358" s="1">
        <v>0.1268</v>
      </c>
      <c r="U1358" s="1">
        <v>0.89859999999999995</v>
      </c>
    </row>
    <row r="1359" spans="1:21" x14ac:dyDescent="0.25">
      <c r="A1359" t="s">
        <v>2875</v>
      </c>
      <c r="B1359" t="s">
        <v>2876</v>
      </c>
      <c r="C1359" t="s">
        <v>43</v>
      </c>
      <c r="D1359" t="s">
        <v>193</v>
      </c>
      <c r="E1359" t="s">
        <v>239</v>
      </c>
      <c r="F1359" t="str">
        <f t="shared" si="24"/>
        <v>2018-05-20</v>
      </c>
      <c r="G1359">
        <v>31.96</v>
      </c>
      <c r="H1359" t="str">
        <f>"2018-04-10"</f>
        <v>2018-04-10</v>
      </c>
      <c r="I1359" t="s">
        <v>40</v>
      </c>
      <c r="J1359" t="str">
        <f>"2018-02-05"</f>
        <v>2018-02-05</v>
      </c>
      <c r="K1359" t="s">
        <v>26</v>
      </c>
      <c r="L1359">
        <v>-1.8288895999999999</v>
      </c>
      <c r="M1359">
        <v>1358</v>
      </c>
      <c r="N1359" s="1">
        <v>0.17460000000000001</v>
      </c>
      <c r="O1359" s="1">
        <v>2.6700000000000002E-2</v>
      </c>
      <c r="P1359" s="1">
        <v>0.19969999999999999</v>
      </c>
      <c r="Q1359" s="1">
        <v>5.0000000000000001E-3</v>
      </c>
      <c r="R1359" s="1">
        <v>3.4599999999999999E-2</v>
      </c>
      <c r="S1359" s="1">
        <v>0.12479999999999999</v>
      </c>
      <c r="T1359" s="1">
        <v>6.6400000000000001E-2</v>
      </c>
      <c r="U1359" s="1">
        <v>1.9E-3</v>
      </c>
    </row>
    <row r="1360" spans="1:21" x14ac:dyDescent="0.25">
      <c r="A1360" t="s">
        <v>2877</v>
      </c>
      <c r="B1360" t="s">
        <v>2878</v>
      </c>
      <c r="C1360" t="s">
        <v>109</v>
      </c>
      <c r="D1360" t="s">
        <v>156</v>
      </c>
      <c r="E1360" t="s">
        <v>277</v>
      </c>
      <c r="F1360" t="str">
        <f t="shared" si="24"/>
        <v>2018-05-20</v>
      </c>
      <c r="G1360">
        <v>23.58</v>
      </c>
      <c r="H1360" t="str">
        <f>"2018-04-25"</f>
        <v>2018-04-25</v>
      </c>
      <c r="I1360" t="s">
        <v>40</v>
      </c>
      <c r="J1360" t="str">
        <f>"2018-03-29"</f>
        <v>2018-03-29</v>
      </c>
      <c r="K1360" t="s">
        <v>26</v>
      </c>
      <c r="L1360">
        <v>-1.83466554</v>
      </c>
      <c r="M1360">
        <v>1359</v>
      </c>
      <c r="N1360" s="1">
        <v>8.6599999999999996E-2</v>
      </c>
      <c r="O1360" s="1">
        <v>-8.0000000000000002E-3</v>
      </c>
      <c r="P1360" s="1">
        <v>0.1019</v>
      </c>
      <c r="Q1360" s="1">
        <v>3.7400000000000003E-2</v>
      </c>
      <c r="R1360" s="1">
        <v>3.0000000000000001E-3</v>
      </c>
      <c r="S1360" s="1">
        <v>6.0699999999999997E-2</v>
      </c>
      <c r="T1360" s="1">
        <v>0.16389999999999999</v>
      </c>
      <c r="U1360" s="1">
        <v>0.30059999999999998</v>
      </c>
    </row>
    <row r="1361" spans="1:21" x14ac:dyDescent="0.25">
      <c r="A1361" t="s">
        <v>2879</v>
      </c>
      <c r="B1361" t="s">
        <v>2880</v>
      </c>
      <c r="C1361" t="s">
        <v>109</v>
      </c>
      <c r="D1361" t="s">
        <v>156</v>
      </c>
      <c r="E1361" t="s">
        <v>277</v>
      </c>
      <c r="F1361" t="str">
        <f t="shared" si="24"/>
        <v>2018-05-20</v>
      </c>
      <c r="G1361">
        <v>79.3</v>
      </c>
      <c r="H1361" t="str">
        <f>"2018-03-26"</f>
        <v>2018-03-26</v>
      </c>
      <c r="I1361" t="s">
        <v>40</v>
      </c>
      <c r="J1361" t="str">
        <f>"2018-01-28"</f>
        <v>2018-01-28</v>
      </c>
      <c r="K1361" t="s">
        <v>26</v>
      </c>
      <c r="L1361">
        <v>-1.83581781</v>
      </c>
      <c r="M1361">
        <v>1360</v>
      </c>
      <c r="N1361" s="1">
        <v>8.6999999999999994E-2</v>
      </c>
      <c r="O1361" s="1">
        <v>-1.49E-2</v>
      </c>
      <c r="P1361" s="1">
        <v>0.128</v>
      </c>
      <c r="Q1361" s="1">
        <v>5.9999999999999995E-4</v>
      </c>
      <c r="R1361" s="1">
        <v>-1.9E-3</v>
      </c>
      <c r="S1361" s="1">
        <v>-3.0999999999999999E-3</v>
      </c>
      <c r="T1361" s="1">
        <v>5.0999999999999997E-2</v>
      </c>
      <c r="U1361" s="1">
        <v>-3.4099999999999998E-2</v>
      </c>
    </row>
    <row r="1362" spans="1:21" x14ac:dyDescent="0.25">
      <c r="A1362" t="s">
        <v>2881</v>
      </c>
      <c r="B1362" t="s">
        <v>2882</v>
      </c>
      <c r="C1362" t="s">
        <v>87</v>
      </c>
      <c r="D1362" t="s">
        <v>144</v>
      </c>
      <c r="E1362" t="s">
        <v>145</v>
      </c>
      <c r="F1362" t="str">
        <f t="shared" si="24"/>
        <v>2018-05-20</v>
      </c>
      <c r="G1362">
        <v>5.1100000000000003</v>
      </c>
      <c r="H1362" t="str">
        <f>"2018-04-04"</f>
        <v>2018-04-04</v>
      </c>
      <c r="I1362" t="s">
        <v>40</v>
      </c>
      <c r="J1362" t="str">
        <f>"2018-01-02"</f>
        <v>2018-01-02</v>
      </c>
      <c r="K1362" t="s">
        <v>26</v>
      </c>
      <c r="L1362">
        <v>-1.8365323099999999</v>
      </c>
      <c r="M1362">
        <v>1361</v>
      </c>
      <c r="N1362" s="1">
        <v>0.34470000000000001</v>
      </c>
      <c r="O1362" s="1">
        <v>-1.9199999999999998E-2</v>
      </c>
      <c r="P1362" s="1">
        <v>0.43140000000000001</v>
      </c>
      <c r="Q1362" s="1">
        <v>-5.7999999999999996E-3</v>
      </c>
      <c r="R1362" s="1">
        <v>5.5800000000000002E-2</v>
      </c>
      <c r="S1362" s="1">
        <v>0.17469999999999999</v>
      </c>
      <c r="T1362" s="1">
        <v>0.19950000000000001</v>
      </c>
      <c r="U1362" s="1">
        <v>0.16400000000000001</v>
      </c>
    </row>
    <row r="1363" spans="1:21" x14ac:dyDescent="0.25">
      <c r="A1363" t="s">
        <v>2883</v>
      </c>
      <c r="B1363" t="s">
        <v>2884</v>
      </c>
      <c r="C1363" t="s">
        <v>23</v>
      </c>
      <c r="D1363" t="s">
        <v>52</v>
      </c>
      <c r="E1363" t="s">
        <v>2885</v>
      </c>
      <c r="F1363" t="str">
        <f t="shared" si="24"/>
        <v>2018-05-20</v>
      </c>
      <c r="G1363">
        <v>103.72</v>
      </c>
      <c r="H1363" t="str">
        <f>"2018-02-26"</f>
        <v>2018-02-26</v>
      </c>
      <c r="I1363" t="s">
        <v>40</v>
      </c>
      <c r="J1363" t="str">
        <f>"2017-04-04"</f>
        <v>2017-04-04</v>
      </c>
      <c r="K1363" t="s">
        <v>26</v>
      </c>
      <c r="L1363">
        <v>-1.83657906</v>
      </c>
      <c r="M1363">
        <v>1362</v>
      </c>
      <c r="N1363" s="1">
        <v>0.2019</v>
      </c>
      <c r="O1363" s="1">
        <v>-1.95E-2</v>
      </c>
      <c r="P1363" s="1">
        <v>0.37719999999999998</v>
      </c>
      <c r="Q1363" s="1">
        <v>1.9300000000000001E-2</v>
      </c>
      <c r="R1363" s="1">
        <v>1.8499999999999999E-2</v>
      </c>
      <c r="S1363" s="1">
        <v>0.14940000000000001</v>
      </c>
      <c r="T1363" s="1">
        <v>0.2019</v>
      </c>
      <c r="U1363" s="1">
        <v>0.79420000000000002</v>
      </c>
    </row>
    <row r="1364" spans="1:21" x14ac:dyDescent="0.25">
      <c r="A1364" t="s">
        <v>2886</v>
      </c>
      <c r="B1364" t="s">
        <v>2887</v>
      </c>
      <c r="C1364" t="s">
        <v>30</v>
      </c>
      <c r="D1364" t="s">
        <v>31</v>
      </c>
      <c r="E1364" t="s">
        <v>31</v>
      </c>
      <c r="F1364" t="str">
        <f t="shared" si="24"/>
        <v>2018-05-20</v>
      </c>
      <c r="G1364">
        <v>27.77</v>
      </c>
      <c r="H1364" t="str">
        <f>"2018-02-12"</f>
        <v>2018-02-12</v>
      </c>
      <c r="I1364" t="s">
        <v>40</v>
      </c>
      <c r="J1364" t="str">
        <f>"2017-09-24"</f>
        <v>2017-09-24</v>
      </c>
      <c r="K1364" t="s">
        <v>26</v>
      </c>
      <c r="L1364">
        <v>-1.8390144900000001</v>
      </c>
      <c r="M1364">
        <v>1363</v>
      </c>
      <c r="N1364" s="1">
        <v>9.7600000000000006E-2</v>
      </c>
      <c r="O1364" s="1">
        <v>-3.4099999999999998E-2</v>
      </c>
      <c r="P1364" s="1">
        <v>0.1162</v>
      </c>
      <c r="Q1364" s="1">
        <v>1.3899999999999999E-2</v>
      </c>
      <c r="R1364" s="1">
        <v>3.9699999999999999E-2</v>
      </c>
      <c r="S1364" s="1">
        <v>5.0299999999999997E-2</v>
      </c>
      <c r="T1364" s="1">
        <v>6.9699999999999998E-2</v>
      </c>
      <c r="U1364" s="1">
        <v>0.1605</v>
      </c>
    </row>
    <row r="1365" spans="1:21" x14ac:dyDescent="0.25">
      <c r="A1365" t="s">
        <v>2888</v>
      </c>
      <c r="B1365" t="s">
        <v>2889</v>
      </c>
      <c r="C1365" t="s">
        <v>43</v>
      </c>
      <c r="D1365" t="s">
        <v>150</v>
      </c>
      <c r="E1365" t="s">
        <v>408</v>
      </c>
      <c r="F1365" t="str">
        <f t="shared" si="24"/>
        <v>2018-05-20</v>
      </c>
      <c r="G1365">
        <v>52.2</v>
      </c>
      <c r="H1365" t="str">
        <f>"2018-04-03"</f>
        <v>2018-04-03</v>
      </c>
      <c r="I1365" t="s">
        <v>40</v>
      </c>
      <c r="J1365" t="str">
        <f>"2017-10-05"</f>
        <v>2017-10-05</v>
      </c>
      <c r="K1365" t="s">
        <v>26</v>
      </c>
      <c r="L1365">
        <v>-1.8394833900000001</v>
      </c>
      <c r="M1365">
        <v>1364</v>
      </c>
      <c r="N1365" s="1">
        <v>7.9600000000000004E-2</v>
      </c>
      <c r="O1365" s="1">
        <v>-3.6900000000000002E-2</v>
      </c>
      <c r="P1365" s="1">
        <v>0.19040000000000001</v>
      </c>
      <c r="Q1365" s="1">
        <v>2.35E-2</v>
      </c>
      <c r="R1365" s="1">
        <v>9.7799999999999998E-2</v>
      </c>
      <c r="S1365" s="1">
        <v>0.151</v>
      </c>
      <c r="T1365" s="1">
        <v>-1.5100000000000001E-2</v>
      </c>
      <c r="U1365" s="1">
        <v>0.1613</v>
      </c>
    </row>
    <row r="1366" spans="1:21" x14ac:dyDescent="0.25">
      <c r="A1366" t="s">
        <v>2890</v>
      </c>
      <c r="B1366" t="s">
        <v>2891</v>
      </c>
      <c r="C1366" t="s">
        <v>87</v>
      </c>
      <c r="D1366" t="s">
        <v>144</v>
      </c>
      <c r="E1366" t="s">
        <v>145</v>
      </c>
      <c r="F1366" t="str">
        <f t="shared" si="24"/>
        <v>2018-05-20</v>
      </c>
      <c r="G1366">
        <v>16.559999999999999</v>
      </c>
      <c r="H1366" t="str">
        <f>"2018-05-02"</f>
        <v>2018-05-02</v>
      </c>
      <c r="I1366" t="s">
        <v>40</v>
      </c>
      <c r="J1366" t="str">
        <f>"2018-02-01"</f>
        <v>2018-02-01</v>
      </c>
      <c r="K1366" t="s">
        <v>26</v>
      </c>
      <c r="L1366">
        <v>-1.83953488</v>
      </c>
      <c r="M1366">
        <v>1365</v>
      </c>
      <c r="N1366" s="1">
        <v>6.9800000000000001E-2</v>
      </c>
      <c r="O1366" s="1">
        <v>-3.7199999999999997E-2</v>
      </c>
      <c r="P1366" s="1">
        <v>0.17530000000000001</v>
      </c>
      <c r="Q1366" s="1">
        <v>1.0999999999999999E-2</v>
      </c>
      <c r="R1366" s="1">
        <v>3.56E-2</v>
      </c>
      <c r="S1366" s="1">
        <v>4.8099999999999997E-2</v>
      </c>
      <c r="T1366" s="1">
        <v>0.104</v>
      </c>
      <c r="U1366" s="1">
        <v>1.35E-2</v>
      </c>
    </row>
    <row r="1367" spans="1:21" x14ac:dyDescent="0.25">
      <c r="A1367" t="s">
        <v>2892</v>
      </c>
      <c r="B1367" t="s">
        <v>2893</v>
      </c>
      <c r="C1367" t="s">
        <v>100</v>
      </c>
      <c r="D1367" t="s">
        <v>199</v>
      </c>
      <c r="E1367" t="s">
        <v>200</v>
      </c>
      <c r="F1367" t="str">
        <f t="shared" si="24"/>
        <v>2018-05-20</v>
      </c>
      <c r="G1367">
        <v>157.15</v>
      </c>
      <c r="H1367" t="str">
        <f>"2018-03-25"</f>
        <v>2018-03-25</v>
      </c>
      <c r="I1367" t="s">
        <v>40</v>
      </c>
      <c r="J1367" t="str">
        <f>"2016-03-31"</f>
        <v>2016-03-31</v>
      </c>
      <c r="K1367" t="s">
        <v>26</v>
      </c>
      <c r="L1367">
        <v>-1.8410506900000001</v>
      </c>
      <c r="M1367">
        <v>1366</v>
      </c>
      <c r="N1367" s="1">
        <v>7.3400000000000007E-2</v>
      </c>
      <c r="O1367" s="1">
        <v>-4.6300000000000001E-2</v>
      </c>
      <c r="P1367" s="1">
        <v>0.1166</v>
      </c>
      <c r="Q1367" s="1">
        <v>9.1999999999999998E-3</v>
      </c>
      <c r="R1367" s="1">
        <v>5.45E-2</v>
      </c>
      <c r="S1367" s="1">
        <v>2.5100000000000001E-2</v>
      </c>
      <c r="T1367" s="1">
        <v>3.56E-2</v>
      </c>
      <c r="U1367" s="1">
        <v>0.13650000000000001</v>
      </c>
    </row>
    <row r="1368" spans="1:21" x14ac:dyDescent="0.25">
      <c r="A1368" t="s">
        <v>2894</v>
      </c>
      <c r="B1368" t="s">
        <v>2895</v>
      </c>
      <c r="C1368" t="s">
        <v>114</v>
      </c>
      <c r="D1368" t="s">
        <v>115</v>
      </c>
      <c r="E1368" t="s">
        <v>116</v>
      </c>
      <c r="F1368" t="str">
        <f t="shared" si="24"/>
        <v>2018-05-20</v>
      </c>
      <c r="G1368">
        <v>18.46</v>
      </c>
      <c r="H1368" t="str">
        <f>"2018-05-03"</f>
        <v>2018-05-03</v>
      </c>
      <c r="I1368" t="s">
        <v>40</v>
      </c>
      <c r="J1368" t="str">
        <f>"2016-04-12"</f>
        <v>2016-04-12</v>
      </c>
      <c r="K1368" t="s">
        <v>26</v>
      </c>
      <c r="L1368">
        <v>-1.8418979099999999</v>
      </c>
      <c r="M1368">
        <v>1367</v>
      </c>
      <c r="N1368" s="1">
        <v>0.1188</v>
      </c>
      <c r="O1368" s="1">
        <v>-5.1400000000000001E-2</v>
      </c>
      <c r="P1368" s="1">
        <v>0.1188</v>
      </c>
      <c r="Q1368" s="1">
        <v>1.54E-2</v>
      </c>
      <c r="R1368" s="1">
        <v>5.0700000000000002E-2</v>
      </c>
      <c r="S1368" s="1">
        <v>7.1400000000000005E-2</v>
      </c>
      <c r="T1368" s="1">
        <v>5.4899999999999997E-2</v>
      </c>
      <c r="U1368" s="1">
        <v>0.14799999999999999</v>
      </c>
    </row>
    <row r="1369" spans="1:21" x14ac:dyDescent="0.25">
      <c r="A1369" t="s">
        <v>2896</v>
      </c>
      <c r="B1369" t="s">
        <v>2897</v>
      </c>
      <c r="C1369" t="s">
        <v>30</v>
      </c>
      <c r="D1369" t="s">
        <v>31</v>
      </c>
      <c r="E1369" t="s">
        <v>31</v>
      </c>
      <c r="F1369" t="str">
        <f t="shared" si="24"/>
        <v>2018-05-20</v>
      </c>
      <c r="G1369">
        <v>24.99</v>
      </c>
      <c r="H1369" t="str">
        <f>"2018-02-05"</f>
        <v>2018-02-05</v>
      </c>
      <c r="I1369" t="s">
        <v>40</v>
      </c>
      <c r="J1369" t="str">
        <f>"2017-07-06"</f>
        <v>2017-07-06</v>
      </c>
      <c r="K1369" t="s">
        <v>26</v>
      </c>
      <c r="L1369">
        <v>-1.84247352</v>
      </c>
      <c r="M1369">
        <v>1368</v>
      </c>
      <c r="N1369" s="1">
        <v>0.1231</v>
      </c>
      <c r="O1369" s="1">
        <v>-5.4800000000000001E-2</v>
      </c>
      <c r="P1369" s="1">
        <v>0.1231</v>
      </c>
      <c r="Q1369" s="1">
        <v>8.8999999999999999E-3</v>
      </c>
      <c r="R1369" s="1">
        <v>3.2199999999999999E-2</v>
      </c>
      <c r="S1369" s="1">
        <v>6.4000000000000003E-3</v>
      </c>
      <c r="T1369" s="1">
        <v>8.1799999999999998E-2</v>
      </c>
      <c r="U1369" s="1">
        <v>0.11409999999999999</v>
      </c>
    </row>
    <row r="1370" spans="1:21" x14ac:dyDescent="0.25">
      <c r="A1370" t="s">
        <v>2898</v>
      </c>
      <c r="B1370" t="s">
        <v>2899</v>
      </c>
      <c r="C1370" t="s">
        <v>37</v>
      </c>
      <c r="D1370" t="s">
        <v>38</v>
      </c>
      <c r="E1370" t="s">
        <v>97</v>
      </c>
      <c r="F1370" t="str">
        <f t="shared" si="24"/>
        <v>2018-05-20</v>
      </c>
      <c r="G1370">
        <v>15.01</v>
      </c>
      <c r="H1370" t="str">
        <f>"2018-04-09"</f>
        <v>2018-04-09</v>
      </c>
      <c r="I1370" t="s">
        <v>40</v>
      </c>
      <c r="J1370" t="str">
        <f>"2017-11-16"</f>
        <v>2017-11-16</v>
      </c>
      <c r="K1370" t="s">
        <v>26</v>
      </c>
      <c r="L1370">
        <v>-1.84335212</v>
      </c>
      <c r="M1370">
        <v>1369</v>
      </c>
      <c r="N1370" s="1">
        <v>0.1004</v>
      </c>
      <c r="O1370" s="1">
        <v>-6.0100000000000001E-2</v>
      </c>
      <c r="P1370" s="1">
        <v>0.13370000000000001</v>
      </c>
      <c r="Q1370" s="1">
        <v>-6.6E-3</v>
      </c>
      <c r="R1370" s="1">
        <v>2E-3</v>
      </c>
      <c r="S1370" s="1">
        <v>7.6799999999999993E-2</v>
      </c>
      <c r="T1370" s="1">
        <v>2.8799999999999999E-2</v>
      </c>
      <c r="U1370" s="1">
        <v>0.45300000000000001</v>
      </c>
    </row>
    <row r="1371" spans="1:21" x14ac:dyDescent="0.25">
      <c r="A1371" t="s">
        <v>2900</v>
      </c>
      <c r="B1371" t="s">
        <v>2901</v>
      </c>
      <c r="C1371" t="s">
        <v>30</v>
      </c>
      <c r="D1371" t="s">
        <v>347</v>
      </c>
      <c r="E1371" t="s">
        <v>523</v>
      </c>
      <c r="F1371" t="str">
        <f t="shared" si="24"/>
        <v>2018-05-20</v>
      </c>
      <c r="G1371">
        <v>17.809999999999999</v>
      </c>
      <c r="H1371" t="str">
        <f>"2018-04-02"</f>
        <v>2018-04-02</v>
      </c>
      <c r="I1371" t="s">
        <v>40</v>
      </c>
      <c r="J1371" t="str">
        <f>"2017-10-17"</f>
        <v>2017-10-17</v>
      </c>
      <c r="K1371" t="s">
        <v>26</v>
      </c>
      <c r="L1371">
        <v>-1.84335972</v>
      </c>
      <c r="M1371">
        <v>1370</v>
      </c>
      <c r="N1371" s="1">
        <v>0.18179999999999999</v>
      </c>
      <c r="O1371" s="1">
        <v>-6.0199999999999997E-2</v>
      </c>
      <c r="P1371" s="1">
        <v>0.18179999999999999</v>
      </c>
      <c r="Q1371" s="1">
        <v>1.7100000000000001E-2</v>
      </c>
      <c r="R1371" s="1">
        <v>7.6100000000000001E-2</v>
      </c>
      <c r="S1371" s="1">
        <v>0.09</v>
      </c>
      <c r="T1371" s="1">
        <v>4.6399999999999997E-2</v>
      </c>
      <c r="U1371" s="1">
        <v>0.44679999999999997</v>
      </c>
    </row>
    <row r="1372" spans="1:21" x14ac:dyDescent="0.25">
      <c r="A1372" t="s">
        <v>2902</v>
      </c>
      <c r="B1372" t="s">
        <v>2903</v>
      </c>
      <c r="C1372" t="s">
        <v>23</v>
      </c>
      <c r="D1372" t="s">
        <v>173</v>
      </c>
      <c r="E1372" t="s">
        <v>174</v>
      </c>
      <c r="F1372" t="str">
        <f t="shared" si="24"/>
        <v>2018-05-20</v>
      </c>
      <c r="G1372">
        <v>11.49</v>
      </c>
      <c r="H1372" t="str">
        <f>"2018-04-05"</f>
        <v>2018-04-05</v>
      </c>
      <c r="I1372" t="s">
        <v>40</v>
      </c>
      <c r="J1372" t="str">
        <f>"2017-09-27"</f>
        <v>2017-09-27</v>
      </c>
      <c r="K1372" t="s">
        <v>26</v>
      </c>
      <c r="L1372">
        <v>-1.8434178299999999</v>
      </c>
      <c r="M1372">
        <v>1371</v>
      </c>
      <c r="N1372" s="1">
        <v>0.24079999999999999</v>
      </c>
      <c r="O1372" s="1">
        <v>-6.0499999999999998E-2</v>
      </c>
      <c r="P1372" s="1">
        <v>0.253</v>
      </c>
      <c r="Q1372" s="1">
        <v>-1.2E-2</v>
      </c>
      <c r="R1372" s="1">
        <v>4.4000000000000003E-3</v>
      </c>
      <c r="S1372" s="1">
        <v>0.17849999999999999</v>
      </c>
      <c r="T1372" s="1">
        <v>7.4800000000000005E-2</v>
      </c>
      <c r="U1372" s="1">
        <v>0.49609999999999999</v>
      </c>
    </row>
    <row r="1373" spans="1:21" x14ac:dyDescent="0.25">
      <c r="A1373" t="s">
        <v>2904</v>
      </c>
      <c r="B1373" t="s">
        <v>2905</v>
      </c>
      <c r="C1373" t="s">
        <v>83</v>
      </c>
      <c r="D1373" t="s">
        <v>342</v>
      </c>
      <c r="E1373" t="s">
        <v>342</v>
      </c>
      <c r="F1373" t="str">
        <f t="shared" si="24"/>
        <v>2018-05-20</v>
      </c>
      <c r="G1373">
        <v>29.45</v>
      </c>
      <c r="H1373" t="str">
        <f>"2018-02-15"</f>
        <v>2018-02-15</v>
      </c>
      <c r="I1373" t="s">
        <v>40</v>
      </c>
      <c r="J1373" t="str">
        <f>"2016-12-06"</f>
        <v>2016-12-06</v>
      </c>
      <c r="K1373" t="s">
        <v>26</v>
      </c>
      <c r="L1373">
        <v>-1.84452539</v>
      </c>
      <c r="M1373">
        <v>1372</v>
      </c>
      <c r="N1373" s="1">
        <v>6.3600000000000004E-2</v>
      </c>
      <c r="O1373" s="1">
        <v>-6.7199999999999996E-2</v>
      </c>
      <c r="P1373" s="1">
        <v>0.1181</v>
      </c>
      <c r="Q1373" s="1">
        <v>3.7000000000000002E-3</v>
      </c>
      <c r="R1373" s="1">
        <v>1.03E-2</v>
      </c>
      <c r="S1373" s="1">
        <v>6.6299999999999998E-2</v>
      </c>
      <c r="T1373" s="1">
        <v>4.36E-2</v>
      </c>
      <c r="U1373" s="1">
        <v>0.1714</v>
      </c>
    </row>
    <row r="1374" spans="1:21" x14ac:dyDescent="0.25">
      <c r="A1374" t="s">
        <v>2906</v>
      </c>
      <c r="B1374" t="s">
        <v>2907</v>
      </c>
      <c r="C1374" t="s">
        <v>100</v>
      </c>
      <c r="D1374" t="s">
        <v>199</v>
      </c>
      <c r="E1374" t="s">
        <v>200</v>
      </c>
      <c r="F1374" t="str">
        <f t="shared" si="24"/>
        <v>2018-05-20</v>
      </c>
      <c r="G1374">
        <v>46.35</v>
      </c>
      <c r="H1374" t="str">
        <f>"2018-04-29"</f>
        <v>2018-04-29</v>
      </c>
      <c r="I1374" t="s">
        <v>40</v>
      </c>
      <c r="J1374" t="str">
        <f>"2016-12-06"</f>
        <v>2016-12-06</v>
      </c>
      <c r="K1374" t="s">
        <v>26</v>
      </c>
      <c r="L1374">
        <v>-1.84503511</v>
      </c>
      <c r="M1374">
        <v>1373</v>
      </c>
      <c r="N1374" s="1">
        <v>4.3900000000000002E-2</v>
      </c>
      <c r="O1374" s="1">
        <v>-7.0199999999999999E-2</v>
      </c>
      <c r="P1374" s="1">
        <v>0.11020000000000001</v>
      </c>
      <c r="Q1374" s="1">
        <v>2.2100000000000002E-2</v>
      </c>
      <c r="R1374" s="1">
        <v>2.5399999999999999E-2</v>
      </c>
      <c r="S1374" s="1">
        <v>1.3100000000000001E-2</v>
      </c>
      <c r="T1374" s="1">
        <v>-2.3199999999999998E-2</v>
      </c>
      <c r="U1374" s="1">
        <v>0.2893</v>
      </c>
    </row>
    <row r="1375" spans="1:21" x14ac:dyDescent="0.25">
      <c r="A1375" t="s">
        <v>2908</v>
      </c>
      <c r="B1375" t="s">
        <v>2909</v>
      </c>
      <c r="C1375" t="s">
        <v>30</v>
      </c>
      <c r="D1375" t="s">
        <v>31</v>
      </c>
      <c r="E1375" t="s">
        <v>31</v>
      </c>
      <c r="F1375" t="str">
        <f t="shared" si="24"/>
        <v>2018-05-20</v>
      </c>
      <c r="G1375">
        <v>25.95</v>
      </c>
      <c r="H1375" t="str">
        <f>"2018-02-05"</f>
        <v>2018-02-05</v>
      </c>
      <c r="I1375" t="s">
        <v>40</v>
      </c>
      <c r="J1375" t="str">
        <f>"2017-09-18"</f>
        <v>2017-09-18</v>
      </c>
      <c r="K1375" t="s">
        <v>26</v>
      </c>
      <c r="L1375">
        <v>-1.84503762</v>
      </c>
      <c r="M1375">
        <v>1374</v>
      </c>
      <c r="N1375" s="1">
        <v>0.1118</v>
      </c>
      <c r="O1375" s="1">
        <v>-7.0199999999999999E-2</v>
      </c>
      <c r="P1375" s="1">
        <v>0.1726</v>
      </c>
      <c r="Q1375" s="1">
        <v>-6.8999999999999999E-3</v>
      </c>
      <c r="R1375" s="1">
        <v>1.72E-2</v>
      </c>
      <c r="S1375" s="1">
        <v>-2.7400000000000001E-2</v>
      </c>
      <c r="T1375" s="1">
        <v>3.3000000000000002E-2</v>
      </c>
      <c r="U1375" s="1">
        <v>0.216</v>
      </c>
    </row>
    <row r="1376" spans="1:21" x14ac:dyDescent="0.25">
      <c r="A1376" t="s">
        <v>2910</v>
      </c>
      <c r="B1376" t="s">
        <v>2911</v>
      </c>
      <c r="C1376" t="s">
        <v>109</v>
      </c>
      <c r="D1376" t="s">
        <v>110</v>
      </c>
      <c r="E1376" t="s">
        <v>111</v>
      </c>
      <c r="F1376" t="str">
        <f t="shared" si="24"/>
        <v>2018-05-20</v>
      </c>
      <c r="G1376">
        <v>5.54</v>
      </c>
      <c r="H1376" t="str">
        <f>"2018-04-18"</f>
        <v>2018-04-18</v>
      </c>
      <c r="I1376" t="s">
        <v>40</v>
      </c>
      <c r="J1376" t="str">
        <f>"2017-10-31"</f>
        <v>2017-10-31</v>
      </c>
      <c r="K1376" t="s">
        <v>26</v>
      </c>
      <c r="L1376">
        <v>-1.8453378</v>
      </c>
      <c r="M1376">
        <v>1375</v>
      </c>
      <c r="N1376" s="1">
        <v>6.7400000000000002E-2</v>
      </c>
      <c r="O1376" s="1">
        <v>-7.1999999999999995E-2</v>
      </c>
      <c r="P1376" s="1">
        <v>0.1215</v>
      </c>
      <c r="Q1376" s="1">
        <v>3.5999999999999999E-3</v>
      </c>
      <c r="R1376" s="1">
        <v>5.3199999999999997E-2</v>
      </c>
      <c r="S1376" s="1">
        <v>5.1200000000000002E-2</v>
      </c>
      <c r="T1376" s="1">
        <v>1.84E-2</v>
      </c>
      <c r="U1376" s="1">
        <v>0.1542</v>
      </c>
    </row>
    <row r="1377" spans="1:21" x14ac:dyDescent="0.25">
      <c r="A1377" t="s">
        <v>2912</v>
      </c>
      <c r="B1377" t="s">
        <v>2913</v>
      </c>
      <c r="C1377" t="s">
        <v>109</v>
      </c>
      <c r="D1377" t="s">
        <v>156</v>
      </c>
      <c r="E1377" t="s">
        <v>284</v>
      </c>
      <c r="F1377" t="str">
        <f t="shared" si="24"/>
        <v>2018-05-20</v>
      </c>
      <c r="G1377">
        <v>78.7</v>
      </c>
      <c r="H1377" t="str">
        <f>"2018-02-18"</f>
        <v>2018-02-18</v>
      </c>
      <c r="I1377" t="s">
        <v>40</v>
      </c>
      <c r="J1377" t="str">
        <f>"2017-08-08"</f>
        <v>2017-08-08</v>
      </c>
      <c r="K1377" t="s">
        <v>26</v>
      </c>
      <c r="L1377">
        <v>-1.8456317900000001</v>
      </c>
      <c r="M1377">
        <v>1376</v>
      </c>
      <c r="N1377" s="1">
        <v>0.27989999999999998</v>
      </c>
      <c r="O1377" s="1">
        <v>-7.3800000000000004E-2</v>
      </c>
      <c r="P1377" s="1">
        <v>0.31280000000000002</v>
      </c>
      <c r="Q1377" s="1">
        <v>1.9599999999999999E-2</v>
      </c>
      <c r="R1377" s="1">
        <v>8.9700000000000002E-2</v>
      </c>
      <c r="S1377" s="1">
        <v>0.17460000000000001</v>
      </c>
      <c r="T1377" s="1">
        <v>0.22550000000000001</v>
      </c>
      <c r="U1377" s="1">
        <v>0.58640000000000003</v>
      </c>
    </row>
    <row r="1378" spans="1:21" x14ac:dyDescent="0.25">
      <c r="A1378" t="s">
        <v>2914</v>
      </c>
      <c r="B1378" t="s">
        <v>2915</v>
      </c>
      <c r="C1378" t="s">
        <v>23</v>
      </c>
      <c r="D1378" t="s">
        <v>52</v>
      </c>
      <c r="E1378" t="s">
        <v>56</v>
      </c>
      <c r="F1378" t="str">
        <f t="shared" si="24"/>
        <v>2018-05-20</v>
      </c>
      <c r="G1378">
        <v>18.899999999999999</v>
      </c>
      <c r="H1378" t="str">
        <f>"2018-04-03"</f>
        <v>2018-04-03</v>
      </c>
      <c r="I1378" t="s">
        <v>40</v>
      </c>
      <c r="J1378" t="str">
        <f>"2017-02-08"</f>
        <v>2017-02-08</v>
      </c>
      <c r="K1378" t="s">
        <v>26</v>
      </c>
      <c r="L1378">
        <v>-1.84701311</v>
      </c>
      <c r="M1378">
        <v>1377</v>
      </c>
      <c r="N1378" s="1">
        <v>0.19239999999999999</v>
      </c>
      <c r="O1378" s="1">
        <v>-8.2100000000000006E-2</v>
      </c>
      <c r="P1378" s="1">
        <v>0.22650000000000001</v>
      </c>
      <c r="Q1378" s="1">
        <v>5.8999999999999999E-3</v>
      </c>
      <c r="R1378" s="1">
        <v>1.4500000000000001E-2</v>
      </c>
      <c r="S1378" s="1">
        <v>0.1739</v>
      </c>
      <c r="T1378" s="1">
        <v>6.8999999999999999E-3</v>
      </c>
      <c r="U1378" s="1">
        <v>0.19020000000000001</v>
      </c>
    </row>
    <row r="1379" spans="1:21" x14ac:dyDescent="0.25">
      <c r="A1379" t="s">
        <v>2916</v>
      </c>
      <c r="B1379" t="s">
        <v>2917</v>
      </c>
      <c r="C1379" t="s">
        <v>30</v>
      </c>
      <c r="D1379" t="s">
        <v>31</v>
      </c>
      <c r="E1379" t="s">
        <v>31</v>
      </c>
      <c r="F1379" t="str">
        <f t="shared" si="24"/>
        <v>2018-05-20</v>
      </c>
      <c r="G1379">
        <v>20.100000000000001</v>
      </c>
      <c r="H1379" t="str">
        <f>"2018-02-13"</f>
        <v>2018-02-13</v>
      </c>
      <c r="I1379" t="s">
        <v>40</v>
      </c>
      <c r="J1379" t="str">
        <f>"2017-10-19"</f>
        <v>2017-10-19</v>
      </c>
      <c r="K1379" t="s">
        <v>26</v>
      </c>
      <c r="L1379">
        <v>-1.8473108499999999</v>
      </c>
      <c r="M1379">
        <v>1378</v>
      </c>
      <c r="N1379" s="1">
        <v>0.12790000000000001</v>
      </c>
      <c r="O1379" s="1">
        <v>-8.3900000000000002E-2</v>
      </c>
      <c r="P1379" s="1">
        <v>0.14660000000000001</v>
      </c>
      <c r="Q1379" s="1">
        <v>7.0000000000000001E-3</v>
      </c>
      <c r="R1379" s="1">
        <v>4.0399999999999998E-2</v>
      </c>
      <c r="S1379" s="1">
        <v>4.7399999999999998E-2</v>
      </c>
      <c r="T1379" s="1">
        <v>2.29E-2</v>
      </c>
      <c r="U1379" s="1">
        <v>0.13109999999999999</v>
      </c>
    </row>
    <row r="1380" spans="1:21" x14ac:dyDescent="0.25">
      <c r="A1380" t="s">
        <v>2918</v>
      </c>
      <c r="B1380" t="s">
        <v>2919</v>
      </c>
      <c r="C1380" t="s">
        <v>23</v>
      </c>
      <c r="D1380" t="s">
        <v>24</v>
      </c>
      <c r="E1380" t="s">
        <v>25</v>
      </c>
      <c r="F1380" t="str">
        <f t="shared" si="24"/>
        <v>2018-05-20</v>
      </c>
      <c r="G1380">
        <v>30.97</v>
      </c>
      <c r="H1380" t="str">
        <f>"2018-04-02"</f>
        <v>2018-04-02</v>
      </c>
      <c r="I1380" t="s">
        <v>40</v>
      </c>
      <c r="J1380" t="str">
        <f>"2017-03-13"</f>
        <v>2017-03-13</v>
      </c>
      <c r="K1380" t="s">
        <v>26</v>
      </c>
      <c r="L1380">
        <v>-1.8496017899999999</v>
      </c>
      <c r="M1380">
        <v>1379</v>
      </c>
      <c r="N1380" s="1">
        <v>0.3589</v>
      </c>
      <c r="O1380" s="1">
        <v>-9.7600000000000006E-2</v>
      </c>
      <c r="P1380" s="1">
        <v>0.3589</v>
      </c>
      <c r="Q1380" s="1">
        <v>2.3E-3</v>
      </c>
      <c r="R1380" s="1">
        <v>7.3899999999999993E-2</v>
      </c>
      <c r="S1380" s="1">
        <v>0.20269999999999999</v>
      </c>
      <c r="T1380" s="1">
        <v>7.1300000000000002E-2</v>
      </c>
      <c r="U1380" s="1">
        <v>0.877</v>
      </c>
    </row>
    <row r="1381" spans="1:21" x14ac:dyDescent="0.25">
      <c r="A1381" t="s">
        <v>2920</v>
      </c>
      <c r="B1381" t="s">
        <v>2921</v>
      </c>
      <c r="C1381" t="s">
        <v>30</v>
      </c>
      <c r="D1381" t="s">
        <v>482</v>
      </c>
      <c r="E1381" t="s">
        <v>482</v>
      </c>
      <c r="F1381" t="str">
        <f t="shared" si="24"/>
        <v>2018-05-20</v>
      </c>
      <c r="G1381">
        <v>59.85</v>
      </c>
      <c r="H1381" t="str">
        <f>"2018-04-09"</f>
        <v>2018-04-09</v>
      </c>
      <c r="I1381" t="s">
        <v>40</v>
      </c>
      <c r="J1381" t="str">
        <f>"2017-11-07"</f>
        <v>2017-11-07</v>
      </c>
      <c r="K1381" t="s">
        <v>26</v>
      </c>
      <c r="L1381">
        <v>-1.8514519700000001</v>
      </c>
      <c r="M1381">
        <v>1380</v>
      </c>
      <c r="N1381" s="1">
        <v>0.151</v>
      </c>
      <c r="O1381" s="1">
        <v>-0.1087</v>
      </c>
      <c r="P1381" s="1">
        <v>0.151</v>
      </c>
      <c r="Q1381" s="1">
        <v>-8.0000000000000004E-4</v>
      </c>
      <c r="R1381" s="1">
        <v>2.3099999999999999E-2</v>
      </c>
      <c r="S1381" s="1">
        <v>6.4899999999999999E-2</v>
      </c>
      <c r="T1381" s="1">
        <v>1.18E-2</v>
      </c>
      <c r="U1381" s="1">
        <v>0.15759999999999999</v>
      </c>
    </row>
    <row r="1382" spans="1:21" x14ac:dyDescent="0.25">
      <c r="A1382" t="s">
        <v>2922</v>
      </c>
      <c r="B1382" t="s">
        <v>2923</v>
      </c>
      <c r="C1382" t="s">
        <v>30</v>
      </c>
      <c r="D1382" t="s">
        <v>31</v>
      </c>
      <c r="E1382" t="s">
        <v>31</v>
      </c>
      <c r="F1382" t="str">
        <f t="shared" si="24"/>
        <v>2018-05-20</v>
      </c>
      <c r="G1382">
        <v>36.85</v>
      </c>
      <c r="H1382" t="str">
        <f>"2018-05-01"</f>
        <v>2018-05-01</v>
      </c>
      <c r="I1382" t="s">
        <v>40</v>
      </c>
      <c r="J1382" t="str">
        <f>"2016-10-25"</f>
        <v>2016-10-25</v>
      </c>
      <c r="K1382" t="s">
        <v>26</v>
      </c>
      <c r="L1382">
        <v>-1.8514711800000001</v>
      </c>
      <c r="M1382">
        <v>1381</v>
      </c>
      <c r="N1382" s="1">
        <v>9.6699999999999994E-2</v>
      </c>
      <c r="O1382" s="1">
        <v>-0.10879999999999999</v>
      </c>
      <c r="P1382" s="1">
        <v>0.12859999999999999</v>
      </c>
      <c r="Q1382" s="1">
        <v>7.7499999999999999E-2</v>
      </c>
      <c r="R1382" s="1">
        <v>0.1099</v>
      </c>
      <c r="S1382" s="1">
        <v>1.9400000000000001E-2</v>
      </c>
      <c r="T1382" s="1">
        <v>-3.2800000000000003E-2</v>
      </c>
      <c r="U1382" s="1">
        <v>0.3906</v>
      </c>
    </row>
    <row r="1383" spans="1:21" x14ac:dyDescent="0.25">
      <c r="A1383" t="s">
        <v>2924</v>
      </c>
      <c r="B1383" t="s">
        <v>2925</v>
      </c>
      <c r="C1383" t="s">
        <v>43</v>
      </c>
      <c r="D1383" t="s">
        <v>193</v>
      </c>
      <c r="E1383" t="s">
        <v>239</v>
      </c>
      <c r="F1383" t="str">
        <f t="shared" si="24"/>
        <v>2018-05-20</v>
      </c>
      <c r="G1383">
        <v>63.6</v>
      </c>
      <c r="H1383" t="str">
        <f>"2018-05-03"</f>
        <v>2018-05-03</v>
      </c>
      <c r="I1383" t="s">
        <v>40</v>
      </c>
      <c r="J1383" t="str">
        <f>"2016-03-29"</f>
        <v>2016-03-29</v>
      </c>
      <c r="K1383" t="s">
        <v>26</v>
      </c>
      <c r="L1383">
        <v>-1.85154062</v>
      </c>
      <c r="M1383">
        <v>1382</v>
      </c>
      <c r="N1383" s="1">
        <v>0.13569999999999999</v>
      </c>
      <c r="O1383" s="1">
        <v>-0.10920000000000001</v>
      </c>
      <c r="P1383" s="1">
        <v>0.2114</v>
      </c>
      <c r="Q1383" s="1">
        <v>1.35E-2</v>
      </c>
      <c r="R1383" s="1">
        <v>9.3700000000000006E-2</v>
      </c>
      <c r="S1383" s="1">
        <v>0.1855</v>
      </c>
      <c r="T1383" s="1">
        <v>-4.7000000000000002E-3</v>
      </c>
      <c r="U1383" s="1">
        <v>0.39269999999999999</v>
      </c>
    </row>
    <row r="1384" spans="1:21" x14ac:dyDescent="0.25">
      <c r="A1384" t="s">
        <v>2926</v>
      </c>
      <c r="B1384" t="s">
        <v>2927</v>
      </c>
      <c r="C1384" t="s">
        <v>37</v>
      </c>
      <c r="D1384" t="s">
        <v>66</v>
      </c>
      <c r="E1384" t="s">
        <v>94</v>
      </c>
      <c r="F1384" t="str">
        <f t="shared" si="24"/>
        <v>2018-05-20</v>
      </c>
      <c r="G1384">
        <v>53.7</v>
      </c>
      <c r="H1384" t="str">
        <f>"2018-01-08"</f>
        <v>2018-01-08</v>
      </c>
      <c r="I1384" t="s">
        <v>40</v>
      </c>
      <c r="J1384" t="str">
        <f>"2017-03-15"</f>
        <v>2017-03-15</v>
      </c>
      <c r="K1384" t="s">
        <v>26</v>
      </c>
      <c r="L1384">
        <v>-1.8515754600000001</v>
      </c>
      <c r="M1384">
        <v>1383</v>
      </c>
      <c r="N1384" s="1">
        <v>8.2699999999999996E-2</v>
      </c>
      <c r="O1384" s="1">
        <v>-0.1095</v>
      </c>
      <c r="P1384" s="1">
        <v>0.1258</v>
      </c>
      <c r="Q1384" s="1">
        <v>1.61E-2</v>
      </c>
      <c r="R1384" s="1">
        <v>5.8099999999999999E-2</v>
      </c>
      <c r="S1384" s="1">
        <v>3.8699999999999998E-2</v>
      </c>
      <c r="T1384" s="1">
        <v>7.6200000000000004E-2</v>
      </c>
      <c r="U1384" s="1">
        <v>0.18149999999999999</v>
      </c>
    </row>
    <row r="1385" spans="1:21" x14ac:dyDescent="0.25">
      <c r="A1385" t="s">
        <v>2928</v>
      </c>
      <c r="B1385" t="s">
        <v>2929</v>
      </c>
      <c r="C1385" t="s">
        <v>114</v>
      </c>
      <c r="D1385" t="s">
        <v>646</v>
      </c>
      <c r="E1385" t="s">
        <v>647</v>
      </c>
      <c r="F1385" t="str">
        <f t="shared" si="24"/>
        <v>2018-05-20</v>
      </c>
      <c r="G1385">
        <v>29.2</v>
      </c>
      <c r="H1385" t="str">
        <f>"2018-02-13"</f>
        <v>2018-02-13</v>
      </c>
      <c r="I1385" t="s">
        <v>40</v>
      </c>
      <c r="J1385" t="str">
        <f>"2017-10-25"</f>
        <v>2017-10-25</v>
      </c>
      <c r="K1385" t="s">
        <v>26</v>
      </c>
      <c r="L1385">
        <v>-1.8527483600000001</v>
      </c>
      <c r="M1385">
        <v>1384</v>
      </c>
      <c r="N1385" s="1">
        <v>0.1542</v>
      </c>
      <c r="O1385" s="1">
        <v>-0.11650000000000001</v>
      </c>
      <c r="P1385" s="1">
        <v>0.1542</v>
      </c>
      <c r="Q1385" s="1">
        <v>1.04E-2</v>
      </c>
      <c r="R1385" s="1">
        <v>5.2299999999999999E-2</v>
      </c>
      <c r="S1385" s="1">
        <v>-3.7900000000000003E-2</v>
      </c>
      <c r="T1385" s="1">
        <v>4.8500000000000001E-2</v>
      </c>
      <c r="U1385" s="1">
        <v>0.2243</v>
      </c>
    </row>
    <row r="1386" spans="1:21" x14ac:dyDescent="0.25">
      <c r="A1386" t="s">
        <v>2930</v>
      </c>
      <c r="B1386" t="s">
        <v>2931</v>
      </c>
      <c r="C1386" t="s">
        <v>30</v>
      </c>
      <c r="D1386" t="s">
        <v>31</v>
      </c>
      <c r="E1386" t="s">
        <v>31</v>
      </c>
      <c r="F1386" t="str">
        <f t="shared" si="24"/>
        <v>2018-05-20</v>
      </c>
      <c r="G1386">
        <v>28.375</v>
      </c>
      <c r="H1386" t="str">
        <f>"2018-04-09"</f>
        <v>2018-04-09</v>
      </c>
      <c r="I1386" t="s">
        <v>40</v>
      </c>
      <c r="J1386" t="str">
        <f>"2017-10-23"</f>
        <v>2017-10-23</v>
      </c>
      <c r="K1386" t="s">
        <v>26</v>
      </c>
      <c r="L1386">
        <v>-1.85381247</v>
      </c>
      <c r="M1386">
        <v>1385</v>
      </c>
      <c r="N1386" s="1">
        <v>3.56E-2</v>
      </c>
      <c r="O1386" s="1">
        <v>-0.1229</v>
      </c>
      <c r="P1386" s="1">
        <v>0.11269999999999999</v>
      </c>
      <c r="Q1386" s="1">
        <v>4.4000000000000003E-3</v>
      </c>
      <c r="R1386" s="1">
        <v>3.7499999999999999E-2</v>
      </c>
      <c r="S1386" s="1">
        <v>3.9399999999999998E-2</v>
      </c>
      <c r="T1386" s="1">
        <v>-3.6499999999999998E-2</v>
      </c>
      <c r="U1386" s="1">
        <v>3.56E-2</v>
      </c>
    </row>
    <row r="1387" spans="1:21" x14ac:dyDescent="0.25">
      <c r="A1387" t="s">
        <v>2932</v>
      </c>
      <c r="B1387" t="s">
        <v>2933</v>
      </c>
      <c r="C1387" t="s">
        <v>30</v>
      </c>
      <c r="D1387" t="s">
        <v>31</v>
      </c>
      <c r="E1387" t="s">
        <v>31</v>
      </c>
      <c r="F1387" t="str">
        <f t="shared" si="24"/>
        <v>2018-05-20</v>
      </c>
      <c r="G1387">
        <v>23.6</v>
      </c>
      <c r="H1387" t="str">
        <f>"2018-05-20"</f>
        <v>2018-05-20</v>
      </c>
      <c r="I1387" t="s">
        <v>57</v>
      </c>
      <c r="J1387" t="str">
        <f>"2018-05-16"</f>
        <v>2018-05-16</v>
      </c>
      <c r="K1387" t="s">
        <v>27</v>
      </c>
      <c r="L1387">
        <v>-2.8348726599999998</v>
      </c>
      <c r="M1387">
        <v>1386</v>
      </c>
      <c r="N1387" s="1">
        <v>6.7999999999999996E-3</v>
      </c>
      <c r="O1387" s="1">
        <v>-9.1999999999999998E-3</v>
      </c>
      <c r="P1387" s="1">
        <v>6.7999999999999996E-3</v>
      </c>
      <c r="Q1387" s="1">
        <v>6.7999999999999996E-3</v>
      </c>
      <c r="R1387" s="1">
        <v>1.1599999999999999E-2</v>
      </c>
      <c r="S1387" s="1">
        <v>3.3300000000000003E-2</v>
      </c>
      <c r="T1387" s="1">
        <v>-1.8700000000000001E-2</v>
      </c>
      <c r="U1387" s="1">
        <v>-1.95E-2</v>
      </c>
    </row>
    <row r="1388" spans="1:21" x14ac:dyDescent="0.25">
      <c r="A1388" t="s">
        <v>2934</v>
      </c>
      <c r="B1388" t="s">
        <v>2935</v>
      </c>
      <c r="C1388" t="s">
        <v>30</v>
      </c>
      <c r="D1388" t="s">
        <v>31</v>
      </c>
      <c r="E1388" t="s">
        <v>31</v>
      </c>
      <c r="F1388" t="str">
        <f t="shared" si="24"/>
        <v>2018-05-20</v>
      </c>
      <c r="G1388">
        <v>32.369999999999997</v>
      </c>
      <c r="H1388" t="str">
        <f>"2018-04-17"</f>
        <v>2018-04-17</v>
      </c>
      <c r="I1388" t="s">
        <v>57</v>
      </c>
      <c r="J1388" t="str">
        <f>"2018-03-11"</f>
        <v>2018-03-11</v>
      </c>
      <c r="K1388" t="s">
        <v>26</v>
      </c>
      <c r="L1388">
        <v>-2.83691052</v>
      </c>
      <c r="M1388">
        <v>1387</v>
      </c>
      <c r="N1388" s="1">
        <v>1.7600000000000001E-2</v>
      </c>
      <c r="O1388" s="1">
        <v>-2.1499999999999998E-2</v>
      </c>
      <c r="P1388" s="1">
        <v>3.9199999999999999E-2</v>
      </c>
      <c r="Q1388" s="1">
        <v>9.7000000000000003E-3</v>
      </c>
      <c r="R1388" s="1">
        <v>2.2100000000000002E-2</v>
      </c>
      <c r="S1388" s="1">
        <v>8.6999999999999994E-3</v>
      </c>
      <c r="T1388" s="1">
        <v>1.9199999999999998E-2</v>
      </c>
      <c r="U1388" s="1">
        <v>-7.0099999999999996E-2</v>
      </c>
    </row>
    <row r="1389" spans="1:21" x14ac:dyDescent="0.25">
      <c r="A1389" t="s">
        <v>2936</v>
      </c>
      <c r="B1389" t="s">
        <v>2937</v>
      </c>
      <c r="C1389" t="s">
        <v>30</v>
      </c>
      <c r="D1389" t="s">
        <v>31</v>
      </c>
      <c r="E1389" t="s">
        <v>31</v>
      </c>
      <c r="F1389" t="str">
        <f t="shared" si="24"/>
        <v>2018-05-20</v>
      </c>
      <c r="G1389">
        <v>30.15</v>
      </c>
      <c r="H1389" t="str">
        <f>"2018-04-30"</f>
        <v>2018-04-30</v>
      </c>
      <c r="I1389" t="s">
        <v>57</v>
      </c>
      <c r="J1389" t="str">
        <f>"2018-04-23"</f>
        <v>2018-04-23</v>
      </c>
      <c r="K1389" t="s">
        <v>27</v>
      </c>
      <c r="L1389">
        <v>-2.8388906700000001</v>
      </c>
      <c r="M1389">
        <v>1388</v>
      </c>
      <c r="N1389" s="1">
        <v>3.6799999999999999E-2</v>
      </c>
      <c r="O1389" s="1">
        <v>-3.3300000000000003E-2</v>
      </c>
      <c r="P1389" s="1">
        <v>3.6799999999999999E-2</v>
      </c>
      <c r="Q1389" s="1">
        <v>1.11E-2</v>
      </c>
      <c r="R1389" s="1">
        <v>2.5899999999999999E-2</v>
      </c>
      <c r="S1389" s="1">
        <v>-7.6E-3</v>
      </c>
      <c r="T1389" s="1">
        <v>5.0200000000000002E-2</v>
      </c>
      <c r="U1389" s="1">
        <v>-4.5999999999999999E-3</v>
      </c>
    </row>
    <row r="1390" spans="1:21" x14ac:dyDescent="0.25">
      <c r="A1390" t="s">
        <v>2938</v>
      </c>
      <c r="B1390" t="s">
        <v>2939</v>
      </c>
      <c r="C1390" t="s">
        <v>114</v>
      </c>
      <c r="D1390" t="s">
        <v>809</v>
      </c>
      <c r="E1390" t="s">
        <v>810</v>
      </c>
      <c r="F1390" t="str">
        <f t="shared" si="24"/>
        <v>2018-05-20</v>
      </c>
      <c r="G1390">
        <v>30.77</v>
      </c>
      <c r="H1390" t="str">
        <f>"2018-05-15"</f>
        <v>2018-05-15</v>
      </c>
      <c r="I1390" t="s">
        <v>57</v>
      </c>
      <c r="J1390" t="str">
        <f>"2018-05-06"</f>
        <v>2018-05-06</v>
      </c>
      <c r="K1390" t="s">
        <v>27</v>
      </c>
      <c r="L1390">
        <v>-2.8412772099999999</v>
      </c>
      <c r="M1390">
        <v>1389</v>
      </c>
      <c r="N1390" s="1">
        <v>6.1800000000000001E-2</v>
      </c>
      <c r="O1390" s="1">
        <v>-4.7699999999999999E-2</v>
      </c>
      <c r="P1390" s="1">
        <v>6.1800000000000001E-2</v>
      </c>
      <c r="Q1390" s="1">
        <v>7.1999999999999998E-3</v>
      </c>
      <c r="R1390" s="1">
        <v>7.1999999999999998E-3</v>
      </c>
      <c r="S1390" s="1">
        <v>7.5899999999999995E-2</v>
      </c>
      <c r="T1390" s="1">
        <v>5.6300000000000003E-2</v>
      </c>
      <c r="U1390" s="1">
        <v>-3.2000000000000001E-2</v>
      </c>
    </row>
    <row r="1391" spans="1:21" x14ac:dyDescent="0.25">
      <c r="A1391" t="s">
        <v>2940</v>
      </c>
      <c r="B1391" t="s">
        <v>2941</v>
      </c>
      <c r="C1391" t="s">
        <v>30</v>
      </c>
      <c r="D1391" t="s">
        <v>31</v>
      </c>
      <c r="E1391" t="s">
        <v>31</v>
      </c>
      <c r="F1391" t="str">
        <f t="shared" si="24"/>
        <v>2018-05-20</v>
      </c>
      <c r="G1391">
        <v>10.6</v>
      </c>
      <c r="H1391" t="str">
        <f>"2018-04-29"</f>
        <v>2018-04-29</v>
      </c>
      <c r="I1391" t="s">
        <v>57</v>
      </c>
      <c r="J1391" t="str">
        <f>"2017-09-26"</f>
        <v>2017-09-26</v>
      </c>
      <c r="K1391" t="s">
        <v>26</v>
      </c>
      <c r="L1391">
        <v>-2.8429629599999999</v>
      </c>
      <c r="M1391">
        <v>1390</v>
      </c>
      <c r="N1391" s="1">
        <v>3.9199999999999999E-2</v>
      </c>
      <c r="O1391" s="1">
        <v>-5.7799999999999997E-2</v>
      </c>
      <c r="P1391" s="1">
        <v>9.8400000000000001E-2</v>
      </c>
      <c r="Q1391" s="1">
        <v>3.4099999999999998E-2</v>
      </c>
      <c r="R1391" s="1">
        <v>4.9500000000000002E-2</v>
      </c>
      <c r="S1391" s="1">
        <v>-2.3E-2</v>
      </c>
      <c r="T1391" s="1">
        <v>4.7000000000000002E-3</v>
      </c>
      <c r="U1391" s="1">
        <v>2.4199999999999999E-2</v>
      </c>
    </row>
    <row r="1392" spans="1:21" x14ac:dyDescent="0.25">
      <c r="A1392" t="s">
        <v>2942</v>
      </c>
      <c r="B1392" t="s">
        <v>2943</v>
      </c>
      <c r="C1392" t="s">
        <v>30</v>
      </c>
      <c r="D1392" t="s">
        <v>347</v>
      </c>
      <c r="E1392" t="s">
        <v>523</v>
      </c>
      <c r="F1392" t="str">
        <f t="shared" si="24"/>
        <v>2018-05-20</v>
      </c>
      <c r="G1392">
        <v>38.950000000000003</v>
      </c>
      <c r="H1392" t="str">
        <f>"2018-05-14"</f>
        <v>2018-05-14</v>
      </c>
      <c r="I1392" t="s">
        <v>57</v>
      </c>
      <c r="J1392" t="str">
        <f>"2018-04-17"</f>
        <v>2018-04-17</v>
      </c>
      <c r="K1392" t="s">
        <v>27</v>
      </c>
      <c r="L1392">
        <v>-2.8445482100000001</v>
      </c>
      <c r="M1392">
        <v>1391</v>
      </c>
      <c r="N1392" s="1">
        <v>3.3E-3</v>
      </c>
      <c r="O1392" s="1">
        <v>-6.7299999999999999E-2</v>
      </c>
      <c r="P1392" s="1">
        <v>3.3E-3</v>
      </c>
      <c r="Q1392" s="1">
        <v>-1.12E-2</v>
      </c>
      <c r="R1392" s="1">
        <v>3.3E-3</v>
      </c>
      <c r="S1392" s="1">
        <v>-4.8800000000000003E-2</v>
      </c>
      <c r="T1392" s="1">
        <v>1.17E-2</v>
      </c>
      <c r="U1392" s="1">
        <v>2.0199999999999999E-2</v>
      </c>
    </row>
    <row r="1393" spans="1:21" x14ac:dyDescent="0.25">
      <c r="A1393" t="s">
        <v>2944</v>
      </c>
      <c r="B1393" t="s">
        <v>2945</v>
      </c>
      <c r="C1393" t="s">
        <v>30</v>
      </c>
      <c r="D1393" t="s">
        <v>31</v>
      </c>
      <c r="E1393" t="s">
        <v>31</v>
      </c>
      <c r="F1393" t="str">
        <f t="shared" si="24"/>
        <v>2018-05-20</v>
      </c>
      <c r="G1393">
        <v>30.58</v>
      </c>
      <c r="H1393" t="str">
        <f>"2018-04-04"</f>
        <v>2018-04-04</v>
      </c>
      <c r="I1393" t="s">
        <v>57</v>
      </c>
      <c r="J1393" t="str">
        <f>"2017-10-25"</f>
        <v>2017-10-25</v>
      </c>
      <c r="K1393" t="s">
        <v>26</v>
      </c>
      <c r="L1393">
        <v>-2.8446611800000001</v>
      </c>
      <c r="M1393">
        <v>1392</v>
      </c>
      <c r="N1393" s="1">
        <v>2.76E-2</v>
      </c>
      <c r="O1393" s="1">
        <v>-6.8000000000000005E-2</v>
      </c>
      <c r="P1393" s="1">
        <v>4.0500000000000001E-2</v>
      </c>
      <c r="Q1393" s="1">
        <v>6.3E-3</v>
      </c>
      <c r="R1393" s="1">
        <v>1.49E-2</v>
      </c>
      <c r="S1393" s="1">
        <v>2.0400000000000001E-2</v>
      </c>
      <c r="T1393" s="1">
        <v>-6.4999999999999997E-3</v>
      </c>
      <c r="U1393" s="1">
        <v>2.2700000000000001E-2</v>
      </c>
    </row>
    <row r="1394" spans="1:21" x14ac:dyDescent="0.25">
      <c r="A1394" t="s">
        <v>2946</v>
      </c>
      <c r="B1394" t="s">
        <v>2947</v>
      </c>
      <c r="C1394" t="s">
        <v>43</v>
      </c>
      <c r="D1394" t="s">
        <v>44</v>
      </c>
      <c r="E1394" t="s">
        <v>599</v>
      </c>
      <c r="F1394" t="str">
        <f t="shared" si="24"/>
        <v>2018-05-20</v>
      </c>
      <c r="G1394">
        <v>23.62</v>
      </c>
      <c r="H1394" t="str">
        <f>"2018-04-09"</f>
        <v>2018-04-09</v>
      </c>
      <c r="I1394" t="s">
        <v>57</v>
      </c>
      <c r="J1394" t="str">
        <f>"2018-02-25"</f>
        <v>2018-02-25</v>
      </c>
      <c r="K1394" t="s">
        <v>40</v>
      </c>
      <c r="L1394">
        <v>-2.8454390799999998</v>
      </c>
      <c r="M1394">
        <v>1393</v>
      </c>
      <c r="N1394" s="1">
        <v>6.0600000000000001E-2</v>
      </c>
      <c r="O1394" s="1">
        <v>-7.2599999999999998E-2</v>
      </c>
      <c r="P1394" s="1">
        <v>9.2499999999999999E-2</v>
      </c>
      <c r="Q1394" s="1">
        <v>1.3299999999999999E-2</v>
      </c>
      <c r="R1394" s="1">
        <v>1.03E-2</v>
      </c>
      <c r="S1394" s="1">
        <v>4.8399999999999999E-2</v>
      </c>
      <c r="T1394" s="1">
        <v>6.59E-2</v>
      </c>
      <c r="U1394" s="1">
        <v>4.24E-2</v>
      </c>
    </row>
    <row r="1395" spans="1:21" x14ac:dyDescent="0.25">
      <c r="A1395" t="s">
        <v>2948</v>
      </c>
      <c r="B1395" t="s">
        <v>2949</v>
      </c>
      <c r="C1395" t="s">
        <v>43</v>
      </c>
      <c r="D1395" t="s">
        <v>150</v>
      </c>
      <c r="E1395" t="s">
        <v>408</v>
      </c>
      <c r="F1395" t="str">
        <f t="shared" si="24"/>
        <v>2018-05-20</v>
      </c>
      <c r="G1395">
        <v>26.75</v>
      </c>
      <c r="H1395" t="str">
        <f>"2018-04-29"</f>
        <v>2018-04-29</v>
      </c>
      <c r="I1395" t="s">
        <v>57</v>
      </c>
      <c r="J1395" t="str">
        <f>"2017-12-19"</f>
        <v>2017-12-19</v>
      </c>
      <c r="K1395" t="s">
        <v>40</v>
      </c>
      <c r="L1395">
        <v>-2.8454650500000001</v>
      </c>
      <c r="M1395">
        <v>1394</v>
      </c>
      <c r="N1395" s="1">
        <v>5.7299999999999997E-2</v>
      </c>
      <c r="O1395" s="1">
        <v>-7.2800000000000004E-2</v>
      </c>
      <c r="P1395" s="1">
        <v>9.8599999999999993E-2</v>
      </c>
      <c r="Q1395" s="1">
        <v>9.4000000000000004E-3</v>
      </c>
      <c r="R1395" s="1">
        <v>3.6799999999999999E-2</v>
      </c>
      <c r="S1395" s="1">
        <v>2.69E-2</v>
      </c>
      <c r="T1395" s="1">
        <v>5.3100000000000001E-2</v>
      </c>
      <c r="U1395" s="1">
        <v>9.8599999999999993E-2</v>
      </c>
    </row>
    <row r="1396" spans="1:21" x14ac:dyDescent="0.25">
      <c r="A1396" t="s">
        <v>2950</v>
      </c>
      <c r="B1396" t="s">
        <v>2951</v>
      </c>
      <c r="C1396" t="s">
        <v>43</v>
      </c>
      <c r="D1396" t="s">
        <v>44</v>
      </c>
      <c r="E1396" t="s">
        <v>599</v>
      </c>
      <c r="F1396" t="str">
        <f t="shared" si="24"/>
        <v>2018-05-20</v>
      </c>
      <c r="G1396">
        <v>9.25</v>
      </c>
      <c r="H1396" t="str">
        <f>"2018-03-28"</f>
        <v>2018-03-28</v>
      </c>
      <c r="I1396" t="s">
        <v>57</v>
      </c>
      <c r="J1396" t="str">
        <f>"2017-05-22"</f>
        <v>2017-05-22</v>
      </c>
      <c r="K1396" t="s">
        <v>26</v>
      </c>
      <c r="L1396">
        <v>-2.84567901</v>
      </c>
      <c r="M1396">
        <v>1395</v>
      </c>
      <c r="N1396" s="1">
        <v>4.5199999999999997E-2</v>
      </c>
      <c r="O1396" s="1">
        <v>-7.4099999999999999E-2</v>
      </c>
      <c r="P1396" s="1">
        <v>8.8200000000000001E-2</v>
      </c>
      <c r="Q1396" s="1">
        <v>8.6999999999999994E-3</v>
      </c>
      <c r="R1396" s="1">
        <v>3.0099999999999998E-2</v>
      </c>
      <c r="S1396" s="1">
        <v>9.7999999999999997E-3</v>
      </c>
      <c r="T1396" s="1">
        <v>6.4399999999999999E-2</v>
      </c>
      <c r="U1396" s="1">
        <v>4.6399999999999997E-2</v>
      </c>
    </row>
    <row r="1397" spans="1:21" x14ac:dyDescent="0.25">
      <c r="A1397" t="s">
        <v>2952</v>
      </c>
      <c r="B1397" t="s">
        <v>2953</v>
      </c>
      <c r="C1397" t="s">
        <v>30</v>
      </c>
      <c r="D1397" t="s">
        <v>31</v>
      </c>
      <c r="E1397" t="s">
        <v>31</v>
      </c>
      <c r="F1397" t="str">
        <f t="shared" si="24"/>
        <v>2018-05-20</v>
      </c>
      <c r="G1397">
        <v>16.46</v>
      </c>
      <c r="H1397" t="str">
        <f>"2018-03-26"</f>
        <v>2018-03-26</v>
      </c>
      <c r="I1397" t="s">
        <v>57</v>
      </c>
      <c r="J1397" t="str">
        <f>"2018-02-12"</f>
        <v>2018-02-12</v>
      </c>
      <c r="K1397" t="s">
        <v>40</v>
      </c>
      <c r="L1397">
        <v>-2.8457067899999999</v>
      </c>
      <c r="M1397">
        <v>1396</v>
      </c>
      <c r="N1397" s="1">
        <v>4.3099999999999999E-2</v>
      </c>
      <c r="O1397" s="1">
        <v>-7.4200000000000002E-2</v>
      </c>
      <c r="P1397" s="1">
        <v>7.51E-2</v>
      </c>
      <c r="Q1397" s="1">
        <v>1.29E-2</v>
      </c>
      <c r="R1397" s="1">
        <v>4.3099999999999999E-2</v>
      </c>
      <c r="S1397" s="1">
        <v>2.81E-2</v>
      </c>
      <c r="T1397" s="1">
        <v>1.6E-2</v>
      </c>
      <c r="U1397" s="1">
        <v>-2.0799999999999999E-2</v>
      </c>
    </row>
    <row r="1398" spans="1:21" x14ac:dyDescent="0.25">
      <c r="A1398" t="s">
        <v>2954</v>
      </c>
      <c r="B1398" t="s">
        <v>2955</v>
      </c>
      <c r="C1398" t="s">
        <v>30</v>
      </c>
      <c r="D1398" t="s">
        <v>31</v>
      </c>
      <c r="E1398" t="s">
        <v>31</v>
      </c>
      <c r="F1398" t="str">
        <f t="shared" si="24"/>
        <v>2018-05-20</v>
      </c>
      <c r="G1398">
        <v>18.309999999999999</v>
      </c>
      <c r="H1398" t="str">
        <f>"2018-05-21"</f>
        <v>2018-05-21</v>
      </c>
      <c r="I1398" t="s">
        <v>57</v>
      </c>
      <c r="J1398" t="str">
        <f>"2018-03-08"</f>
        <v>2018-03-08</v>
      </c>
      <c r="K1398" t="s">
        <v>26</v>
      </c>
      <c r="L1398">
        <v>-2.8474166699999999</v>
      </c>
      <c r="M1398">
        <v>1397</v>
      </c>
      <c r="N1398" s="1">
        <v>0</v>
      </c>
      <c r="O1398" s="1">
        <v>-8.4500000000000006E-2</v>
      </c>
      <c r="P1398" s="1">
        <v>5.3499999999999999E-2</v>
      </c>
      <c r="Q1398" s="1">
        <v>6.6E-3</v>
      </c>
      <c r="R1398" s="1">
        <v>2.63E-2</v>
      </c>
      <c r="S1398" s="1">
        <v>2.29E-2</v>
      </c>
      <c r="T1398" s="1">
        <v>-7.4300000000000005E-2</v>
      </c>
      <c r="U1398" s="1">
        <v>-8.1299999999999997E-2</v>
      </c>
    </row>
    <row r="1399" spans="1:21" x14ac:dyDescent="0.25">
      <c r="A1399" t="s">
        <v>2956</v>
      </c>
      <c r="B1399" t="s">
        <v>2957</v>
      </c>
      <c r="C1399" t="s">
        <v>37</v>
      </c>
      <c r="D1399" t="s">
        <v>66</v>
      </c>
      <c r="E1399" t="s">
        <v>67</v>
      </c>
      <c r="F1399" t="str">
        <f t="shared" si="24"/>
        <v>2018-05-20</v>
      </c>
      <c r="G1399">
        <v>14.8</v>
      </c>
      <c r="H1399" t="str">
        <f>"2018-05-01"</f>
        <v>2018-05-01</v>
      </c>
      <c r="I1399" t="s">
        <v>57</v>
      </c>
      <c r="J1399" t="str">
        <f>"2018-04-11"</f>
        <v>2018-04-11</v>
      </c>
      <c r="K1399" t="s">
        <v>40</v>
      </c>
      <c r="L1399">
        <v>-2.84773663</v>
      </c>
      <c r="M1399">
        <v>1398</v>
      </c>
      <c r="N1399" s="1">
        <v>3.1399999999999997E-2</v>
      </c>
      <c r="O1399" s="1">
        <v>-8.6400000000000005E-2</v>
      </c>
      <c r="P1399" s="1">
        <v>7.2499999999999995E-2</v>
      </c>
      <c r="Q1399" s="1">
        <v>6.7999999999999996E-3</v>
      </c>
      <c r="R1399" s="1">
        <v>6.4699999999999994E-2</v>
      </c>
      <c r="S1399" s="1">
        <v>2.4199999999999999E-2</v>
      </c>
      <c r="T1399" s="1">
        <v>4.5900000000000003E-2</v>
      </c>
      <c r="U1399" s="1">
        <v>8.0299999999999996E-2</v>
      </c>
    </row>
    <row r="1400" spans="1:21" x14ac:dyDescent="0.25">
      <c r="A1400" t="s">
        <v>2958</v>
      </c>
      <c r="B1400" t="s">
        <v>2959</v>
      </c>
      <c r="C1400" t="s">
        <v>30</v>
      </c>
      <c r="D1400" t="s">
        <v>31</v>
      </c>
      <c r="E1400" t="s">
        <v>31</v>
      </c>
      <c r="F1400" t="str">
        <f t="shared" si="24"/>
        <v>2018-05-20</v>
      </c>
      <c r="G1400">
        <v>17.75</v>
      </c>
      <c r="H1400" t="str">
        <f>"2018-05-21"</f>
        <v>2018-05-21</v>
      </c>
      <c r="I1400" t="s">
        <v>57</v>
      </c>
      <c r="J1400" t="str">
        <f>"2018-03-11"</f>
        <v>2018-03-11</v>
      </c>
      <c r="K1400" t="s">
        <v>26</v>
      </c>
      <c r="L1400">
        <v>-2.8479006</v>
      </c>
      <c r="M1400">
        <v>1399</v>
      </c>
      <c r="N1400" s="1">
        <v>0</v>
      </c>
      <c r="O1400" s="1">
        <v>-8.7400000000000005E-2</v>
      </c>
      <c r="P1400" s="1">
        <v>5.0299999999999997E-2</v>
      </c>
      <c r="Q1400" s="1">
        <v>2.5999999999999999E-2</v>
      </c>
      <c r="R1400" s="1">
        <v>2.5999999999999999E-2</v>
      </c>
      <c r="S1400" s="1">
        <v>2.9000000000000001E-2</v>
      </c>
      <c r="T1400" s="1">
        <v>-6.3299999999999995E-2</v>
      </c>
      <c r="U1400" s="1">
        <v>1.43E-2</v>
      </c>
    </row>
    <row r="1401" spans="1:21" x14ac:dyDescent="0.25">
      <c r="A1401" t="s">
        <v>2960</v>
      </c>
      <c r="B1401" t="s">
        <v>2961</v>
      </c>
      <c r="C1401" t="s">
        <v>109</v>
      </c>
      <c r="D1401" t="s">
        <v>110</v>
      </c>
      <c r="E1401" t="s">
        <v>111</v>
      </c>
      <c r="F1401" t="str">
        <f t="shared" si="24"/>
        <v>2018-05-20</v>
      </c>
      <c r="G1401">
        <v>3.6</v>
      </c>
      <c r="H1401" t="str">
        <f>"2018-05-20"</f>
        <v>2018-05-20</v>
      </c>
      <c r="I1401" t="s">
        <v>57</v>
      </c>
      <c r="J1401" t="str">
        <f>"2018-04-26"</f>
        <v>2018-04-26</v>
      </c>
      <c r="K1401" t="s">
        <v>27</v>
      </c>
      <c r="L1401">
        <v>-2.8481012699999999</v>
      </c>
      <c r="M1401">
        <v>1400</v>
      </c>
      <c r="N1401" s="1">
        <v>1.41E-2</v>
      </c>
      <c r="O1401" s="1">
        <v>-8.8599999999999998E-2</v>
      </c>
      <c r="P1401" s="1">
        <v>1.41E-2</v>
      </c>
      <c r="Q1401" s="1">
        <v>1.41E-2</v>
      </c>
      <c r="R1401" s="1">
        <v>-7.6899999999999996E-2</v>
      </c>
      <c r="S1401" s="1">
        <v>0</v>
      </c>
      <c r="T1401" s="1">
        <v>-1.37E-2</v>
      </c>
      <c r="U1401" s="1">
        <v>-2.7E-2</v>
      </c>
    </row>
    <row r="1402" spans="1:21" x14ac:dyDescent="0.25">
      <c r="A1402" t="s">
        <v>2962</v>
      </c>
      <c r="B1402" t="s">
        <v>2963</v>
      </c>
      <c r="C1402" t="s">
        <v>30</v>
      </c>
      <c r="D1402" t="s">
        <v>347</v>
      </c>
      <c r="E1402" t="s">
        <v>523</v>
      </c>
      <c r="F1402" t="str">
        <f t="shared" si="24"/>
        <v>2018-05-20</v>
      </c>
      <c r="G1402">
        <v>23.31</v>
      </c>
      <c r="H1402" t="str">
        <f>"2018-04-10"</f>
        <v>2018-04-10</v>
      </c>
      <c r="I1402" t="s">
        <v>57</v>
      </c>
      <c r="J1402" t="str">
        <f>"2018-02-15"</f>
        <v>2018-02-15</v>
      </c>
      <c r="K1402" t="s">
        <v>26</v>
      </c>
      <c r="L1402">
        <v>-2.8482421900000001</v>
      </c>
      <c r="M1402">
        <v>1401</v>
      </c>
      <c r="N1402" s="1">
        <v>-5.1000000000000004E-3</v>
      </c>
      <c r="O1402" s="1">
        <v>-8.9499999999999996E-2</v>
      </c>
      <c r="P1402" s="1">
        <v>6.7799999999999999E-2</v>
      </c>
      <c r="Q1402" s="1">
        <v>1.1299999999999999E-2</v>
      </c>
      <c r="R1402" s="1">
        <v>4.4400000000000002E-2</v>
      </c>
      <c r="S1402" s="1">
        <v>-4.9000000000000002E-2</v>
      </c>
      <c r="T1402" s="1">
        <v>-8.1600000000000006E-2</v>
      </c>
      <c r="U1402" s="1">
        <v>-7.6499999999999999E-2</v>
      </c>
    </row>
    <row r="1403" spans="1:21" x14ac:dyDescent="0.25">
      <c r="A1403" t="s">
        <v>2964</v>
      </c>
      <c r="B1403" t="s">
        <v>2965</v>
      </c>
      <c r="C1403" t="s">
        <v>30</v>
      </c>
      <c r="D1403" t="s">
        <v>299</v>
      </c>
      <c r="E1403" t="s">
        <v>2120</v>
      </c>
      <c r="F1403" t="str">
        <f t="shared" si="24"/>
        <v>2018-05-20</v>
      </c>
      <c r="G1403">
        <v>13.29</v>
      </c>
      <c r="H1403" t="str">
        <f>"2018-03-22"</f>
        <v>2018-03-22</v>
      </c>
      <c r="I1403" t="s">
        <v>57</v>
      </c>
      <c r="J1403" t="str">
        <f>"2018-01-29"</f>
        <v>2018-01-29</v>
      </c>
      <c r="K1403" t="s">
        <v>40</v>
      </c>
      <c r="L1403">
        <v>-2.84870219</v>
      </c>
      <c r="M1403">
        <v>1402</v>
      </c>
      <c r="N1403" s="1">
        <v>9.9000000000000008E-3</v>
      </c>
      <c r="O1403" s="1">
        <v>-9.2200000000000004E-2</v>
      </c>
      <c r="P1403" s="1">
        <v>4.1500000000000002E-2</v>
      </c>
      <c r="Q1403" s="1">
        <v>6.7999999999999996E-3</v>
      </c>
      <c r="R1403" s="1">
        <v>6.1000000000000004E-3</v>
      </c>
      <c r="S1403" s="1">
        <v>-7.4999999999999997E-3</v>
      </c>
      <c r="T1403" s="1">
        <v>-7.4999999999999997E-3</v>
      </c>
      <c r="U1403" s="1">
        <v>-4.1099999999999998E-2</v>
      </c>
    </row>
    <row r="1404" spans="1:21" x14ac:dyDescent="0.25">
      <c r="A1404" t="s">
        <v>2966</v>
      </c>
      <c r="B1404" t="s">
        <v>2967</v>
      </c>
      <c r="C1404" t="s">
        <v>114</v>
      </c>
      <c r="D1404" t="s">
        <v>809</v>
      </c>
      <c r="E1404" t="s">
        <v>1783</v>
      </c>
      <c r="F1404" t="str">
        <f t="shared" si="24"/>
        <v>2018-05-20</v>
      </c>
      <c r="G1404">
        <v>14.3</v>
      </c>
      <c r="H1404" t="str">
        <f>"2018-04-11"</f>
        <v>2018-04-11</v>
      </c>
      <c r="I1404" t="s">
        <v>57</v>
      </c>
      <c r="J1404" t="str">
        <f>"2018-01-18"</f>
        <v>2018-01-18</v>
      </c>
      <c r="K1404" t="s">
        <v>26</v>
      </c>
      <c r="L1404">
        <v>-2.84915612</v>
      </c>
      <c r="M1404">
        <v>1403</v>
      </c>
      <c r="N1404" s="1">
        <v>2.5100000000000001E-2</v>
      </c>
      <c r="O1404" s="1">
        <v>-9.4899999999999998E-2</v>
      </c>
      <c r="P1404" s="1">
        <v>7.9200000000000007E-2</v>
      </c>
      <c r="Q1404" s="1">
        <v>3.5000000000000001E-3</v>
      </c>
      <c r="R1404" s="1">
        <v>0.04</v>
      </c>
      <c r="S1404" s="1">
        <v>3.2500000000000001E-2</v>
      </c>
      <c r="T1404" s="1">
        <v>-3.3799999999999997E-2</v>
      </c>
      <c r="U1404" s="1">
        <v>-0.1411</v>
      </c>
    </row>
    <row r="1405" spans="1:21" x14ac:dyDescent="0.25">
      <c r="A1405" t="s">
        <v>2968</v>
      </c>
      <c r="B1405" t="s">
        <v>2969</v>
      </c>
      <c r="C1405" t="s">
        <v>87</v>
      </c>
      <c r="D1405" t="s">
        <v>144</v>
      </c>
      <c r="E1405" t="s">
        <v>145</v>
      </c>
      <c r="F1405" t="str">
        <f t="shared" si="24"/>
        <v>2018-05-20</v>
      </c>
      <c r="G1405">
        <v>24</v>
      </c>
      <c r="H1405" t="str">
        <f>"2018-04-29"</f>
        <v>2018-04-29</v>
      </c>
      <c r="I1405" t="s">
        <v>57</v>
      </c>
      <c r="J1405" t="str">
        <f>"2018-04-22"</f>
        <v>2018-04-22</v>
      </c>
      <c r="K1405" t="s">
        <v>27</v>
      </c>
      <c r="L1405">
        <v>-2.8493408699999998</v>
      </c>
      <c r="M1405">
        <v>1404</v>
      </c>
      <c r="N1405" s="1">
        <v>-4.3799999999999999E-2</v>
      </c>
      <c r="O1405" s="1">
        <v>-9.6000000000000002E-2</v>
      </c>
      <c r="P1405" s="1">
        <v>1.0500000000000001E-2</v>
      </c>
      <c r="Q1405" s="1">
        <v>2.0999999999999999E-3</v>
      </c>
      <c r="R1405" s="1">
        <v>4.1999999999999997E-3</v>
      </c>
      <c r="S1405" s="1">
        <v>-8.5699999999999998E-2</v>
      </c>
      <c r="T1405" s="1">
        <v>-0.1225</v>
      </c>
      <c r="U1405" s="1">
        <v>-8.9200000000000002E-2</v>
      </c>
    </row>
    <row r="1406" spans="1:21" x14ac:dyDescent="0.25">
      <c r="A1406" t="s">
        <v>2970</v>
      </c>
      <c r="B1406" t="s">
        <v>2971</v>
      </c>
      <c r="C1406" t="s">
        <v>37</v>
      </c>
      <c r="D1406" t="s">
        <v>66</v>
      </c>
      <c r="E1406" t="s">
        <v>94</v>
      </c>
      <c r="F1406" t="str">
        <f t="shared" si="24"/>
        <v>2018-05-20</v>
      </c>
      <c r="G1406">
        <v>4.58</v>
      </c>
      <c r="H1406" t="str">
        <f>"2018-05-09"</f>
        <v>2018-05-09</v>
      </c>
      <c r="I1406" t="s">
        <v>57</v>
      </c>
      <c r="J1406" t="str">
        <f>"2018-03-12"</f>
        <v>2018-03-12</v>
      </c>
      <c r="K1406" t="s">
        <v>27</v>
      </c>
      <c r="L1406">
        <v>-2.8500327400000001</v>
      </c>
      <c r="M1406">
        <v>1405</v>
      </c>
      <c r="N1406" s="1">
        <v>3.39E-2</v>
      </c>
      <c r="O1406" s="1">
        <v>-0.1002</v>
      </c>
      <c r="P1406" s="1">
        <v>5.0500000000000003E-2</v>
      </c>
      <c r="Q1406" s="1">
        <v>8.8000000000000005E-3</v>
      </c>
      <c r="R1406" s="1">
        <v>3.6200000000000003E-2</v>
      </c>
      <c r="S1406" s="1">
        <v>0.2021</v>
      </c>
      <c r="T1406" s="1">
        <v>-0.20899999999999999</v>
      </c>
      <c r="U1406" s="1">
        <v>-0.52639999999999998</v>
      </c>
    </row>
    <row r="1407" spans="1:21" x14ac:dyDescent="0.25">
      <c r="A1407" t="s">
        <v>2972</v>
      </c>
      <c r="B1407" t="s">
        <v>2973</v>
      </c>
      <c r="C1407" t="s">
        <v>30</v>
      </c>
      <c r="D1407" t="s">
        <v>31</v>
      </c>
      <c r="E1407" t="s">
        <v>31</v>
      </c>
      <c r="F1407" t="str">
        <f t="shared" si="24"/>
        <v>2018-05-20</v>
      </c>
      <c r="G1407">
        <v>18.27</v>
      </c>
      <c r="H1407" t="str">
        <f>"2017-12-12"</f>
        <v>2017-12-12</v>
      </c>
      <c r="I1407" t="s">
        <v>57</v>
      </c>
      <c r="J1407" t="str">
        <f>"2015-10-27"</f>
        <v>2015-10-27</v>
      </c>
      <c r="K1407" t="s">
        <v>26</v>
      </c>
      <c r="L1407">
        <v>-2.8502949900000001</v>
      </c>
      <c r="M1407">
        <v>1406</v>
      </c>
      <c r="N1407" s="1">
        <v>-2.7699999999999999E-2</v>
      </c>
      <c r="O1407" s="1">
        <v>-0.1018</v>
      </c>
      <c r="P1407" s="1">
        <v>2.12E-2</v>
      </c>
      <c r="Q1407" s="1">
        <v>-1.1000000000000001E-3</v>
      </c>
      <c r="R1407" s="1">
        <v>-5.0000000000000001E-4</v>
      </c>
      <c r="S1407" s="1">
        <v>8.3000000000000001E-3</v>
      </c>
      <c r="T1407" s="1">
        <v>-9.7999999999999997E-3</v>
      </c>
      <c r="U1407" s="1">
        <v>-4.1399999999999999E-2</v>
      </c>
    </row>
    <row r="1408" spans="1:21" x14ac:dyDescent="0.25">
      <c r="A1408" t="s">
        <v>2974</v>
      </c>
      <c r="B1408" t="s">
        <v>2975</v>
      </c>
      <c r="C1408" t="s">
        <v>114</v>
      </c>
      <c r="D1408" t="s">
        <v>646</v>
      </c>
      <c r="E1408" t="s">
        <v>647</v>
      </c>
      <c r="F1408" t="str">
        <f t="shared" si="24"/>
        <v>2018-05-20</v>
      </c>
      <c r="G1408">
        <v>65.94</v>
      </c>
      <c r="H1408" t="str">
        <f>"2018-05-02"</f>
        <v>2018-05-02</v>
      </c>
      <c r="I1408" t="s">
        <v>57</v>
      </c>
      <c r="J1408" t="str">
        <f>"2018-02-25"</f>
        <v>2018-02-25</v>
      </c>
      <c r="K1408" t="s">
        <v>26</v>
      </c>
      <c r="L1408">
        <v>-2.8503744000000002</v>
      </c>
      <c r="M1408">
        <v>1407</v>
      </c>
      <c r="N1408" s="1">
        <v>1.9599999999999999E-2</v>
      </c>
      <c r="O1408" s="1">
        <v>-0.1022</v>
      </c>
      <c r="P1408" s="1">
        <v>0.03</v>
      </c>
      <c r="Q1408" s="1">
        <v>-5.0000000000000001E-4</v>
      </c>
      <c r="R1408" s="1">
        <v>3.3E-3</v>
      </c>
      <c r="S1408" s="1">
        <v>-3.8999999999999998E-3</v>
      </c>
      <c r="T1408" s="1">
        <v>-9.8400000000000001E-2</v>
      </c>
      <c r="U1408" s="1">
        <v>-0.20050000000000001</v>
      </c>
    </row>
    <row r="1409" spans="1:21" x14ac:dyDescent="0.25">
      <c r="A1409" t="s">
        <v>2976</v>
      </c>
      <c r="B1409" t="s">
        <v>2977</v>
      </c>
      <c r="C1409" t="s">
        <v>23</v>
      </c>
      <c r="D1409" t="s">
        <v>24</v>
      </c>
      <c r="E1409" t="s">
        <v>494</v>
      </c>
      <c r="F1409" t="str">
        <f t="shared" si="24"/>
        <v>2018-05-20</v>
      </c>
      <c r="G1409">
        <v>40.369999999999997</v>
      </c>
      <c r="H1409" t="str">
        <f>"2018-03-19"</f>
        <v>2018-03-19</v>
      </c>
      <c r="I1409" t="s">
        <v>57</v>
      </c>
      <c r="J1409" t="str">
        <f>"2018-03-11"</f>
        <v>2018-03-11</v>
      </c>
      <c r="K1409" t="s">
        <v>27</v>
      </c>
      <c r="L1409">
        <v>-2.8510112200000002</v>
      </c>
      <c r="M1409">
        <v>1408</v>
      </c>
      <c r="N1409" s="1">
        <v>-6.4899999999999999E-2</v>
      </c>
      <c r="O1409" s="1">
        <v>-0.1061</v>
      </c>
      <c r="P1409" s="1">
        <v>6.0999999999999999E-2</v>
      </c>
      <c r="Q1409" s="1">
        <v>6.0999999999999999E-2</v>
      </c>
      <c r="R1409" s="1">
        <v>-5.8999999999999999E-3</v>
      </c>
      <c r="S1409" s="1">
        <v>-3.1899999999999998E-2</v>
      </c>
      <c r="T1409" s="1">
        <v>-0.11799999999999999</v>
      </c>
      <c r="U1409" s="1">
        <v>-0.3906</v>
      </c>
    </row>
    <row r="1410" spans="1:21" x14ac:dyDescent="0.25">
      <c r="A1410" t="s">
        <v>2978</v>
      </c>
      <c r="B1410" t="s">
        <v>2979</v>
      </c>
      <c r="C1410" t="s">
        <v>30</v>
      </c>
      <c r="D1410" t="s">
        <v>31</v>
      </c>
      <c r="E1410" t="s">
        <v>31</v>
      </c>
      <c r="F1410" t="str">
        <f t="shared" si="24"/>
        <v>2018-05-20</v>
      </c>
      <c r="G1410">
        <v>14.96</v>
      </c>
      <c r="H1410" t="str">
        <f>"2018-05-01"</f>
        <v>2018-05-01</v>
      </c>
      <c r="I1410" t="s">
        <v>57</v>
      </c>
      <c r="J1410" t="str">
        <f>"2017-09-27"</f>
        <v>2017-09-27</v>
      </c>
      <c r="K1410" t="s">
        <v>26</v>
      </c>
      <c r="L1410">
        <v>-2.8510553600000001</v>
      </c>
      <c r="M1410">
        <v>1409</v>
      </c>
      <c r="N1410" s="1">
        <v>1.01E-2</v>
      </c>
      <c r="O1410" s="1">
        <v>-0.10630000000000001</v>
      </c>
      <c r="P1410" s="1">
        <v>4.7600000000000003E-2</v>
      </c>
      <c r="Q1410" s="1">
        <v>1.84E-2</v>
      </c>
      <c r="R1410" s="1">
        <v>1.3599999999999999E-2</v>
      </c>
      <c r="S1410" s="1">
        <v>6.9999999999999999E-4</v>
      </c>
      <c r="T1410" s="1">
        <v>-2.98E-2</v>
      </c>
      <c r="U1410" s="1">
        <v>1.49E-2</v>
      </c>
    </row>
    <row r="1411" spans="1:21" x14ac:dyDescent="0.25">
      <c r="A1411" t="s">
        <v>2980</v>
      </c>
      <c r="B1411" t="s">
        <v>2981</v>
      </c>
      <c r="C1411" t="s">
        <v>30</v>
      </c>
      <c r="D1411" t="s">
        <v>299</v>
      </c>
      <c r="E1411" t="s">
        <v>2120</v>
      </c>
      <c r="F1411" t="str">
        <f t="shared" si="24"/>
        <v>2018-05-20</v>
      </c>
      <c r="G1411">
        <v>6.55</v>
      </c>
      <c r="H1411" t="str">
        <f>"2018-02-15"</f>
        <v>2018-02-15</v>
      </c>
      <c r="I1411" t="s">
        <v>57</v>
      </c>
      <c r="J1411" t="str">
        <f>"2018-02-08"</f>
        <v>2018-02-08</v>
      </c>
      <c r="K1411" t="s">
        <v>40</v>
      </c>
      <c r="L1411">
        <v>-2.8516757199999998</v>
      </c>
      <c r="M1411">
        <v>1410</v>
      </c>
      <c r="N1411" s="1">
        <v>2.8299999999999999E-2</v>
      </c>
      <c r="O1411" s="1">
        <v>-0.1101</v>
      </c>
      <c r="P1411" s="1">
        <v>8.7999999999999995E-2</v>
      </c>
      <c r="Q1411" s="1">
        <v>7.7000000000000002E-3</v>
      </c>
      <c r="R1411" s="1">
        <v>9.1999999999999998E-3</v>
      </c>
      <c r="S1411" s="1">
        <v>9.1999999999999998E-3</v>
      </c>
      <c r="T1411" s="1">
        <v>2.5000000000000001E-2</v>
      </c>
      <c r="U1411" s="1">
        <v>-2.9600000000000001E-2</v>
      </c>
    </row>
    <row r="1412" spans="1:21" x14ac:dyDescent="0.25">
      <c r="A1412" t="s">
        <v>2982</v>
      </c>
      <c r="B1412" t="s">
        <v>2983</v>
      </c>
      <c r="C1412" t="s">
        <v>30</v>
      </c>
      <c r="D1412" t="s">
        <v>299</v>
      </c>
      <c r="E1412" t="s">
        <v>2984</v>
      </c>
      <c r="F1412" t="str">
        <f t="shared" si="24"/>
        <v>2018-05-20</v>
      </c>
      <c r="G1412">
        <v>14</v>
      </c>
      <c r="H1412" t="str">
        <f>"2018-04-08"</f>
        <v>2018-04-08</v>
      </c>
      <c r="I1412" t="s">
        <v>57</v>
      </c>
      <c r="J1412" t="str">
        <f>"2017-11-02"</f>
        <v>2017-11-02</v>
      </c>
      <c r="K1412" t="s">
        <v>26</v>
      </c>
      <c r="L1412">
        <v>-2.8527865399999999</v>
      </c>
      <c r="M1412">
        <v>1411</v>
      </c>
      <c r="N1412" s="1">
        <v>2.4899999999999999E-2</v>
      </c>
      <c r="O1412" s="1">
        <v>-0.1167</v>
      </c>
      <c r="P1412" s="1">
        <v>9.1999999999999998E-2</v>
      </c>
      <c r="Q1412" s="1">
        <v>1.9699999999999999E-2</v>
      </c>
      <c r="R1412" s="1">
        <v>1.23E-2</v>
      </c>
      <c r="S1412" s="1">
        <v>6.3E-2</v>
      </c>
      <c r="T1412" s="1">
        <v>4.3999999999999997E-2</v>
      </c>
      <c r="U1412" s="1">
        <v>6.9500000000000006E-2</v>
      </c>
    </row>
    <row r="1413" spans="1:21" x14ac:dyDescent="0.25">
      <c r="A1413" t="s">
        <v>2985</v>
      </c>
      <c r="B1413" t="s">
        <v>2986</v>
      </c>
      <c r="C1413" t="s">
        <v>30</v>
      </c>
      <c r="D1413" t="s">
        <v>299</v>
      </c>
      <c r="E1413" t="s">
        <v>2984</v>
      </c>
      <c r="F1413" t="str">
        <f t="shared" si="24"/>
        <v>2018-05-20</v>
      </c>
      <c r="G1413">
        <v>34.630000000000003</v>
      </c>
      <c r="H1413" t="str">
        <f>"2017-12-21"</f>
        <v>2017-12-21</v>
      </c>
      <c r="I1413" t="s">
        <v>57</v>
      </c>
      <c r="J1413" t="str">
        <f>"2017-12-18"</f>
        <v>2017-12-18</v>
      </c>
      <c r="K1413" t="s">
        <v>27</v>
      </c>
      <c r="L1413">
        <v>-2.8535110000000001</v>
      </c>
      <c r="M1413">
        <v>1412</v>
      </c>
      <c r="N1413" s="1">
        <v>-8.0500000000000002E-2</v>
      </c>
      <c r="O1413" s="1">
        <v>-0.1211</v>
      </c>
      <c r="P1413" s="1">
        <v>9.1700000000000004E-2</v>
      </c>
      <c r="Q1413" s="1">
        <v>1.61E-2</v>
      </c>
      <c r="R1413" s="1">
        <v>-1.7000000000000001E-2</v>
      </c>
      <c r="S1413" s="1">
        <v>6.7199999999999996E-2</v>
      </c>
      <c r="T1413" s="1">
        <v>5.1299999999999998E-2</v>
      </c>
      <c r="U1413" s="1">
        <v>-0.1193</v>
      </c>
    </row>
    <row r="1414" spans="1:21" x14ac:dyDescent="0.25">
      <c r="A1414" t="s">
        <v>2987</v>
      </c>
      <c r="B1414" t="s">
        <v>2988</v>
      </c>
      <c r="C1414" t="s">
        <v>30</v>
      </c>
      <c r="D1414" t="s">
        <v>31</v>
      </c>
      <c r="E1414" t="s">
        <v>31</v>
      </c>
      <c r="F1414" t="str">
        <f t="shared" si="24"/>
        <v>2018-05-20</v>
      </c>
      <c r="G1414">
        <v>13.14</v>
      </c>
      <c r="H1414" t="str">
        <f>"2018-01-09"</f>
        <v>2018-01-09</v>
      </c>
      <c r="I1414" t="s">
        <v>57</v>
      </c>
      <c r="J1414" t="str">
        <f>"2017-09-27"</f>
        <v>2017-09-27</v>
      </c>
      <c r="K1414" t="s">
        <v>27</v>
      </c>
      <c r="L1414">
        <v>-2.8538050699999999</v>
      </c>
      <c r="M1414">
        <v>1413</v>
      </c>
      <c r="N1414" s="1">
        <v>-1.72E-2</v>
      </c>
      <c r="O1414" s="1">
        <v>-0.12280000000000001</v>
      </c>
      <c r="P1414" s="1">
        <v>7.0900000000000005E-2</v>
      </c>
      <c r="Q1414" s="1">
        <v>3.0999999999999999E-3</v>
      </c>
      <c r="R1414" s="1">
        <v>2.6599999999999999E-2</v>
      </c>
      <c r="S1414" s="1">
        <v>4.0399999999999998E-2</v>
      </c>
      <c r="T1414" s="1">
        <v>2.18E-2</v>
      </c>
      <c r="U1414" s="1">
        <v>-5.67E-2</v>
      </c>
    </row>
    <row r="1415" spans="1:21" x14ac:dyDescent="0.25">
      <c r="A1415" t="s">
        <v>2989</v>
      </c>
      <c r="B1415" t="s">
        <v>2990</v>
      </c>
      <c r="C1415" t="s">
        <v>30</v>
      </c>
      <c r="D1415" t="s">
        <v>31</v>
      </c>
      <c r="E1415" t="s">
        <v>31</v>
      </c>
      <c r="F1415" t="str">
        <f t="shared" si="24"/>
        <v>2018-05-20</v>
      </c>
      <c r="G1415">
        <v>27.43</v>
      </c>
      <c r="H1415" t="str">
        <f>"2018-04-03"</f>
        <v>2018-04-03</v>
      </c>
      <c r="I1415" t="s">
        <v>57</v>
      </c>
      <c r="J1415" t="str">
        <f>"2016-07-27"</f>
        <v>2016-07-27</v>
      </c>
      <c r="K1415" t="s">
        <v>26</v>
      </c>
      <c r="L1415">
        <v>-2.8538469700000002</v>
      </c>
      <c r="M1415">
        <v>1414</v>
      </c>
      <c r="N1415" s="1">
        <v>1.3299999999999999E-2</v>
      </c>
      <c r="O1415" s="1">
        <v>-0.1231</v>
      </c>
      <c r="P1415" s="1">
        <v>8.7599999999999997E-2</v>
      </c>
      <c r="Q1415" s="1">
        <v>1.67E-2</v>
      </c>
      <c r="R1415" s="1">
        <v>5.9900000000000002E-2</v>
      </c>
      <c r="S1415" s="1">
        <v>0</v>
      </c>
      <c r="T1415" s="1">
        <v>-6.9999999999999999E-4</v>
      </c>
      <c r="U1415" s="1">
        <v>-2.1100000000000001E-2</v>
      </c>
    </row>
    <row r="1416" spans="1:21" x14ac:dyDescent="0.25">
      <c r="A1416" t="s">
        <v>2991</v>
      </c>
      <c r="B1416" t="s">
        <v>2992</v>
      </c>
      <c r="C1416" t="s">
        <v>109</v>
      </c>
      <c r="D1416" t="s">
        <v>156</v>
      </c>
      <c r="E1416" t="s">
        <v>277</v>
      </c>
      <c r="F1416" t="str">
        <f t="shared" si="24"/>
        <v>2018-05-20</v>
      </c>
      <c r="G1416">
        <v>20.95</v>
      </c>
      <c r="H1416" t="str">
        <f>"2018-03-22"</f>
        <v>2018-03-22</v>
      </c>
      <c r="I1416" t="s">
        <v>57</v>
      </c>
      <c r="J1416" t="str">
        <f>"2018-03-11"</f>
        <v>2018-03-11</v>
      </c>
      <c r="K1416" t="s">
        <v>27</v>
      </c>
      <c r="L1416">
        <v>-2.8539051600000001</v>
      </c>
      <c r="M1416">
        <v>1415</v>
      </c>
      <c r="N1416" s="1">
        <v>-6.2600000000000003E-2</v>
      </c>
      <c r="O1416" s="1">
        <v>-0.1234</v>
      </c>
      <c r="P1416" s="1">
        <v>5.5399999999999998E-2</v>
      </c>
      <c r="Q1416" s="1">
        <v>-7.1000000000000004E-3</v>
      </c>
      <c r="R1416" s="1">
        <v>-1.6400000000000001E-2</v>
      </c>
      <c r="S1416" s="1">
        <v>-5.4199999999999998E-2</v>
      </c>
      <c r="T1416" s="1">
        <v>-4.5600000000000002E-2</v>
      </c>
      <c r="U1416" s="1">
        <v>-0.33700000000000002</v>
      </c>
    </row>
    <row r="1417" spans="1:21" x14ac:dyDescent="0.25">
      <c r="A1417" t="s">
        <v>2993</v>
      </c>
      <c r="B1417" t="s">
        <v>2994</v>
      </c>
      <c r="C1417" t="s">
        <v>30</v>
      </c>
      <c r="D1417" t="s">
        <v>31</v>
      </c>
      <c r="E1417" t="s">
        <v>31</v>
      </c>
      <c r="F1417" t="str">
        <f t="shared" si="24"/>
        <v>2018-05-20</v>
      </c>
      <c r="G1417">
        <v>43.75</v>
      </c>
      <c r="H1417" t="str">
        <f>"2018-02-12"</f>
        <v>2018-02-12</v>
      </c>
      <c r="I1417" t="s">
        <v>57</v>
      </c>
      <c r="J1417" t="str">
        <f>"2017-10-16"</f>
        <v>2017-10-16</v>
      </c>
      <c r="K1417" t="s">
        <v>26</v>
      </c>
      <c r="L1417">
        <v>-2.85402069</v>
      </c>
      <c r="M1417">
        <v>1416</v>
      </c>
      <c r="N1417" s="1">
        <v>-5.7000000000000002E-3</v>
      </c>
      <c r="O1417" s="1">
        <v>-0.1241</v>
      </c>
      <c r="P1417" s="1">
        <v>5.2900000000000003E-2</v>
      </c>
      <c r="Q1417" s="1">
        <v>4.5999999999999999E-3</v>
      </c>
      <c r="R1417" s="1">
        <v>3.4299999999999997E-2</v>
      </c>
      <c r="S1417" s="1">
        <v>-4.5999999999999999E-3</v>
      </c>
      <c r="T1417" s="1">
        <v>-2.23E-2</v>
      </c>
      <c r="U1417" s="1">
        <v>-3.85E-2</v>
      </c>
    </row>
    <row r="1418" spans="1:21" x14ac:dyDescent="0.25">
      <c r="A1418" t="s">
        <v>2995</v>
      </c>
      <c r="B1418" t="s">
        <v>2996</v>
      </c>
      <c r="C1418" t="s">
        <v>30</v>
      </c>
      <c r="D1418" t="s">
        <v>31</v>
      </c>
      <c r="E1418" t="s">
        <v>31</v>
      </c>
      <c r="F1418" t="str">
        <f t="shared" si="24"/>
        <v>2018-05-20</v>
      </c>
      <c r="G1418">
        <v>33.71</v>
      </c>
      <c r="H1418" t="str">
        <f>"2018-02-12"</f>
        <v>2018-02-12</v>
      </c>
      <c r="I1418" t="s">
        <v>57</v>
      </c>
      <c r="J1418" t="str">
        <f>"2016-07-24"</f>
        <v>2016-07-24</v>
      </c>
      <c r="K1418" t="s">
        <v>26</v>
      </c>
      <c r="L1418">
        <v>-2.8540692600000002</v>
      </c>
      <c r="M1418">
        <v>1417</v>
      </c>
      <c r="N1418" s="1">
        <v>8.0799999999999997E-2</v>
      </c>
      <c r="O1418" s="1">
        <v>-0.1244</v>
      </c>
      <c r="P1418" s="1">
        <v>9.1999999999999998E-2</v>
      </c>
      <c r="Q1418" s="1">
        <v>1.17E-2</v>
      </c>
      <c r="R1418" s="1">
        <v>2.4899999999999999E-2</v>
      </c>
      <c r="S1418" s="1">
        <v>4.7999999999999996E-3</v>
      </c>
      <c r="T1418" s="1">
        <v>4.82E-2</v>
      </c>
      <c r="U1418" s="1">
        <v>-2.4899999999999999E-2</v>
      </c>
    </row>
    <row r="1419" spans="1:21" x14ac:dyDescent="0.25">
      <c r="A1419" t="s">
        <v>2997</v>
      </c>
      <c r="B1419" t="s">
        <v>2998</v>
      </c>
      <c r="C1419" t="s">
        <v>30</v>
      </c>
      <c r="D1419" t="s">
        <v>48</v>
      </c>
      <c r="E1419" t="s">
        <v>485</v>
      </c>
      <c r="F1419" t="str">
        <f t="shared" si="24"/>
        <v>2018-05-20</v>
      </c>
      <c r="G1419">
        <v>22.98</v>
      </c>
      <c r="H1419" t="str">
        <f>"2018-04-10"</f>
        <v>2018-04-10</v>
      </c>
      <c r="I1419" t="s">
        <v>57</v>
      </c>
      <c r="J1419" t="str">
        <f>"2018-03-11"</f>
        <v>2018-03-11</v>
      </c>
      <c r="K1419" t="s">
        <v>26</v>
      </c>
      <c r="L1419">
        <v>-2.81586538</v>
      </c>
      <c r="M1419">
        <v>1418</v>
      </c>
      <c r="N1419" s="1">
        <v>0.1583</v>
      </c>
      <c r="O1419" s="1">
        <v>0.1048</v>
      </c>
      <c r="P1419" s="1">
        <v>0.1956</v>
      </c>
      <c r="Q1419" s="1">
        <v>9.1999999999999998E-3</v>
      </c>
      <c r="R1419" s="1">
        <v>5.0299999999999997E-2</v>
      </c>
      <c r="S1419" s="1">
        <v>0.11070000000000001</v>
      </c>
      <c r="T1419" s="1">
        <v>0.1502</v>
      </c>
      <c r="U1419" s="1">
        <v>0.13150000000000001</v>
      </c>
    </row>
    <row r="1420" spans="1:21" x14ac:dyDescent="0.25">
      <c r="A1420" t="s">
        <v>2999</v>
      </c>
      <c r="B1420" t="s">
        <v>3000</v>
      </c>
      <c r="C1420" t="s">
        <v>114</v>
      </c>
      <c r="D1420" t="s">
        <v>646</v>
      </c>
      <c r="E1420" t="s">
        <v>647</v>
      </c>
      <c r="F1420" t="str">
        <f t="shared" si="24"/>
        <v>2018-05-20</v>
      </c>
      <c r="G1420">
        <v>18.100000000000001</v>
      </c>
      <c r="H1420" t="str">
        <f>"2018-04-11"</f>
        <v>2018-04-11</v>
      </c>
      <c r="I1420" t="s">
        <v>57</v>
      </c>
      <c r="J1420" t="str">
        <f>"2018-03-18"</f>
        <v>2018-03-18</v>
      </c>
      <c r="K1420" t="s">
        <v>26</v>
      </c>
      <c r="L1420">
        <v>-2.82043651</v>
      </c>
      <c r="M1420">
        <v>1419</v>
      </c>
      <c r="N1420" s="1">
        <v>0.24399999999999999</v>
      </c>
      <c r="O1420" s="1">
        <v>7.7399999999999997E-2</v>
      </c>
      <c r="P1420" s="1">
        <v>0.40310000000000001</v>
      </c>
      <c r="Q1420" s="1">
        <v>3.4299999999999997E-2</v>
      </c>
      <c r="R1420" s="1">
        <v>8.0600000000000005E-2</v>
      </c>
      <c r="S1420" s="1">
        <v>0.37640000000000001</v>
      </c>
      <c r="T1420" s="1">
        <v>0.17530000000000001</v>
      </c>
      <c r="U1420" s="1">
        <v>-4.99E-2</v>
      </c>
    </row>
    <row r="1421" spans="1:21" x14ac:dyDescent="0.25">
      <c r="A1421" t="s">
        <v>3001</v>
      </c>
      <c r="B1421" t="s">
        <v>3002</v>
      </c>
      <c r="C1421" t="s">
        <v>30</v>
      </c>
      <c r="D1421" t="s">
        <v>31</v>
      </c>
      <c r="E1421" t="s">
        <v>31</v>
      </c>
      <c r="F1421" t="str">
        <f t="shared" ref="F1421:F1484" si="25">"2018-05-20"</f>
        <v>2018-05-20</v>
      </c>
      <c r="G1421">
        <v>41.93</v>
      </c>
      <c r="H1421" t="str">
        <f>"2018-03-28"</f>
        <v>2018-03-28</v>
      </c>
      <c r="I1421" t="s">
        <v>57</v>
      </c>
      <c r="J1421" t="str">
        <f>"2018-03-11"</f>
        <v>2018-03-11</v>
      </c>
      <c r="K1421" t="s">
        <v>26</v>
      </c>
      <c r="L1421">
        <v>-2.8252479799999999</v>
      </c>
      <c r="M1421">
        <v>1420</v>
      </c>
      <c r="N1421" s="1">
        <v>8.2900000000000001E-2</v>
      </c>
      <c r="O1421" s="1">
        <v>4.8500000000000001E-2</v>
      </c>
      <c r="P1421" s="1">
        <v>0.12620000000000001</v>
      </c>
      <c r="Q1421" s="1">
        <v>1.1299999999999999E-2</v>
      </c>
      <c r="R1421" s="1">
        <v>3.2500000000000001E-2</v>
      </c>
      <c r="S1421" s="1">
        <v>4.4900000000000002E-2</v>
      </c>
      <c r="T1421" s="1">
        <v>6.4799999999999996E-2</v>
      </c>
      <c r="U1421" s="1">
        <v>5.3999999999999999E-2</v>
      </c>
    </row>
    <row r="1422" spans="1:21" x14ac:dyDescent="0.25">
      <c r="A1422" t="s">
        <v>3003</v>
      </c>
      <c r="B1422" t="s">
        <v>3004</v>
      </c>
      <c r="C1422" t="s">
        <v>23</v>
      </c>
      <c r="D1422" t="s">
        <v>24</v>
      </c>
      <c r="E1422" t="s">
        <v>494</v>
      </c>
      <c r="F1422" t="str">
        <f t="shared" si="25"/>
        <v>2018-05-20</v>
      </c>
      <c r="G1422">
        <v>10.85</v>
      </c>
      <c r="H1422" t="str">
        <f>"2018-03-20"</f>
        <v>2018-03-20</v>
      </c>
      <c r="I1422" t="s">
        <v>57</v>
      </c>
      <c r="J1422" t="str">
        <f>"2018-03-12"</f>
        <v>2018-03-12</v>
      </c>
      <c r="K1422" t="s">
        <v>27</v>
      </c>
      <c r="L1422">
        <v>-2.8309968799999998</v>
      </c>
      <c r="M1422">
        <v>1421</v>
      </c>
      <c r="N1422" s="1">
        <v>0.1128</v>
      </c>
      <c r="O1422" s="1">
        <v>1.4E-2</v>
      </c>
      <c r="P1422" s="1">
        <v>0.16039999999999999</v>
      </c>
      <c r="Q1422" s="1">
        <v>0</v>
      </c>
      <c r="R1422" s="1">
        <v>7.4300000000000005E-2</v>
      </c>
      <c r="S1422" s="1">
        <v>0.1186</v>
      </c>
      <c r="T1422" s="1">
        <v>0.1186</v>
      </c>
      <c r="U1422" s="1">
        <v>-0.20799999999999999</v>
      </c>
    </row>
    <row r="1423" spans="1:21" x14ac:dyDescent="0.25">
      <c r="A1423" t="s">
        <v>3005</v>
      </c>
      <c r="B1423" t="s">
        <v>3006</v>
      </c>
      <c r="C1423" t="s">
        <v>109</v>
      </c>
      <c r="D1423" t="s">
        <v>156</v>
      </c>
      <c r="E1423" t="s">
        <v>157</v>
      </c>
      <c r="F1423" t="str">
        <f t="shared" si="25"/>
        <v>2018-05-20</v>
      </c>
      <c r="G1423">
        <v>46.33</v>
      </c>
      <c r="H1423" t="str">
        <f>"2017-12-31"</f>
        <v>2017-12-31</v>
      </c>
      <c r="I1423" t="s">
        <v>57</v>
      </c>
      <c r="J1423" t="str">
        <f>"2017-12-27"</f>
        <v>2017-12-27</v>
      </c>
      <c r="K1423" t="s">
        <v>40</v>
      </c>
      <c r="L1423">
        <v>-2.8338711999999999</v>
      </c>
      <c r="M1423">
        <v>1422</v>
      </c>
      <c r="N1423" s="1">
        <v>0.21</v>
      </c>
      <c r="O1423" s="1">
        <v>-3.2000000000000002E-3</v>
      </c>
      <c r="P1423" s="1">
        <v>0.4022</v>
      </c>
      <c r="Q1423" s="1">
        <v>2.3900000000000001E-2</v>
      </c>
      <c r="R1423" s="1">
        <v>3.7900000000000003E-2</v>
      </c>
      <c r="S1423" s="1">
        <v>0.30840000000000001</v>
      </c>
      <c r="T1423" s="1">
        <v>0.28089999999999998</v>
      </c>
      <c r="U1423" s="1">
        <v>0.1105</v>
      </c>
    </row>
    <row r="1424" spans="1:21" x14ac:dyDescent="0.25">
      <c r="A1424" t="s">
        <v>3007</v>
      </c>
      <c r="B1424" t="s">
        <v>3008</v>
      </c>
      <c r="C1424" t="s">
        <v>114</v>
      </c>
      <c r="D1424" t="s">
        <v>225</v>
      </c>
      <c r="E1424" t="s">
        <v>226</v>
      </c>
      <c r="F1424" t="str">
        <f t="shared" si="25"/>
        <v>2018-05-20</v>
      </c>
      <c r="G1424">
        <v>31</v>
      </c>
      <c r="H1424" t="str">
        <f>"2018-04-02"</f>
        <v>2018-04-02</v>
      </c>
      <c r="I1424" t="s">
        <v>57</v>
      </c>
      <c r="J1424" t="str">
        <f>"2018-01-31"</f>
        <v>2018-01-31</v>
      </c>
      <c r="K1424" t="s">
        <v>26</v>
      </c>
      <c r="L1424">
        <v>-2.83752621</v>
      </c>
      <c r="M1424">
        <v>1423</v>
      </c>
      <c r="N1424" s="1">
        <v>4.5499999999999999E-2</v>
      </c>
      <c r="O1424" s="1">
        <v>-2.52E-2</v>
      </c>
      <c r="P1424" s="1">
        <v>0.11509999999999999</v>
      </c>
      <c r="Q1424" s="1">
        <v>4.8999999999999998E-3</v>
      </c>
      <c r="R1424" s="1">
        <v>3.3300000000000003E-2</v>
      </c>
      <c r="S1424" s="1">
        <v>1.6400000000000001E-2</v>
      </c>
      <c r="T1424" s="1">
        <v>4.7300000000000002E-2</v>
      </c>
      <c r="U1424" s="1">
        <v>-1.12E-2</v>
      </c>
    </row>
    <row r="1425" spans="1:21" x14ac:dyDescent="0.25">
      <c r="A1425" t="s">
        <v>3009</v>
      </c>
      <c r="B1425" t="s">
        <v>3010</v>
      </c>
      <c r="C1425" t="s">
        <v>43</v>
      </c>
      <c r="D1425" t="s">
        <v>119</v>
      </c>
      <c r="E1425" t="s">
        <v>120</v>
      </c>
      <c r="F1425" t="str">
        <f t="shared" si="25"/>
        <v>2018-05-20</v>
      </c>
      <c r="G1425">
        <v>54.35</v>
      </c>
      <c r="H1425" t="str">
        <f>"2018-04-26"</f>
        <v>2018-04-26</v>
      </c>
      <c r="I1425" t="s">
        <v>57</v>
      </c>
      <c r="J1425" t="str">
        <f>"2017-08-08"</f>
        <v>2017-08-08</v>
      </c>
      <c r="K1425" t="s">
        <v>26</v>
      </c>
      <c r="L1425">
        <v>-2.8382440500000001</v>
      </c>
      <c r="M1425">
        <v>1424</v>
      </c>
      <c r="N1425" s="1">
        <v>5.5899999999999998E-2</v>
      </c>
      <c r="O1425" s="1">
        <v>-2.9499999999999998E-2</v>
      </c>
      <c r="P1425" s="1">
        <v>0.1764</v>
      </c>
      <c r="Q1425" s="1">
        <v>6.8999999999999999E-3</v>
      </c>
      <c r="R1425" s="1">
        <v>3.7199999999999997E-2</v>
      </c>
      <c r="S1425" s="1">
        <v>4.9200000000000001E-2</v>
      </c>
      <c r="T1425" s="1">
        <v>8.9200000000000002E-2</v>
      </c>
      <c r="U1425" s="1">
        <v>1.0200000000000001E-2</v>
      </c>
    </row>
    <row r="1426" spans="1:21" x14ac:dyDescent="0.25">
      <c r="A1426" t="s">
        <v>3011</v>
      </c>
      <c r="B1426" t="s">
        <v>3012</v>
      </c>
      <c r="C1426" t="s">
        <v>37</v>
      </c>
      <c r="D1426" t="s">
        <v>66</v>
      </c>
      <c r="E1426" t="s">
        <v>72</v>
      </c>
      <c r="F1426" t="str">
        <f t="shared" si="25"/>
        <v>2018-05-20</v>
      </c>
      <c r="G1426">
        <v>35.35</v>
      </c>
      <c r="H1426" t="str">
        <f>"2018-05-03"</f>
        <v>2018-05-03</v>
      </c>
      <c r="I1426" t="s">
        <v>57</v>
      </c>
      <c r="J1426" t="str">
        <f>"2018-04-17"</f>
        <v>2018-04-17</v>
      </c>
      <c r="K1426" t="s">
        <v>27</v>
      </c>
      <c r="L1426">
        <v>-2.8383630499999999</v>
      </c>
      <c r="M1426">
        <v>1425</v>
      </c>
      <c r="N1426" s="1">
        <v>0.10639999999999999</v>
      </c>
      <c r="O1426" s="1">
        <v>-3.0200000000000001E-2</v>
      </c>
      <c r="P1426" s="1">
        <v>0.10639999999999999</v>
      </c>
      <c r="Q1426" s="1">
        <v>-4.1999999999999997E-3</v>
      </c>
      <c r="R1426" s="1">
        <v>1.4E-3</v>
      </c>
      <c r="S1426" s="1">
        <v>-1.8100000000000002E-2</v>
      </c>
      <c r="T1426" s="1">
        <v>0.12759999999999999</v>
      </c>
      <c r="U1426" s="1">
        <v>4.4299999999999999E-2</v>
      </c>
    </row>
    <row r="1427" spans="1:21" x14ac:dyDescent="0.25">
      <c r="A1427" t="s">
        <v>3013</v>
      </c>
      <c r="B1427" t="s">
        <v>3014</v>
      </c>
      <c r="C1427" t="s">
        <v>30</v>
      </c>
      <c r="D1427" t="s">
        <v>299</v>
      </c>
      <c r="E1427" t="s">
        <v>2120</v>
      </c>
      <c r="F1427" t="str">
        <f t="shared" si="25"/>
        <v>2018-05-20</v>
      </c>
      <c r="G1427">
        <v>6.22</v>
      </c>
      <c r="H1427" t="str">
        <f>"2018-02-05"</f>
        <v>2018-02-05</v>
      </c>
      <c r="I1427" t="s">
        <v>57</v>
      </c>
      <c r="J1427" t="str">
        <f>"2017-12-07"</f>
        <v>2017-12-07</v>
      </c>
      <c r="K1427" t="s">
        <v>26</v>
      </c>
      <c r="L1427">
        <v>-2.8395252800000002</v>
      </c>
      <c r="M1427">
        <v>1426</v>
      </c>
      <c r="N1427" s="1">
        <v>0.13089999999999999</v>
      </c>
      <c r="O1427" s="1">
        <v>-3.7199999999999997E-2</v>
      </c>
      <c r="P1427" s="1">
        <v>0.14130000000000001</v>
      </c>
      <c r="Q1427" s="1">
        <v>4.7999999999999996E-3</v>
      </c>
      <c r="R1427" s="1">
        <v>1.9699999999999999E-2</v>
      </c>
      <c r="S1427" s="1">
        <v>3.6700000000000003E-2</v>
      </c>
      <c r="T1427" s="1">
        <v>7.9899999999999999E-2</v>
      </c>
      <c r="U1427" s="1">
        <v>1.14E-2</v>
      </c>
    </row>
    <row r="1428" spans="1:21" x14ac:dyDescent="0.25">
      <c r="A1428" t="s">
        <v>3015</v>
      </c>
      <c r="B1428" t="s">
        <v>3016</v>
      </c>
      <c r="C1428" t="s">
        <v>23</v>
      </c>
      <c r="D1428" t="s">
        <v>24</v>
      </c>
      <c r="E1428" t="s">
        <v>628</v>
      </c>
      <c r="F1428" t="str">
        <f t="shared" si="25"/>
        <v>2018-05-20</v>
      </c>
      <c r="G1428">
        <v>12.15</v>
      </c>
      <c r="H1428" t="str">
        <f>"2018-04-03"</f>
        <v>2018-04-03</v>
      </c>
      <c r="I1428" t="s">
        <v>57</v>
      </c>
      <c r="J1428" t="str">
        <f>"2018-03-11"</f>
        <v>2018-03-11</v>
      </c>
      <c r="K1428" t="s">
        <v>27</v>
      </c>
      <c r="L1428">
        <v>-2.8399209500000002</v>
      </c>
      <c r="M1428">
        <v>1427</v>
      </c>
      <c r="N1428" s="1">
        <v>0.1096</v>
      </c>
      <c r="O1428" s="1">
        <v>-3.95E-2</v>
      </c>
      <c r="P1428" s="1">
        <v>0.16830000000000001</v>
      </c>
      <c r="Q1428" s="1">
        <v>1.67E-2</v>
      </c>
      <c r="R1428" s="1">
        <v>4.2900000000000001E-2</v>
      </c>
      <c r="S1428" s="1">
        <v>0.1045</v>
      </c>
      <c r="T1428" s="1">
        <v>-2.41E-2</v>
      </c>
      <c r="U1428" s="1">
        <v>-8.2000000000000007E-3</v>
      </c>
    </row>
    <row r="1429" spans="1:21" x14ac:dyDescent="0.25">
      <c r="A1429" t="s">
        <v>3017</v>
      </c>
      <c r="B1429" t="s">
        <v>3018</v>
      </c>
      <c r="C1429" t="s">
        <v>30</v>
      </c>
      <c r="D1429" t="s">
        <v>31</v>
      </c>
      <c r="E1429" t="s">
        <v>31</v>
      </c>
      <c r="F1429" t="str">
        <f t="shared" si="25"/>
        <v>2018-05-20</v>
      </c>
      <c r="G1429">
        <v>86.3</v>
      </c>
      <c r="H1429" t="str">
        <f>"2018-04-04"</f>
        <v>2018-04-04</v>
      </c>
      <c r="I1429" t="s">
        <v>57</v>
      </c>
      <c r="J1429" t="str">
        <f>"2017-10-25"</f>
        <v>2017-10-25</v>
      </c>
      <c r="K1429" t="s">
        <v>26</v>
      </c>
      <c r="L1429">
        <v>-2.8401674300000002</v>
      </c>
      <c r="M1429">
        <v>1428</v>
      </c>
      <c r="N1429" s="1">
        <v>0.1351</v>
      </c>
      <c r="O1429" s="1">
        <v>-4.1000000000000002E-2</v>
      </c>
      <c r="P1429" s="1">
        <v>0.16070000000000001</v>
      </c>
      <c r="Q1429" s="1">
        <v>2.01E-2</v>
      </c>
      <c r="R1429" s="1">
        <v>8.8300000000000003E-2</v>
      </c>
      <c r="S1429" s="1">
        <v>9.2399999999999996E-2</v>
      </c>
      <c r="T1429" s="1">
        <v>7.3499999999999996E-2</v>
      </c>
      <c r="U1429" s="1">
        <v>0.12089999999999999</v>
      </c>
    </row>
    <row r="1430" spans="1:21" x14ac:dyDescent="0.25">
      <c r="A1430" t="s">
        <v>3019</v>
      </c>
      <c r="B1430" t="s">
        <v>3020</v>
      </c>
      <c r="C1430" t="s">
        <v>43</v>
      </c>
      <c r="D1430" t="s">
        <v>44</v>
      </c>
      <c r="E1430" t="s">
        <v>45</v>
      </c>
      <c r="F1430" t="str">
        <f t="shared" si="25"/>
        <v>2018-05-20</v>
      </c>
      <c r="G1430">
        <v>12.27</v>
      </c>
      <c r="H1430" t="str">
        <f>"2018-05-03"</f>
        <v>2018-05-03</v>
      </c>
      <c r="I1430" t="s">
        <v>57</v>
      </c>
      <c r="J1430" t="str">
        <f>"2018-04-26"</f>
        <v>2018-04-26</v>
      </c>
      <c r="K1430" t="s">
        <v>27</v>
      </c>
      <c r="L1430">
        <v>-2.8409797800000001</v>
      </c>
      <c r="M1430">
        <v>1429</v>
      </c>
      <c r="N1430" s="1">
        <v>0.1565</v>
      </c>
      <c r="O1430" s="1">
        <v>-4.5900000000000003E-2</v>
      </c>
      <c r="P1430" s="1">
        <v>0.1565</v>
      </c>
      <c r="Q1430" s="1">
        <v>1.24E-2</v>
      </c>
      <c r="R1430" s="1">
        <v>2.8500000000000001E-2</v>
      </c>
      <c r="S1430" s="1">
        <v>-2.1499999999999998E-2</v>
      </c>
      <c r="T1430" s="1">
        <v>-5.6899999999999999E-2</v>
      </c>
      <c r="U1430" s="1">
        <v>3.3700000000000001E-2</v>
      </c>
    </row>
    <row r="1431" spans="1:21" x14ac:dyDescent="0.25">
      <c r="A1431" t="s">
        <v>3021</v>
      </c>
      <c r="B1431" t="s">
        <v>3022</v>
      </c>
      <c r="C1431" t="s">
        <v>30</v>
      </c>
      <c r="D1431" t="s">
        <v>347</v>
      </c>
      <c r="E1431" t="s">
        <v>523</v>
      </c>
      <c r="F1431" t="str">
        <f t="shared" si="25"/>
        <v>2018-05-20</v>
      </c>
      <c r="G1431">
        <v>37.64</v>
      </c>
      <c r="H1431" t="str">
        <f>"2018-02-22"</f>
        <v>2018-02-22</v>
      </c>
      <c r="I1431" t="s">
        <v>57</v>
      </c>
      <c r="J1431" t="str">
        <f>"2018-02-21"</f>
        <v>2018-02-21</v>
      </c>
      <c r="K1431" t="s">
        <v>27</v>
      </c>
      <c r="L1431">
        <v>-2.8420213200000002</v>
      </c>
      <c r="M1431">
        <v>1430</v>
      </c>
      <c r="N1431" s="1">
        <v>-2.3400000000000001E-2</v>
      </c>
      <c r="O1431" s="1">
        <v>-5.21E-2</v>
      </c>
      <c r="P1431" s="1">
        <v>0.16239999999999999</v>
      </c>
      <c r="Q1431" s="1">
        <v>1.9199999999999998E-2</v>
      </c>
      <c r="R1431" s="1">
        <v>3.95E-2</v>
      </c>
      <c r="S1431" s="1">
        <v>2.4799999999999999E-2</v>
      </c>
      <c r="T1431" s="1">
        <v>0.1095</v>
      </c>
      <c r="U1431" s="1">
        <v>-7.6999999999999999E-2</v>
      </c>
    </row>
    <row r="1432" spans="1:21" x14ac:dyDescent="0.25">
      <c r="A1432" t="s">
        <v>3023</v>
      </c>
      <c r="B1432" t="s">
        <v>3024</v>
      </c>
      <c r="C1432" t="s">
        <v>87</v>
      </c>
      <c r="D1432" t="s">
        <v>144</v>
      </c>
      <c r="E1432" t="s">
        <v>145</v>
      </c>
      <c r="F1432" t="str">
        <f t="shared" si="25"/>
        <v>2018-05-20</v>
      </c>
      <c r="G1432">
        <v>30.69</v>
      </c>
      <c r="H1432" t="str">
        <f>"2018-03-26"</f>
        <v>2018-03-26</v>
      </c>
      <c r="I1432" t="s">
        <v>57</v>
      </c>
      <c r="J1432" t="str">
        <f>"2018-01-25"</f>
        <v>2018-01-25</v>
      </c>
      <c r="K1432" t="s">
        <v>26</v>
      </c>
      <c r="L1432">
        <v>-2.8422270200000002</v>
      </c>
      <c r="M1432">
        <v>1431</v>
      </c>
      <c r="N1432" s="1">
        <v>0.18679999999999999</v>
      </c>
      <c r="O1432" s="1">
        <v>-5.3400000000000003E-2</v>
      </c>
      <c r="P1432" s="1">
        <v>0.28139999999999998</v>
      </c>
      <c r="Q1432" s="1">
        <v>9.1999999999999998E-3</v>
      </c>
      <c r="R1432" s="1">
        <v>4.4900000000000002E-2</v>
      </c>
      <c r="S1432" s="1">
        <v>2.81E-2</v>
      </c>
      <c r="T1432" s="1">
        <v>0.22509999999999999</v>
      </c>
      <c r="U1432" s="1">
        <v>-0.11940000000000001</v>
      </c>
    </row>
    <row r="1433" spans="1:21" x14ac:dyDescent="0.25">
      <c r="A1433" t="s">
        <v>3025</v>
      </c>
      <c r="B1433" t="s">
        <v>3026</v>
      </c>
      <c r="C1433" t="s">
        <v>30</v>
      </c>
      <c r="D1433" t="s">
        <v>299</v>
      </c>
      <c r="E1433" t="s">
        <v>1250</v>
      </c>
      <c r="F1433" t="str">
        <f t="shared" si="25"/>
        <v>2018-05-20</v>
      </c>
      <c r="G1433">
        <v>22.36</v>
      </c>
      <c r="H1433" t="str">
        <f>"2018-04-10"</f>
        <v>2018-04-10</v>
      </c>
      <c r="I1433" t="s">
        <v>57</v>
      </c>
      <c r="J1433" t="str">
        <f>"2017-11-30"</f>
        <v>2017-11-30</v>
      </c>
      <c r="K1433" t="s">
        <v>26</v>
      </c>
      <c r="L1433">
        <v>-2.84354884</v>
      </c>
      <c r="M1433">
        <v>1432</v>
      </c>
      <c r="N1433" s="1">
        <v>0.16039999999999999</v>
      </c>
      <c r="O1433" s="1">
        <v>-6.13E-2</v>
      </c>
      <c r="P1433" s="1">
        <v>0.19700000000000001</v>
      </c>
      <c r="Q1433" s="1">
        <v>1.18E-2</v>
      </c>
      <c r="R1433" s="1">
        <v>1.6799999999999999E-2</v>
      </c>
      <c r="S1433" s="1">
        <v>9.5500000000000002E-2</v>
      </c>
      <c r="T1433" s="1">
        <v>6.88E-2</v>
      </c>
      <c r="U1433" s="1">
        <v>7.5499999999999998E-2</v>
      </c>
    </row>
    <row r="1434" spans="1:21" x14ac:dyDescent="0.25">
      <c r="A1434" t="s">
        <v>3027</v>
      </c>
      <c r="B1434" t="s">
        <v>3028</v>
      </c>
      <c r="C1434" t="s">
        <v>30</v>
      </c>
      <c r="D1434" t="s">
        <v>31</v>
      </c>
      <c r="E1434" t="s">
        <v>31</v>
      </c>
      <c r="F1434" t="str">
        <f t="shared" si="25"/>
        <v>2018-05-20</v>
      </c>
      <c r="G1434">
        <v>28.55</v>
      </c>
      <c r="H1434" t="str">
        <f>"2018-04-23"</f>
        <v>2018-04-23</v>
      </c>
      <c r="I1434" t="s">
        <v>57</v>
      </c>
      <c r="J1434" t="str">
        <f>"2014-12-07"</f>
        <v>2014-12-07</v>
      </c>
      <c r="K1434" t="s">
        <v>26</v>
      </c>
      <c r="L1434">
        <v>-2.8441934099999999</v>
      </c>
      <c r="M1434">
        <v>1433</v>
      </c>
      <c r="N1434" s="1">
        <v>7.3300000000000004E-2</v>
      </c>
      <c r="O1434" s="1">
        <v>-6.5199999999999994E-2</v>
      </c>
      <c r="P1434" s="1">
        <v>0.17730000000000001</v>
      </c>
      <c r="Q1434" s="1">
        <v>1.4E-3</v>
      </c>
      <c r="R1434" s="1">
        <v>4.4999999999999998E-2</v>
      </c>
      <c r="S1434" s="1">
        <v>7.3300000000000004E-2</v>
      </c>
      <c r="T1434" s="1">
        <v>7.6499999999999999E-2</v>
      </c>
      <c r="U1434" s="1">
        <v>7.4099999999999999E-2</v>
      </c>
    </row>
    <row r="1435" spans="1:21" x14ac:dyDescent="0.25">
      <c r="A1435" t="s">
        <v>3029</v>
      </c>
      <c r="B1435" t="s">
        <v>3030</v>
      </c>
      <c r="C1435" t="s">
        <v>43</v>
      </c>
      <c r="D1435" t="s">
        <v>193</v>
      </c>
      <c r="E1435" t="s">
        <v>239</v>
      </c>
      <c r="F1435" t="str">
        <f t="shared" si="25"/>
        <v>2018-05-20</v>
      </c>
      <c r="G1435">
        <v>11.98</v>
      </c>
      <c r="H1435" t="str">
        <f>"2018-03-26"</f>
        <v>2018-03-26</v>
      </c>
      <c r="I1435" t="s">
        <v>57</v>
      </c>
      <c r="J1435" t="str">
        <f>"2017-10-02"</f>
        <v>2017-10-02</v>
      </c>
      <c r="K1435" t="s">
        <v>26</v>
      </c>
      <c r="L1435">
        <v>-2.84557876</v>
      </c>
      <c r="M1435">
        <v>1434</v>
      </c>
      <c r="N1435" s="1">
        <v>0.1052</v>
      </c>
      <c r="O1435" s="1">
        <v>-7.3499999999999996E-2</v>
      </c>
      <c r="P1435" s="1">
        <v>0.2351</v>
      </c>
      <c r="Q1435" s="1">
        <v>1.5299999999999999E-2</v>
      </c>
      <c r="R1435" s="1">
        <v>1.8700000000000001E-2</v>
      </c>
      <c r="S1435" s="1">
        <v>0.17449999999999999</v>
      </c>
      <c r="T1435" s="1">
        <v>4.0800000000000003E-2</v>
      </c>
      <c r="U1435" s="1">
        <v>6.2100000000000002E-2</v>
      </c>
    </row>
    <row r="1436" spans="1:21" x14ac:dyDescent="0.25">
      <c r="A1436" t="s">
        <v>3031</v>
      </c>
      <c r="B1436" t="s">
        <v>3032</v>
      </c>
      <c r="C1436" t="s">
        <v>43</v>
      </c>
      <c r="D1436" t="s">
        <v>44</v>
      </c>
      <c r="E1436" t="s">
        <v>320</v>
      </c>
      <c r="F1436" t="str">
        <f t="shared" si="25"/>
        <v>2018-05-20</v>
      </c>
      <c r="G1436">
        <v>7.66</v>
      </c>
      <c r="H1436" t="str">
        <f>"2018-05-06"</f>
        <v>2018-05-06</v>
      </c>
      <c r="I1436" t="s">
        <v>57</v>
      </c>
      <c r="J1436" t="str">
        <f>"2018-03-22"</f>
        <v>2018-03-22</v>
      </c>
      <c r="K1436" t="s">
        <v>40</v>
      </c>
      <c r="L1436">
        <v>-2.8459992000000001</v>
      </c>
      <c r="M1436">
        <v>1435</v>
      </c>
      <c r="N1436" s="1">
        <v>0.115</v>
      </c>
      <c r="O1436" s="1">
        <v>-7.5999999999999998E-2</v>
      </c>
      <c r="P1436" s="1">
        <v>0.23549999999999999</v>
      </c>
      <c r="Q1436" s="1">
        <v>-6.4999999999999997E-3</v>
      </c>
      <c r="R1436" s="1">
        <v>2.6800000000000001E-2</v>
      </c>
      <c r="S1436" s="1">
        <v>0.18759999999999999</v>
      </c>
      <c r="T1436" s="1">
        <v>7.9000000000000008E-3</v>
      </c>
      <c r="U1436" s="1">
        <v>0.1265</v>
      </c>
    </row>
    <row r="1437" spans="1:21" x14ac:dyDescent="0.25">
      <c r="A1437" t="s">
        <v>3033</v>
      </c>
      <c r="B1437" t="s">
        <v>3034</v>
      </c>
      <c r="C1437" t="s">
        <v>30</v>
      </c>
      <c r="D1437" t="s">
        <v>48</v>
      </c>
      <c r="E1437" t="s">
        <v>387</v>
      </c>
      <c r="F1437" t="str">
        <f t="shared" si="25"/>
        <v>2018-05-20</v>
      </c>
      <c r="G1437">
        <v>27.7</v>
      </c>
      <c r="H1437" t="str">
        <f>"2018-02-01"</f>
        <v>2018-02-01</v>
      </c>
      <c r="I1437" t="s">
        <v>57</v>
      </c>
      <c r="J1437" t="str">
        <f>"2017-12-07"</f>
        <v>2017-12-07</v>
      </c>
      <c r="K1437" t="s">
        <v>27</v>
      </c>
      <c r="L1437">
        <v>-2.8462136400000002</v>
      </c>
      <c r="M1437">
        <v>1436</v>
      </c>
      <c r="N1437" s="1">
        <v>-4.5199999999999997E-2</v>
      </c>
      <c r="O1437" s="1">
        <v>-7.7299999999999994E-2</v>
      </c>
      <c r="P1437" s="1">
        <v>0.1409</v>
      </c>
      <c r="Q1437" s="1">
        <v>3.1699999999999999E-2</v>
      </c>
      <c r="R1437" s="1">
        <v>5.5199999999999999E-2</v>
      </c>
      <c r="S1437" s="1">
        <v>7.0300000000000001E-2</v>
      </c>
      <c r="T1437" s="1">
        <v>2.86E-2</v>
      </c>
      <c r="U1437" s="1">
        <v>-5.1999999999999998E-2</v>
      </c>
    </row>
    <row r="1438" spans="1:21" x14ac:dyDescent="0.25">
      <c r="A1438" t="s">
        <v>3035</v>
      </c>
      <c r="B1438" t="s">
        <v>3036</v>
      </c>
      <c r="C1438" t="s">
        <v>87</v>
      </c>
      <c r="D1438" t="s">
        <v>88</v>
      </c>
      <c r="E1438" t="s">
        <v>89</v>
      </c>
      <c r="F1438" t="str">
        <f t="shared" si="25"/>
        <v>2018-05-20</v>
      </c>
      <c r="G1438">
        <v>5.01</v>
      </c>
      <c r="H1438" t="str">
        <f>"2018-03-15"</f>
        <v>2018-03-15</v>
      </c>
      <c r="I1438" t="s">
        <v>57</v>
      </c>
      <c r="J1438" t="str">
        <f>"2018-01-31"</f>
        <v>2018-01-31</v>
      </c>
      <c r="K1438" t="s">
        <v>40</v>
      </c>
      <c r="L1438">
        <v>-2.8467889899999999</v>
      </c>
      <c r="M1438">
        <v>1437</v>
      </c>
      <c r="N1438" s="1">
        <v>0.39550000000000002</v>
      </c>
      <c r="O1438" s="1">
        <v>-8.0699999999999994E-2</v>
      </c>
      <c r="P1438" s="1">
        <v>0.56069999999999998</v>
      </c>
      <c r="Q1438" s="1">
        <v>0.13089999999999999</v>
      </c>
      <c r="R1438" s="1">
        <v>0.16239999999999999</v>
      </c>
      <c r="S1438" s="1">
        <v>0.24010000000000001</v>
      </c>
      <c r="T1438" s="1">
        <v>0.27479999999999999</v>
      </c>
      <c r="U1438" s="1">
        <v>-5.11E-2</v>
      </c>
    </row>
    <row r="1439" spans="1:21" x14ac:dyDescent="0.25">
      <c r="A1439" t="s">
        <v>3037</v>
      </c>
      <c r="B1439" t="s">
        <v>3038</v>
      </c>
      <c r="C1439" t="s">
        <v>30</v>
      </c>
      <c r="D1439" t="s">
        <v>299</v>
      </c>
      <c r="E1439" t="s">
        <v>2289</v>
      </c>
      <c r="F1439" t="str">
        <f t="shared" si="25"/>
        <v>2018-05-20</v>
      </c>
      <c r="G1439">
        <v>25.08</v>
      </c>
      <c r="H1439" t="str">
        <f>"2018-04-11"</f>
        <v>2018-04-11</v>
      </c>
      <c r="I1439" t="s">
        <v>57</v>
      </c>
      <c r="J1439" t="str">
        <f>"2017-08-31"</f>
        <v>2017-08-31</v>
      </c>
      <c r="K1439" t="s">
        <v>26</v>
      </c>
      <c r="L1439">
        <v>-2.8468303399999999</v>
      </c>
      <c r="M1439">
        <v>1438</v>
      </c>
      <c r="N1439" s="1">
        <v>6.6299999999999998E-2</v>
      </c>
      <c r="O1439" s="1">
        <v>-8.1000000000000003E-2</v>
      </c>
      <c r="P1439" s="1">
        <v>0.15260000000000001</v>
      </c>
      <c r="Q1439" s="1">
        <v>1.9900000000000001E-2</v>
      </c>
      <c r="R1439" s="1">
        <v>2.1999999999999999E-2</v>
      </c>
      <c r="S1439" s="1">
        <v>8.6199999999999999E-2</v>
      </c>
      <c r="T1439" s="1">
        <v>9.7600000000000006E-2</v>
      </c>
      <c r="U1439" s="1">
        <v>9.7600000000000006E-2</v>
      </c>
    </row>
    <row r="1440" spans="1:21" x14ac:dyDescent="0.25">
      <c r="A1440" t="s">
        <v>3039</v>
      </c>
      <c r="B1440" t="s">
        <v>3040</v>
      </c>
      <c r="C1440" t="s">
        <v>43</v>
      </c>
      <c r="D1440" t="s">
        <v>193</v>
      </c>
      <c r="E1440" t="s">
        <v>239</v>
      </c>
      <c r="F1440" t="str">
        <f t="shared" si="25"/>
        <v>2018-05-20</v>
      </c>
      <c r="G1440">
        <v>42.92</v>
      </c>
      <c r="H1440" t="str">
        <f>"2018-03-06"</f>
        <v>2018-03-06</v>
      </c>
      <c r="I1440" t="s">
        <v>57</v>
      </c>
      <c r="J1440" t="str">
        <f>"2018-01-14"</f>
        <v>2018-01-14</v>
      </c>
      <c r="K1440" t="s">
        <v>27</v>
      </c>
      <c r="L1440">
        <v>-2.84692203</v>
      </c>
      <c r="M1440">
        <v>1439</v>
      </c>
      <c r="N1440" s="1">
        <v>-4.7699999999999999E-2</v>
      </c>
      <c r="O1440" s="1">
        <v>-8.1500000000000003E-2</v>
      </c>
      <c r="P1440" s="1">
        <v>0.109</v>
      </c>
      <c r="Q1440" s="1">
        <v>1.23E-2</v>
      </c>
      <c r="R1440" s="1">
        <v>3.4000000000000002E-2</v>
      </c>
      <c r="S1440" s="1">
        <v>6.6E-3</v>
      </c>
      <c r="T1440" s="1">
        <v>-5.21E-2</v>
      </c>
      <c r="U1440" s="1">
        <v>-0.1668</v>
      </c>
    </row>
    <row r="1441" spans="1:21" x14ac:dyDescent="0.25">
      <c r="A1441" t="s">
        <v>3041</v>
      </c>
      <c r="B1441" t="s">
        <v>3042</v>
      </c>
      <c r="C1441" t="s">
        <v>30</v>
      </c>
      <c r="D1441" t="s">
        <v>299</v>
      </c>
      <c r="E1441" t="s">
        <v>300</v>
      </c>
      <c r="F1441" t="str">
        <f t="shared" si="25"/>
        <v>2018-05-20</v>
      </c>
      <c r="G1441">
        <v>26.28</v>
      </c>
      <c r="H1441" t="str">
        <f>"2018-04-15"</f>
        <v>2018-04-15</v>
      </c>
      <c r="I1441" t="s">
        <v>57</v>
      </c>
      <c r="J1441" t="str">
        <f>"2017-02-27"</f>
        <v>2017-02-27</v>
      </c>
      <c r="K1441" t="s">
        <v>26</v>
      </c>
      <c r="L1441">
        <v>-2.8478109800000002</v>
      </c>
      <c r="M1441">
        <v>1440</v>
      </c>
      <c r="N1441" s="1">
        <v>4.3700000000000003E-2</v>
      </c>
      <c r="O1441" s="1">
        <v>-8.6900000000000005E-2</v>
      </c>
      <c r="P1441" s="1">
        <v>0.1711</v>
      </c>
      <c r="Q1441" s="1">
        <v>2.46E-2</v>
      </c>
      <c r="R1441" s="1">
        <v>-3.3999999999999998E-3</v>
      </c>
      <c r="S1441" s="1">
        <v>2.98E-2</v>
      </c>
      <c r="T1441" s="1">
        <v>0.10979999999999999</v>
      </c>
      <c r="U1441" s="1">
        <v>4.0800000000000003E-2</v>
      </c>
    </row>
    <row r="1442" spans="1:21" x14ac:dyDescent="0.25">
      <c r="A1442" t="s">
        <v>3043</v>
      </c>
      <c r="B1442" t="s">
        <v>3044</v>
      </c>
      <c r="C1442" t="s">
        <v>518</v>
      </c>
      <c r="D1442" t="s">
        <v>519</v>
      </c>
      <c r="E1442" t="s">
        <v>1639</v>
      </c>
      <c r="F1442" t="str">
        <f t="shared" si="25"/>
        <v>2018-05-20</v>
      </c>
      <c r="G1442">
        <v>55.55</v>
      </c>
      <c r="H1442" t="str">
        <f>"2018-03-21"</f>
        <v>2018-03-21</v>
      </c>
      <c r="I1442" t="s">
        <v>57</v>
      </c>
      <c r="J1442" t="str">
        <f>"2015-11-05"</f>
        <v>2015-11-05</v>
      </c>
      <c r="K1442" t="s">
        <v>26</v>
      </c>
      <c r="L1442">
        <v>-2.8479748200000001</v>
      </c>
      <c r="M1442">
        <v>1441</v>
      </c>
      <c r="N1442" s="1">
        <v>0.1245</v>
      </c>
      <c r="O1442" s="1">
        <v>-8.7800000000000003E-2</v>
      </c>
      <c r="P1442" s="1">
        <v>0.1489</v>
      </c>
      <c r="Q1442" s="1">
        <v>2.7000000000000001E-3</v>
      </c>
      <c r="R1442" s="1">
        <v>-1.24E-2</v>
      </c>
      <c r="S1442" s="1">
        <v>0.12559999999999999</v>
      </c>
      <c r="T1442" s="1">
        <v>0.1</v>
      </c>
      <c r="U1442" s="1">
        <v>4.8099999999999997E-2</v>
      </c>
    </row>
    <row r="1443" spans="1:21" x14ac:dyDescent="0.25">
      <c r="A1443" t="s">
        <v>3045</v>
      </c>
      <c r="B1443" t="s">
        <v>3046</v>
      </c>
      <c r="C1443" t="s">
        <v>37</v>
      </c>
      <c r="D1443" t="s">
        <v>38</v>
      </c>
      <c r="E1443" t="s">
        <v>97</v>
      </c>
      <c r="F1443" t="str">
        <f t="shared" si="25"/>
        <v>2018-05-20</v>
      </c>
      <c r="G1443">
        <v>6.16</v>
      </c>
      <c r="H1443" t="str">
        <f>"2018-03-01"</f>
        <v>2018-03-01</v>
      </c>
      <c r="I1443" t="s">
        <v>57</v>
      </c>
      <c r="J1443" t="str">
        <f>"2018-02-26"</f>
        <v>2018-02-26</v>
      </c>
      <c r="K1443" t="s">
        <v>40</v>
      </c>
      <c r="L1443">
        <v>-2.84901961</v>
      </c>
      <c r="M1443">
        <v>1442</v>
      </c>
      <c r="N1443" s="1">
        <v>0.23449999999999999</v>
      </c>
      <c r="O1443" s="1">
        <v>-9.4100000000000003E-2</v>
      </c>
      <c r="P1443" s="1">
        <v>0.29959999999999998</v>
      </c>
      <c r="Q1443" s="1">
        <v>-2.2200000000000001E-2</v>
      </c>
      <c r="R1443" s="1">
        <v>3.6999999999999998E-2</v>
      </c>
      <c r="S1443" s="1">
        <v>8.4500000000000006E-2</v>
      </c>
      <c r="T1443" s="1">
        <v>0.13650000000000001</v>
      </c>
      <c r="U1443" s="1">
        <v>0.54</v>
      </c>
    </row>
    <row r="1444" spans="1:21" x14ac:dyDescent="0.25">
      <c r="A1444" t="s">
        <v>3047</v>
      </c>
      <c r="B1444" t="s">
        <v>3048</v>
      </c>
      <c r="C1444" t="s">
        <v>30</v>
      </c>
      <c r="D1444" t="s">
        <v>482</v>
      </c>
      <c r="E1444" t="s">
        <v>482</v>
      </c>
      <c r="F1444" t="str">
        <f t="shared" si="25"/>
        <v>2018-05-20</v>
      </c>
      <c r="G1444">
        <v>3.63</v>
      </c>
      <c r="H1444" t="str">
        <f>"2017-11-22"</f>
        <v>2017-11-22</v>
      </c>
      <c r="I1444" t="s">
        <v>57</v>
      </c>
      <c r="J1444" t="str">
        <f>"2017-09-12"</f>
        <v>2017-09-12</v>
      </c>
      <c r="K1444" t="s">
        <v>27</v>
      </c>
      <c r="L1444">
        <v>-2.84912718</v>
      </c>
      <c r="M1444">
        <v>1443</v>
      </c>
      <c r="N1444" s="1">
        <v>5.2200000000000003E-2</v>
      </c>
      <c r="O1444" s="1">
        <v>-9.4799999999999995E-2</v>
      </c>
      <c r="P1444" s="1">
        <v>0.34939999999999999</v>
      </c>
      <c r="Q1444" s="1">
        <v>8.6800000000000002E-2</v>
      </c>
      <c r="R1444" s="1">
        <v>0.14510000000000001</v>
      </c>
      <c r="S1444" s="1">
        <v>0.34439999999999998</v>
      </c>
      <c r="T1444" s="1">
        <v>0.2737</v>
      </c>
      <c r="U1444" s="1">
        <v>5.4999999999999997E-3</v>
      </c>
    </row>
    <row r="1445" spans="1:21" x14ac:dyDescent="0.25">
      <c r="A1445" t="s">
        <v>3049</v>
      </c>
      <c r="B1445" t="s">
        <v>3050</v>
      </c>
      <c r="C1445" t="s">
        <v>100</v>
      </c>
      <c r="D1445" t="s">
        <v>199</v>
      </c>
      <c r="E1445" t="s">
        <v>200</v>
      </c>
      <c r="F1445" t="str">
        <f t="shared" si="25"/>
        <v>2018-05-20</v>
      </c>
      <c r="G1445">
        <v>31.1</v>
      </c>
      <c r="H1445" t="str">
        <f>"2018-04-16"</f>
        <v>2018-04-16</v>
      </c>
      <c r="I1445" t="s">
        <v>57</v>
      </c>
      <c r="J1445" t="str">
        <f>"2017-10-11"</f>
        <v>2017-10-11</v>
      </c>
      <c r="K1445" t="s">
        <v>26</v>
      </c>
      <c r="L1445">
        <v>-2.8493217099999999</v>
      </c>
      <c r="M1445">
        <v>1444</v>
      </c>
      <c r="N1445" s="1">
        <v>4.0099999999999997E-2</v>
      </c>
      <c r="O1445" s="1">
        <v>-9.5899999999999999E-2</v>
      </c>
      <c r="P1445" s="1">
        <v>0.11070000000000001</v>
      </c>
      <c r="Q1445" s="1">
        <v>-4.7999999999999996E-3</v>
      </c>
      <c r="R1445" s="1">
        <v>1.14E-2</v>
      </c>
      <c r="S1445" s="1">
        <v>0</v>
      </c>
      <c r="T1445" s="1">
        <v>-3.8600000000000002E-2</v>
      </c>
      <c r="U1445" s="1">
        <v>1.6299999999999999E-2</v>
      </c>
    </row>
    <row r="1446" spans="1:21" x14ac:dyDescent="0.25">
      <c r="A1446" t="s">
        <v>3051</v>
      </c>
      <c r="B1446" t="s">
        <v>3052</v>
      </c>
      <c r="C1446" t="s">
        <v>30</v>
      </c>
      <c r="D1446" t="s">
        <v>31</v>
      </c>
      <c r="E1446" t="s">
        <v>31</v>
      </c>
      <c r="F1446" t="str">
        <f t="shared" si="25"/>
        <v>2018-05-20</v>
      </c>
      <c r="G1446">
        <v>62.2</v>
      </c>
      <c r="H1446" t="str">
        <f>"2018-05-14"</f>
        <v>2018-05-14</v>
      </c>
      <c r="I1446" t="s">
        <v>57</v>
      </c>
      <c r="J1446" t="str">
        <f>"2016-05-03"</f>
        <v>2016-05-03</v>
      </c>
      <c r="K1446" t="s">
        <v>26</v>
      </c>
      <c r="L1446">
        <v>-2.8494311300000001</v>
      </c>
      <c r="M1446">
        <v>1445</v>
      </c>
      <c r="N1446" s="1">
        <v>2.8899999999999999E-2</v>
      </c>
      <c r="O1446" s="1">
        <v>-9.6600000000000005E-2</v>
      </c>
      <c r="P1446" s="1">
        <v>0.2452</v>
      </c>
      <c r="Q1446" s="1">
        <v>2.3E-2</v>
      </c>
      <c r="R1446" s="1">
        <v>2.8899999999999999E-2</v>
      </c>
      <c r="S1446" s="1">
        <v>3.49E-2</v>
      </c>
      <c r="T1446" s="1">
        <v>-2.2800000000000001E-2</v>
      </c>
      <c r="U1446" s="1">
        <v>7.3300000000000004E-2</v>
      </c>
    </row>
    <row r="1447" spans="1:21" x14ac:dyDescent="0.25">
      <c r="A1447" t="s">
        <v>3053</v>
      </c>
      <c r="B1447" t="s">
        <v>3054</v>
      </c>
      <c r="C1447" t="s">
        <v>518</v>
      </c>
      <c r="D1447" t="s">
        <v>573</v>
      </c>
      <c r="E1447" t="s">
        <v>1385</v>
      </c>
      <c r="F1447" t="str">
        <f t="shared" si="25"/>
        <v>2018-05-20</v>
      </c>
      <c r="G1447">
        <v>76.75</v>
      </c>
      <c r="H1447" t="str">
        <f>"2018-03-26"</f>
        <v>2018-03-26</v>
      </c>
      <c r="I1447" t="s">
        <v>57</v>
      </c>
      <c r="J1447" t="str">
        <f>"2015-11-16"</f>
        <v>2015-11-16</v>
      </c>
      <c r="K1447" t="s">
        <v>26</v>
      </c>
      <c r="L1447">
        <v>-2.8504773000000001</v>
      </c>
      <c r="M1447">
        <v>1446</v>
      </c>
      <c r="N1447" s="1">
        <v>8.7900000000000006E-2</v>
      </c>
      <c r="O1447" s="1">
        <v>-0.10290000000000001</v>
      </c>
      <c r="P1447" s="1">
        <v>0.1515</v>
      </c>
      <c r="Q1447" s="1">
        <v>6.9999999999999999E-4</v>
      </c>
      <c r="R1447" s="1">
        <v>-6.4999999999999997E-3</v>
      </c>
      <c r="S1447" s="1">
        <v>2.47E-2</v>
      </c>
      <c r="T1447" s="1">
        <v>0.1147</v>
      </c>
      <c r="U1447" s="1">
        <v>5.7200000000000001E-2</v>
      </c>
    </row>
    <row r="1448" spans="1:21" x14ac:dyDescent="0.25">
      <c r="A1448" t="s">
        <v>3055</v>
      </c>
      <c r="B1448" t="s">
        <v>3056</v>
      </c>
      <c r="C1448" t="s">
        <v>30</v>
      </c>
      <c r="D1448" t="s">
        <v>299</v>
      </c>
      <c r="E1448" t="s">
        <v>2289</v>
      </c>
      <c r="F1448" t="str">
        <f t="shared" si="25"/>
        <v>2018-05-20</v>
      </c>
      <c r="G1448">
        <v>389.95</v>
      </c>
      <c r="H1448" t="str">
        <f>"2017-08-03"</f>
        <v>2017-08-03</v>
      </c>
      <c r="I1448" t="s">
        <v>57</v>
      </c>
      <c r="J1448" t="str">
        <f>"2017-07-23"</f>
        <v>2017-07-23</v>
      </c>
      <c r="K1448" t="s">
        <v>27</v>
      </c>
      <c r="L1448">
        <v>-2.8505904399999999</v>
      </c>
      <c r="M1448">
        <v>1447</v>
      </c>
      <c r="N1448" s="1">
        <v>-7.4200000000000002E-2</v>
      </c>
      <c r="O1448" s="1">
        <v>-0.10349999999999999</v>
      </c>
      <c r="P1448" s="1">
        <v>0.16200000000000001</v>
      </c>
      <c r="Q1448" s="1">
        <v>1.54E-2</v>
      </c>
      <c r="R1448" s="1">
        <v>4.7999999999999996E-3</v>
      </c>
      <c r="S1448" s="1">
        <v>4.0000000000000002E-4</v>
      </c>
      <c r="T1448" s="1">
        <v>2.6700000000000002E-2</v>
      </c>
      <c r="U1448" s="1">
        <v>-4.9200000000000001E-2</v>
      </c>
    </row>
    <row r="1449" spans="1:21" x14ac:dyDescent="0.25">
      <c r="A1449" t="s">
        <v>3057</v>
      </c>
      <c r="B1449" t="s">
        <v>3058</v>
      </c>
      <c r="C1449" t="s">
        <v>23</v>
      </c>
      <c r="D1449" t="s">
        <v>52</v>
      </c>
      <c r="E1449" t="s">
        <v>139</v>
      </c>
      <c r="F1449" t="str">
        <f t="shared" si="25"/>
        <v>2018-05-20</v>
      </c>
      <c r="G1449">
        <v>21.2</v>
      </c>
      <c r="H1449" t="str">
        <f>"2018-05-10"</f>
        <v>2018-05-10</v>
      </c>
      <c r="I1449" t="s">
        <v>57</v>
      </c>
      <c r="J1449" t="str">
        <f>"2017-04-30"</f>
        <v>2017-04-30</v>
      </c>
      <c r="K1449" t="s">
        <v>34</v>
      </c>
      <c r="L1449">
        <v>-2.8507882900000001</v>
      </c>
      <c r="M1449">
        <v>1448</v>
      </c>
      <c r="N1449" s="1">
        <v>9.3899999999999997E-2</v>
      </c>
      <c r="O1449" s="1">
        <v>-0.1047</v>
      </c>
      <c r="P1449" s="1">
        <v>0.12709999999999999</v>
      </c>
      <c r="Q1449" s="1">
        <v>2.3699999999999999E-2</v>
      </c>
      <c r="R1449" s="1">
        <v>6.0499999999999998E-2</v>
      </c>
      <c r="S1449" s="1">
        <v>7.8299999999999995E-2</v>
      </c>
      <c r="T1449" s="1">
        <v>-4.5499999999999999E-2</v>
      </c>
      <c r="U1449" s="1">
        <v>-3.6400000000000002E-2</v>
      </c>
    </row>
    <row r="1450" spans="1:21" x14ac:dyDescent="0.25">
      <c r="A1450" t="s">
        <v>3059</v>
      </c>
      <c r="B1450" t="s">
        <v>3060</v>
      </c>
      <c r="C1450" t="s">
        <v>518</v>
      </c>
      <c r="D1450" t="s">
        <v>519</v>
      </c>
      <c r="E1450" t="s">
        <v>1639</v>
      </c>
      <c r="F1450" t="str">
        <f t="shared" si="25"/>
        <v>2018-05-20</v>
      </c>
      <c r="G1450">
        <v>46.96</v>
      </c>
      <c r="H1450" t="str">
        <f>"2018-02-26"</f>
        <v>2018-02-26</v>
      </c>
      <c r="I1450" t="s">
        <v>57</v>
      </c>
      <c r="J1450" t="str">
        <f>"2018-02-06"</f>
        <v>2018-02-06</v>
      </c>
      <c r="K1450" t="s">
        <v>40</v>
      </c>
      <c r="L1450">
        <v>-2.85097741</v>
      </c>
      <c r="M1450">
        <v>1449</v>
      </c>
      <c r="N1450" s="1">
        <v>7.6600000000000001E-2</v>
      </c>
      <c r="O1450" s="1">
        <v>-0.10589999999999999</v>
      </c>
      <c r="P1450" s="1">
        <v>0.11700000000000001</v>
      </c>
      <c r="Q1450" s="1">
        <v>1.67E-2</v>
      </c>
      <c r="R1450" s="1">
        <v>-6.7999999999999996E-3</v>
      </c>
      <c r="S1450" s="1">
        <v>2.4400000000000002E-2</v>
      </c>
      <c r="T1450" s="1">
        <v>7.6600000000000001E-2</v>
      </c>
      <c r="U1450" s="1">
        <v>9.7000000000000003E-3</v>
      </c>
    </row>
    <row r="1451" spans="1:21" x14ac:dyDescent="0.25">
      <c r="A1451" t="s">
        <v>3061</v>
      </c>
      <c r="B1451" t="s">
        <v>3062</v>
      </c>
      <c r="C1451" t="s">
        <v>37</v>
      </c>
      <c r="D1451" t="s">
        <v>66</v>
      </c>
      <c r="E1451" t="s">
        <v>72</v>
      </c>
      <c r="F1451" t="str">
        <f t="shared" si="25"/>
        <v>2018-05-20</v>
      </c>
      <c r="G1451">
        <v>29.26</v>
      </c>
      <c r="H1451" t="str">
        <f>"2017-12-14"</f>
        <v>2017-12-14</v>
      </c>
      <c r="I1451" t="s">
        <v>57</v>
      </c>
      <c r="J1451" t="str">
        <f>"2017-10-23"</f>
        <v>2017-10-23</v>
      </c>
      <c r="K1451" t="s">
        <v>40</v>
      </c>
      <c r="L1451">
        <v>-2.8517279800000002</v>
      </c>
      <c r="M1451">
        <v>1450</v>
      </c>
      <c r="N1451" s="1">
        <v>0.1832</v>
      </c>
      <c r="O1451" s="1">
        <v>-0.1104</v>
      </c>
      <c r="P1451" s="1">
        <v>0.39</v>
      </c>
      <c r="Q1451" s="1">
        <v>-2.07E-2</v>
      </c>
      <c r="R1451" s="1">
        <v>3.8699999999999998E-2</v>
      </c>
      <c r="S1451" s="1">
        <v>0.3004</v>
      </c>
      <c r="T1451" s="1">
        <v>0.2722</v>
      </c>
      <c r="U1451" s="1">
        <v>-7.4300000000000005E-2</v>
      </c>
    </row>
    <row r="1452" spans="1:21" x14ac:dyDescent="0.25">
      <c r="A1452" t="s">
        <v>3063</v>
      </c>
      <c r="B1452" t="s">
        <v>3064</v>
      </c>
      <c r="C1452" t="s">
        <v>109</v>
      </c>
      <c r="D1452" t="s">
        <v>156</v>
      </c>
      <c r="E1452" t="s">
        <v>157</v>
      </c>
      <c r="F1452" t="str">
        <f t="shared" si="25"/>
        <v>2018-05-20</v>
      </c>
      <c r="G1452">
        <v>20.11</v>
      </c>
      <c r="H1452" t="str">
        <f>"2018-03-28"</f>
        <v>2018-03-28</v>
      </c>
      <c r="I1452" t="s">
        <v>57</v>
      </c>
      <c r="J1452" t="str">
        <f>"2018-03-06"</f>
        <v>2018-03-06</v>
      </c>
      <c r="K1452" t="s">
        <v>27</v>
      </c>
      <c r="L1452">
        <v>-2.8522192799999999</v>
      </c>
      <c r="M1452">
        <v>1451</v>
      </c>
      <c r="N1452" s="1">
        <v>1.8200000000000001E-2</v>
      </c>
      <c r="O1452" s="1">
        <v>-0.1133</v>
      </c>
      <c r="P1452" s="1">
        <v>0.15909999999999999</v>
      </c>
      <c r="Q1452" s="1">
        <v>6.4999999999999997E-3</v>
      </c>
      <c r="R1452" s="1">
        <v>1.3599999999999999E-2</v>
      </c>
      <c r="S1452" s="1">
        <v>-5.0099999999999999E-2</v>
      </c>
      <c r="T1452" s="1">
        <v>-9.5799999999999996E-2</v>
      </c>
      <c r="U1452" s="1">
        <v>-0.29830000000000001</v>
      </c>
    </row>
    <row r="1453" spans="1:21" x14ac:dyDescent="0.25">
      <c r="A1453" t="s">
        <v>3065</v>
      </c>
      <c r="B1453" t="s">
        <v>3066</v>
      </c>
      <c r="C1453" t="s">
        <v>30</v>
      </c>
      <c r="D1453" t="s">
        <v>299</v>
      </c>
      <c r="E1453" t="s">
        <v>2120</v>
      </c>
      <c r="F1453" t="str">
        <f t="shared" si="25"/>
        <v>2018-05-20</v>
      </c>
      <c r="G1453">
        <v>9.86</v>
      </c>
      <c r="H1453" t="str">
        <f>"2018-03-11"</f>
        <v>2018-03-11</v>
      </c>
      <c r="I1453" t="s">
        <v>57</v>
      </c>
      <c r="J1453" t="str">
        <f>"2017-11-12"</f>
        <v>2017-11-12</v>
      </c>
      <c r="K1453" t="s">
        <v>40</v>
      </c>
      <c r="L1453">
        <v>-2.8523510000000001</v>
      </c>
      <c r="M1453">
        <v>1452</v>
      </c>
      <c r="N1453" s="1">
        <v>6.59E-2</v>
      </c>
      <c r="O1453" s="1">
        <v>-0.11409999999999999</v>
      </c>
      <c r="P1453" s="1">
        <v>0.14119999999999999</v>
      </c>
      <c r="Q1453" s="1">
        <v>2E-3</v>
      </c>
      <c r="R1453" s="1">
        <v>5.1000000000000004E-3</v>
      </c>
      <c r="S1453" s="1">
        <v>3.4599999999999999E-2</v>
      </c>
      <c r="T1453" s="1">
        <v>8.7099999999999997E-2</v>
      </c>
      <c r="U1453" s="1">
        <v>5.6800000000000003E-2</v>
      </c>
    </row>
    <row r="1454" spans="1:21" x14ac:dyDescent="0.25">
      <c r="A1454" t="s">
        <v>3067</v>
      </c>
      <c r="B1454" t="s">
        <v>3068</v>
      </c>
      <c r="C1454" t="s">
        <v>30</v>
      </c>
      <c r="D1454" t="s">
        <v>299</v>
      </c>
      <c r="E1454" t="s">
        <v>2172</v>
      </c>
      <c r="F1454" t="str">
        <f t="shared" si="25"/>
        <v>2018-05-20</v>
      </c>
      <c r="G1454">
        <v>9.4</v>
      </c>
      <c r="H1454" t="str">
        <f>"2018-03-18"</f>
        <v>2018-03-18</v>
      </c>
      <c r="I1454" t="s">
        <v>57</v>
      </c>
      <c r="J1454" t="str">
        <f>"2018-02-05"</f>
        <v>2018-02-05</v>
      </c>
      <c r="K1454" t="s">
        <v>40</v>
      </c>
      <c r="L1454">
        <v>-2.85261838</v>
      </c>
      <c r="M1454">
        <v>1453</v>
      </c>
      <c r="N1454" s="1">
        <v>2.5100000000000001E-2</v>
      </c>
      <c r="O1454" s="1">
        <v>-0.1157</v>
      </c>
      <c r="P1454" s="1">
        <v>0.19900000000000001</v>
      </c>
      <c r="Q1454" s="1">
        <v>2.29E-2</v>
      </c>
      <c r="R1454" s="1">
        <v>6.4000000000000003E-3</v>
      </c>
      <c r="S1454" s="1">
        <v>0</v>
      </c>
      <c r="T1454" s="1">
        <v>7.1800000000000003E-2</v>
      </c>
      <c r="U1454" s="1">
        <v>2.06E-2</v>
      </c>
    </row>
    <row r="1455" spans="1:21" x14ac:dyDescent="0.25">
      <c r="A1455" t="s">
        <v>3069</v>
      </c>
      <c r="B1455" t="s">
        <v>3070</v>
      </c>
      <c r="C1455" t="s">
        <v>43</v>
      </c>
      <c r="D1455" t="s">
        <v>119</v>
      </c>
      <c r="E1455" t="s">
        <v>120</v>
      </c>
      <c r="F1455" t="str">
        <f t="shared" si="25"/>
        <v>2018-05-20</v>
      </c>
      <c r="G1455">
        <v>21.08</v>
      </c>
      <c r="H1455" t="str">
        <f>"2018-05-01"</f>
        <v>2018-05-01</v>
      </c>
      <c r="I1455" t="s">
        <v>57</v>
      </c>
      <c r="J1455" t="str">
        <f>"2018-01-30"</f>
        <v>2018-01-30</v>
      </c>
      <c r="K1455" t="s">
        <v>26</v>
      </c>
      <c r="L1455">
        <v>-2.8528754900000002</v>
      </c>
      <c r="M1455">
        <v>1454</v>
      </c>
      <c r="N1455" s="1">
        <v>0.1666</v>
      </c>
      <c r="O1455" s="1">
        <v>-0.1173</v>
      </c>
      <c r="P1455" s="1">
        <v>0.18629999999999999</v>
      </c>
      <c r="Q1455" s="1">
        <v>9.5999999999999992E-3</v>
      </c>
      <c r="R1455" s="1">
        <v>8.0999999999999996E-3</v>
      </c>
      <c r="S1455" s="1">
        <v>0.1201</v>
      </c>
      <c r="T1455" s="1">
        <v>-2.2700000000000001E-2</v>
      </c>
      <c r="U1455" s="1">
        <v>-2.5000000000000001E-2</v>
      </c>
    </row>
    <row r="1456" spans="1:21" x14ac:dyDescent="0.25">
      <c r="A1456" t="s">
        <v>3071</v>
      </c>
      <c r="B1456" t="s">
        <v>3072</v>
      </c>
      <c r="C1456" t="s">
        <v>518</v>
      </c>
      <c r="D1456" t="s">
        <v>519</v>
      </c>
      <c r="E1456" t="s">
        <v>1639</v>
      </c>
      <c r="F1456" t="str">
        <f t="shared" si="25"/>
        <v>2018-05-20</v>
      </c>
      <c r="G1456">
        <v>2.25</v>
      </c>
      <c r="H1456" t="str">
        <f>"2018-02-15"</f>
        <v>2018-02-15</v>
      </c>
      <c r="I1456" t="s">
        <v>57</v>
      </c>
      <c r="J1456" t="str">
        <f>"2017-11-26"</f>
        <v>2017-11-26</v>
      </c>
      <c r="K1456" t="s">
        <v>26</v>
      </c>
      <c r="L1456">
        <v>-2.8529411800000002</v>
      </c>
      <c r="M1456">
        <v>1455</v>
      </c>
      <c r="N1456" s="1">
        <v>0.2162</v>
      </c>
      <c r="O1456" s="1">
        <v>-0.1176</v>
      </c>
      <c r="P1456" s="1">
        <v>0.2162</v>
      </c>
      <c r="Q1456" s="1">
        <v>2.2700000000000001E-2</v>
      </c>
      <c r="R1456" s="1">
        <v>0</v>
      </c>
      <c r="S1456" s="1">
        <v>2.2700000000000001E-2</v>
      </c>
      <c r="T1456" s="1">
        <v>0.125</v>
      </c>
      <c r="U1456" s="1">
        <v>-6.25E-2</v>
      </c>
    </row>
    <row r="1457" spans="1:21" x14ac:dyDescent="0.25">
      <c r="A1457" t="s">
        <v>3073</v>
      </c>
      <c r="B1457" t="s">
        <v>3074</v>
      </c>
      <c r="C1457" t="s">
        <v>43</v>
      </c>
      <c r="D1457" t="s">
        <v>119</v>
      </c>
      <c r="E1457" t="s">
        <v>205</v>
      </c>
      <c r="F1457" t="str">
        <f t="shared" si="25"/>
        <v>2018-05-20</v>
      </c>
      <c r="G1457">
        <v>19.899999999999999</v>
      </c>
      <c r="H1457" t="str">
        <f>"2018-04-23"</f>
        <v>2018-04-23</v>
      </c>
      <c r="I1457" t="s">
        <v>57</v>
      </c>
      <c r="J1457" t="str">
        <f>"2016-07-13"</f>
        <v>2016-07-13</v>
      </c>
      <c r="K1457" t="s">
        <v>26</v>
      </c>
      <c r="L1457">
        <v>-2.85363342</v>
      </c>
      <c r="M1457">
        <v>1456</v>
      </c>
      <c r="N1457" s="1">
        <v>0.13519999999999999</v>
      </c>
      <c r="O1457" s="1">
        <v>-0.12180000000000001</v>
      </c>
      <c r="P1457" s="1">
        <v>0.20100000000000001</v>
      </c>
      <c r="Q1457" s="1">
        <v>3.5000000000000001E-3</v>
      </c>
      <c r="R1457" s="1">
        <v>1.6299999999999999E-2</v>
      </c>
      <c r="S1457" s="1">
        <v>0.13519999999999999</v>
      </c>
      <c r="T1457" s="1">
        <v>0.1404</v>
      </c>
      <c r="U1457" s="1">
        <v>0.23139999999999999</v>
      </c>
    </row>
    <row r="1458" spans="1:21" x14ac:dyDescent="0.25">
      <c r="A1458" t="s">
        <v>3075</v>
      </c>
      <c r="B1458" t="s">
        <v>3076</v>
      </c>
      <c r="C1458" t="s">
        <v>23</v>
      </c>
      <c r="D1458" t="s">
        <v>24</v>
      </c>
      <c r="E1458" t="s">
        <v>494</v>
      </c>
      <c r="F1458" t="str">
        <f t="shared" si="25"/>
        <v>2018-05-20</v>
      </c>
      <c r="G1458">
        <v>11.8</v>
      </c>
      <c r="H1458" t="str">
        <f>"2018-04-30"</f>
        <v>2018-04-30</v>
      </c>
      <c r="I1458" t="s">
        <v>57</v>
      </c>
      <c r="J1458" t="str">
        <f>"2018-01-02"</f>
        <v>2018-01-02</v>
      </c>
      <c r="K1458" t="s">
        <v>26</v>
      </c>
      <c r="L1458">
        <v>-2.8537794299999999</v>
      </c>
      <c r="M1458">
        <v>1457</v>
      </c>
      <c r="N1458" s="1">
        <v>0.14560000000000001</v>
      </c>
      <c r="O1458" s="1">
        <v>-0.1227</v>
      </c>
      <c r="P1458" s="1">
        <v>0.14560000000000001</v>
      </c>
      <c r="Q1458" s="1">
        <v>1.29E-2</v>
      </c>
      <c r="R1458" s="1">
        <v>-1.67E-2</v>
      </c>
      <c r="S1458" s="1">
        <v>0.108</v>
      </c>
      <c r="T1458" s="1">
        <v>-8.5300000000000001E-2</v>
      </c>
      <c r="U1458" s="1">
        <v>-5.2200000000000003E-2</v>
      </c>
    </row>
    <row r="1459" spans="1:21" x14ac:dyDescent="0.25">
      <c r="A1459" t="s">
        <v>3077</v>
      </c>
      <c r="B1459" t="s">
        <v>3078</v>
      </c>
      <c r="C1459" t="s">
        <v>87</v>
      </c>
      <c r="D1459" t="s">
        <v>144</v>
      </c>
      <c r="E1459" t="s">
        <v>145</v>
      </c>
      <c r="F1459" t="str">
        <f t="shared" si="25"/>
        <v>2018-05-20</v>
      </c>
      <c r="G1459">
        <v>3.51</v>
      </c>
      <c r="H1459" t="str">
        <f>"2018-03-13"</f>
        <v>2018-03-13</v>
      </c>
      <c r="I1459" t="s">
        <v>26</v>
      </c>
      <c r="J1459" t="str">
        <f>"2018-01-28"</f>
        <v>2018-01-28</v>
      </c>
      <c r="K1459" t="s">
        <v>27</v>
      </c>
      <c r="L1459">
        <v>2.1366822399999998</v>
      </c>
      <c r="M1459">
        <v>1458</v>
      </c>
      <c r="N1459" s="1">
        <v>-0.4274</v>
      </c>
      <c r="O1459" s="1">
        <v>-0.1799</v>
      </c>
      <c r="P1459" s="1">
        <v>-0.47060000000000002</v>
      </c>
      <c r="Q1459" s="1">
        <v>2.8999999999999998E-3</v>
      </c>
      <c r="R1459" s="1">
        <v>-2.8E-3</v>
      </c>
      <c r="S1459" s="1">
        <v>-0.1542</v>
      </c>
      <c r="T1459" s="1">
        <v>-0.4446</v>
      </c>
      <c r="U1459" s="1">
        <v>-0.65990000000000004</v>
      </c>
    </row>
    <row r="1460" spans="1:21" x14ac:dyDescent="0.25">
      <c r="A1460" t="s">
        <v>3079</v>
      </c>
      <c r="B1460" t="s">
        <v>3080</v>
      </c>
      <c r="C1460" t="s">
        <v>37</v>
      </c>
      <c r="D1460" t="s">
        <v>38</v>
      </c>
      <c r="E1460" t="s">
        <v>39</v>
      </c>
      <c r="F1460" t="str">
        <f t="shared" si="25"/>
        <v>2018-05-20</v>
      </c>
      <c r="G1460">
        <v>6.34</v>
      </c>
      <c r="H1460" t="str">
        <f>"2017-09-21"</f>
        <v>2017-09-21</v>
      </c>
      <c r="I1460" t="s">
        <v>26</v>
      </c>
      <c r="J1460" t="str">
        <f>"2016-08-11"</f>
        <v>2016-08-11</v>
      </c>
      <c r="K1460" t="s">
        <v>34</v>
      </c>
      <c r="L1460">
        <v>2.1285482600000001</v>
      </c>
      <c r="M1460">
        <v>1459</v>
      </c>
      <c r="N1460" s="1">
        <v>-0.62990000000000002</v>
      </c>
      <c r="O1460" s="1">
        <v>-0.22869999999999999</v>
      </c>
      <c r="P1460" s="1">
        <v>-0.72529999999999994</v>
      </c>
      <c r="Q1460" s="1">
        <v>5.67E-2</v>
      </c>
      <c r="R1460" s="1">
        <v>-1.2500000000000001E-2</v>
      </c>
      <c r="S1460" s="1">
        <v>-0.28920000000000001</v>
      </c>
      <c r="T1460" s="1">
        <v>-0.63249999999999995</v>
      </c>
      <c r="U1460" s="1">
        <v>-0.39269999999999999</v>
      </c>
    </row>
    <row r="1461" spans="1:21" x14ac:dyDescent="0.25">
      <c r="A1461" t="s">
        <v>3081</v>
      </c>
      <c r="B1461" t="s">
        <v>3082</v>
      </c>
      <c r="C1461" t="s">
        <v>109</v>
      </c>
      <c r="D1461" t="s">
        <v>110</v>
      </c>
      <c r="E1461" t="s">
        <v>732</v>
      </c>
      <c r="F1461" t="str">
        <f t="shared" si="25"/>
        <v>2018-05-20</v>
      </c>
      <c r="G1461">
        <v>0.81830000000000003</v>
      </c>
      <c r="H1461" t="str">
        <f>"2018-03-28"</f>
        <v>2018-03-28</v>
      </c>
      <c r="I1461" t="s">
        <v>27</v>
      </c>
      <c r="J1461" t="str">
        <f>"2018-02-25"</f>
        <v>2018-02-25</v>
      </c>
      <c r="K1461" t="s">
        <v>57</v>
      </c>
      <c r="L1461">
        <v>1.1363833299999999</v>
      </c>
      <c r="M1461">
        <v>1460</v>
      </c>
      <c r="N1461" s="1">
        <v>-0.43569999999999998</v>
      </c>
      <c r="O1461" s="1">
        <v>-0.1817</v>
      </c>
      <c r="P1461" s="1">
        <v>-0.50409999999999999</v>
      </c>
      <c r="Q1461" s="1">
        <v>2.2700000000000001E-2</v>
      </c>
      <c r="R1461" s="1">
        <v>-4.8399999999999999E-2</v>
      </c>
      <c r="S1461" s="1">
        <v>-0.31240000000000001</v>
      </c>
      <c r="T1461" s="1">
        <v>-0.22800000000000001</v>
      </c>
      <c r="U1461" s="1">
        <v>-0.30649999999999999</v>
      </c>
    </row>
    <row r="1462" spans="1:21" x14ac:dyDescent="0.25">
      <c r="A1462" t="s">
        <v>3083</v>
      </c>
      <c r="B1462" t="s">
        <v>3084</v>
      </c>
      <c r="C1462" t="s">
        <v>43</v>
      </c>
      <c r="D1462" t="s">
        <v>44</v>
      </c>
      <c r="E1462" t="s">
        <v>246</v>
      </c>
      <c r="F1462" t="str">
        <f t="shared" si="25"/>
        <v>2018-05-20</v>
      </c>
      <c r="G1462">
        <v>63.03</v>
      </c>
      <c r="H1462" t="str">
        <f>"2018-03-26"</f>
        <v>2018-03-26</v>
      </c>
      <c r="I1462" t="s">
        <v>40</v>
      </c>
      <c r="J1462" t="str">
        <f>"2017-01-15"</f>
        <v>2017-01-15</v>
      </c>
      <c r="K1462" t="s">
        <v>26</v>
      </c>
      <c r="L1462">
        <v>-1.85417823</v>
      </c>
      <c r="M1462">
        <v>1461</v>
      </c>
      <c r="N1462" s="1">
        <v>-2.7199999999999998E-2</v>
      </c>
      <c r="O1462" s="1">
        <v>-0.12509999999999999</v>
      </c>
      <c r="P1462" s="1">
        <v>3.1800000000000002E-2</v>
      </c>
      <c r="Q1462" s="1">
        <v>1.2699999999999999E-2</v>
      </c>
      <c r="R1462" s="1">
        <v>2.7400000000000001E-2</v>
      </c>
      <c r="S1462" s="1">
        <v>-9.8000000000000004E-2</v>
      </c>
      <c r="T1462" s="1">
        <v>-7.9200000000000007E-2</v>
      </c>
      <c r="U1462" s="1">
        <v>-2.8E-3</v>
      </c>
    </row>
    <row r="1463" spans="1:21" x14ac:dyDescent="0.25">
      <c r="A1463" t="s">
        <v>3085</v>
      </c>
      <c r="B1463" t="s">
        <v>3086</v>
      </c>
      <c r="C1463" t="s">
        <v>43</v>
      </c>
      <c r="D1463" t="s">
        <v>169</v>
      </c>
      <c r="E1463" t="s">
        <v>904</v>
      </c>
      <c r="F1463" t="str">
        <f t="shared" si="25"/>
        <v>2018-05-20</v>
      </c>
      <c r="G1463">
        <v>7.09</v>
      </c>
      <c r="H1463" t="str">
        <f>"2018-05-14"</f>
        <v>2018-05-14</v>
      </c>
      <c r="I1463" t="s">
        <v>40</v>
      </c>
      <c r="J1463" t="str">
        <f>"2018-02-01"</f>
        <v>2018-02-01</v>
      </c>
      <c r="K1463" t="s">
        <v>26</v>
      </c>
      <c r="L1463">
        <v>-1.8546535500000001</v>
      </c>
      <c r="M1463">
        <v>1462</v>
      </c>
      <c r="N1463" s="1">
        <v>-1.66E-2</v>
      </c>
      <c r="O1463" s="1">
        <v>-0.12790000000000001</v>
      </c>
      <c r="P1463" s="1">
        <v>2.8E-3</v>
      </c>
      <c r="Q1463" s="1">
        <v>2.8E-3</v>
      </c>
      <c r="R1463" s="1">
        <v>-1.66E-2</v>
      </c>
      <c r="S1463" s="1">
        <v>-0.11260000000000001</v>
      </c>
      <c r="T1463" s="1">
        <v>-6.4600000000000005E-2</v>
      </c>
      <c r="U1463" s="1">
        <v>-0.17369999999999999</v>
      </c>
    </row>
    <row r="1464" spans="1:21" x14ac:dyDescent="0.25">
      <c r="A1464" t="s">
        <v>3087</v>
      </c>
      <c r="B1464" t="s">
        <v>3088</v>
      </c>
      <c r="C1464" t="s">
        <v>23</v>
      </c>
      <c r="D1464" t="s">
        <v>24</v>
      </c>
      <c r="E1464" t="s">
        <v>494</v>
      </c>
      <c r="F1464" t="str">
        <f t="shared" si="25"/>
        <v>2018-05-20</v>
      </c>
      <c r="G1464">
        <v>24.41</v>
      </c>
      <c r="H1464" t="str">
        <f>"2018-05-15"</f>
        <v>2018-05-15</v>
      </c>
      <c r="I1464" t="s">
        <v>40</v>
      </c>
      <c r="J1464" t="str">
        <f>"2017-12-31"</f>
        <v>2017-12-31</v>
      </c>
      <c r="K1464" t="s">
        <v>26</v>
      </c>
      <c r="L1464">
        <v>-1.8548578899999999</v>
      </c>
      <c r="M1464">
        <v>1463</v>
      </c>
      <c r="N1464" s="1">
        <v>-1.5699999999999999E-2</v>
      </c>
      <c r="O1464" s="1">
        <v>-0.12909999999999999</v>
      </c>
      <c r="P1464" s="1">
        <v>2.35E-2</v>
      </c>
      <c r="Q1464" s="1">
        <v>4.1000000000000003E-3</v>
      </c>
      <c r="R1464" s="1">
        <v>-1.8100000000000002E-2</v>
      </c>
      <c r="S1464" s="1">
        <v>-7.0800000000000002E-2</v>
      </c>
      <c r="T1464" s="1">
        <v>-3.9699999999999999E-2</v>
      </c>
      <c r="U1464" s="1">
        <v>-0.1285</v>
      </c>
    </row>
    <row r="1465" spans="1:21" x14ac:dyDescent="0.25">
      <c r="A1465" t="s">
        <v>3089</v>
      </c>
      <c r="B1465" t="s">
        <v>3090</v>
      </c>
      <c r="C1465" t="s">
        <v>30</v>
      </c>
      <c r="D1465" t="s">
        <v>31</v>
      </c>
      <c r="E1465" t="s">
        <v>31</v>
      </c>
      <c r="F1465" t="str">
        <f t="shared" si="25"/>
        <v>2018-05-20</v>
      </c>
      <c r="G1465">
        <v>36.21</v>
      </c>
      <c r="H1465" t="str">
        <f>"2018-02-12"</f>
        <v>2018-02-12</v>
      </c>
      <c r="I1465" t="s">
        <v>40</v>
      </c>
      <c r="J1465" t="str">
        <f>"2015-08-19"</f>
        <v>2015-08-19</v>
      </c>
      <c r="K1465" t="s">
        <v>26</v>
      </c>
      <c r="L1465">
        <v>-1.8556910600000001</v>
      </c>
      <c r="M1465">
        <v>1464</v>
      </c>
      <c r="N1465" s="1">
        <v>3.2199999999999999E-2</v>
      </c>
      <c r="O1465" s="1">
        <v>-0.1341</v>
      </c>
      <c r="P1465" s="1">
        <v>6.0600000000000001E-2</v>
      </c>
      <c r="Q1465" s="1">
        <v>-1.9E-2</v>
      </c>
      <c r="R1465" s="1">
        <v>-2.7400000000000001E-2</v>
      </c>
      <c r="S1465" s="1">
        <v>-7.4000000000000003E-3</v>
      </c>
      <c r="T1465" s="1">
        <v>1.46E-2</v>
      </c>
      <c r="U1465" s="1">
        <v>8.9399999999999993E-2</v>
      </c>
    </row>
    <row r="1466" spans="1:21" x14ac:dyDescent="0.25">
      <c r="A1466" t="s">
        <v>3091</v>
      </c>
      <c r="B1466" t="s">
        <v>3092</v>
      </c>
      <c r="C1466" t="s">
        <v>37</v>
      </c>
      <c r="D1466" t="s">
        <v>38</v>
      </c>
      <c r="E1466" t="s">
        <v>39</v>
      </c>
      <c r="F1466" t="str">
        <f t="shared" si="25"/>
        <v>2018-05-20</v>
      </c>
      <c r="G1466">
        <v>81.099999999999994</v>
      </c>
      <c r="H1466" t="str">
        <f>"2018-04-08"</f>
        <v>2018-04-08</v>
      </c>
      <c r="I1466" t="s">
        <v>40</v>
      </c>
      <c r="J1466" t="str">
        <f>"2015-11-25"</f>
        <v>2015-11-25</v>
      </c>
      <c r="K1466" t="s">
        <v>26</v>
      </c>
      <c r="L1466">
        <v>-1.8567542699999999</v>
      </c>
      <c r="M1466">
        <v>1465</v>
      </c>
      <c r="N1466" s="1">
        <v>-3.3999999999999998E-3</v>
      </c>
      <c r="O1466" s="1">
        <v>-0.14050000000000001</v>
      </c>
      <c r="P1466" s="1">
        <v>1.44E-2</v>
      </c>
      <c r="Q1466" s="1">
        <v>1.0999999999999999E-2</v>
      </c>
      <c r="R1466" s="1">
        <v>-2.41E-2</v>
      </c>
      <c r="S1466" s="1">
        <v>-7.1099999999999997E-2</v>
      </c>
      <c r="T1466" s="1">
        <v>-3.6900000000000002E-2</v>
      </c>
      <c r="U1466" s="1">
        <v>0.1411</v>
      </c>
    </row>
    <row r="1467" spans="1:21" x14ac:dyDescent="0.25">
      <c r="A1467" t="s">
        <v>3093</v>
      </c>
      <c r="B1467" t="s">
        <v>3094</v>
      </c>
      <c r="C1467" t="s">
        <v>109</v>
      </c>
      <c r="D1467" t="s">
        <v>156</v>
      </c>
      <c r="E1467" t="s">
        <v>157</v>
      </c>
      <c r="F1467" t="str">
        <f t="shared" si="25"/>
        <v>2018-05-20</v>
      </c>
      <c r="G1467">
        <v>41.82</v>
      </c>
      <c r="H1467" t="str">
        <f>"2018-04-15"</f>
        <v>2018-04-15</v>
      </c>
      <c r="I1467" t="s">
        <v>40</v>
      </c>
      <c r="J1467" t="str">
        <f>"2018-03-04"</f>
        <v>2018-03-04</v>
      </c>
      <c r="K1467" t="s">
        <v>26</v>
      </c>
      <c r="L1467">
        <v>-1.85699631</v>
      </c>
      <c r="M1467">
        <v>1466</v>
      </c>
      <c r="N1467" s="1">
        <v>-9.4399999999999998E-2</v>
      </c>
      <c r="O1467" s="1">
        <v>-0.14199999999999999</v>
      </c>
      <c r="P1467" s="1">
        <v>0</v>
      </c>
      <c r="Q1467" s="1">
        <v>-1.7600000000000001E-2</v>
      </c>
      <c r="R1467" s="1">
        <v>-8.8000000000000005E-3</v>
      </c>
      <c r="S1467" s="1">
        <v>-6.25E-2</v>
      </c>
      <c r="T1467" s="1">
        <v>-0.13250000000000001</v>
      </c>
      <c r="U1467" s="1">
        <v>-0.2545</v>
      </c>
    </row>
    <row r="1468" spans="1:21" x14ac:dyDescent="0.25">
      <c r="A1468" t="s">
        <v>3095</v>
      </c>
      <c r="B1468" t="s">
        <v>3096</v>
      </c>
      <c r="C1468" t="s">
        <v>43</v>
      </c>
      <c r="D1468" t="s">
        <v>193</v>
      </c>
      <c r="E1468" t="s">
        <v>239</v>
      </c>
      <c r="F1468" t="str">
        <f t="shared" si="25"/>
        <v>2018-05-20</v>
      </c>
      <c r="G1468">
        <v>19.72</v>
      </c>
      <c r="H1468" t="str">
        <f>"2018-05-02"</f>
        <v>2018-05-02</v>
      </c>
      <c r="I1468" t="s">
        <v>40</v>
      </c>
      <c r="J1468" t="str">
        <f>"2016-07-11"</f>
        <v>2016-07-11</v>
      </c>
      <c r="K1468" t="s">
        <v>26</v>
      </c>
      <c r="L1468">
        <v>-1.8572876</v>
      </c>
      <c r="M1468">
        <v>1467</v>
      </c>
      <c r="N1468" s="1">
        <v>6.08E-2</v>
      </c>
      <c r="O1468" s="1">
        <v>-0.14369999999999999</v>
      </c>
      <c r="P1468" s="1">
        <v>9.0700000000000003E-2</v>
      </c>
      <c r="Q1468" s="1">
        <v>-3.5000000000000001E-3</v>
      </c>
      <c r="R1468" s="1">
        <v>6.1899999999999997E-2</v>
      </c>
      <c r="S1468" s="1">
        <v>6.83E-2</v>
      </c>
      <c r="T1468" s="1">
        <v>-3.85E-2</v>
      </c>
      <c r="U1468" s="1">
        <v>0.39269999999999999</v>
      </c>
    </row>
    <row r="1469" spans="1:21" x14ac:dyDescent="0.25">
      <c r="A1469" t="s">
        <v>3097</v>
      </c>
      <c r="B1469" t="s">
        <v>3098</v>
      </c>
      <c r="C1469" t="s">
        <v>87</v>
      </c>
      <c r="D1469" t="s">
        <v>88</v>
      </c>
      <c r="E1469" t="s">
        <v>3099</v>
      </c>
      <c r="F1469" t="str">
        <f t="shared" si="25"/>
        <v>2018-05-20</v>
      </c>
      <c r="G1469">
        <v>18.059999999999999</v>
      </c>
      <c r="H1469" t="str">
        <f>"2018-03-15"</f>
        <v>2018-03-15</v>
      </c>
      <c r="I1469" t="s">
        <v>40</v>
      </c>
      <c r="J1469" t="str">
        <f>"2017-03-01"</f>
        <v>2017-03-01</v>
      </c>
      <c r="K1469" t="s">
        <v>26</v>
      </c>
      <c r="L1469">
        <v>-1.8580858099999999</v>
      </c>
      <c r="M1469">
        <v>1468</v>
      </c>
      <c r="N1469" s="1">
        <v>3.8999999999999998E-3</v>
      </c>
      <c r="O1469" s="1">
        <v>-0.14849999999999999</v>
      </c>
      <c r="P1469" s="1">
        <v>8.0100000000000005E-2</v>
      </c>
      <c r="Q1469" s="1">
        <v>2.9600000000000001E-2</v>
      </c>
      <c r="R1469" s="1">
        <v>2.6100000000000002E-2</v>
      </c>
      <c r="S1469" s="1">
        <v>-1.2E-2</v>
      </c>
      <c r="T1469" s="1">
        <v>2.7300000000000001E-2</v>
      </c>
      <c r="U1469" s="1">
        <v>6.5500000000000003E-2</v>
      </c>
    </row>
    <row r="1470" spans="1:21" x14ac:dyDescent="0.25">
      <c r="A1470" t="s">
        <v>3100</v>
      </c>
      <c r="B1470" t="s">
        <v>3101</v>
      </c>
      <c r="C1470" t="s">
        <v>109</v>
      </c>
      <c r="D1470" t="s">
        <v>110</v>
      </c>
      <c r="E1470" t="s">
        <v>251</v>
      </c>
      <c r="F1470" t="str">
        <f t="shared" si="25"/>
        <v>2018-05-20</v>
      </c>
      <c r="G1470">
        <v>17.54</v>
      </c>
      <c r="H1470" t="str">
        <f>"2018-04-15"</f>
        <v>2018-04-15</v>
      </c>
      <c r="I1470" t="s">
        <v>40</v>
      </c>
      <c r="J1470" t="str">
        <f>"2018-02-15"</f>
        <v>2018-02-15</v>
      </c>
      <c r="K1470" t="s">
        <v>26</v>
      </c>
      <c r="L1470">
        <v>-1.8589124800000001</v>
      </c>
      <c r="M1470">
        <v>1469</v>
      </c>
      <c r="N1470" s="1">
        <v>2.3E-3</v>
      </c>
      <c r="O1470" s="1">
        <v>-0.1535</v>
      </c>
      <c r="P1470" s="1">
        <v>6.1699999999999998E-2</v>
      </c>
      <c r="Q1470" s="1">
        <v>2.75E-2</v>
      </c>
      <c r="R1470" s="1">
        <v>0</v>
      </c>
      <c r="S1470" s="1">
        <v>-2.01E-2</v>
      </c>
      <c r="T1470" s="1">
        <v>-5.9499999999999997E-2</v>
      </c>
      <c r="U1470" s="1">
        <v>0.38109999999999999</v>
      </c>
    </row>
    <row r="1471" spans="1:21" x14ac:dyDescent="0.25">
      <c r="A1471" t="s">
        <v>3102</v>
      </c>
      <c r="B1471" t="s">
        <v>3103</v>
      </c>
      <c r="C1471" t="s">
        <v>100</v>
      </c>
      <c r="D1471" t="s">
        <v>199</v>
      </c>
      <c r="E1471" t="s">
        <v>200</v>
      </c>
      <c r="F1471" t="str">
        <f t="shared" si="25"/>
        <v>2018-05-20</v>
      </c>
      <c r="G1471">
        <v>21.45</v>
      </c>
      <c r="H1471" t="str">
        <f>"2018-04-09"</f>
        <v>2018-04-09</v>
      </c>
      <c r="I1471" t="s">
        <v>40</v>
      </c>
      <c r="J1471" t="str">
        <f>"2016-05-08"</f>
        <v>2016-05-08</v>
      </c>
      <c r="K1471" t="s">
        <v>26</v>
      </c>
      <c r="L1471">
        <v>-1.8589743599999999</v>
      </c>
      <c r="M1471">
        <v>1470</v>
      </c>
      <c r="N1471" s="1">
        <v>-8.0199999999999994E-2</v>
      </c>
      <c r="O1471" s="1">
        <v>-0.15379999999999999</v>
      </c>
      <c r="P1471" s="1">
        <v>2.8799999999999999E-2</v>
      </c>
      <c r="Q1471" s="1">
        <v>2.8E-3</v>
      </c>
      <c r="R1471" s="1">
        <v>2.6800000000000001E-2</v>
      </c>
      <c r="S1471" s="1">
        <v>-0.1129</v>
      </c>
      <c r="T1471" s="1">
        <v>-4.5400000000000003E-2</v>
      </c>
      <c r="U1471" s="1">
        <v>0.22220000000000001</v>
      </c>
    </row>
    <row r="1472" spans="1:21" x14ac:dyDescent="0.25">
      <c r="A1472" t="s">
        <v>3104</v>
      </c>
      <c r="B1472" t="s">
        <v>3105</v>
      </c>
      <c r="C1472" t="s">
        <v>43</v>
      </c>
      <c r="D1472" t="s">
        <v>44</v>
      </c>
      <c r="E1472" t="s">
        <v>246</v>
      </c>
      <c r="F1472" t="str">
        <f t="shared" si="25"/>
        <v>2018-05-20</v>
      </c>
      <c r="G1472">
        <v>51.85</v>
      </c>
      <c r="H1472" t="str">
        <f>"2018-05-08"</f>
        <v>2018-05-08</v>
      </c>
      <c r="I1472" t="s">
        <v>40</v>
      </c>
      <c r="J1472" t="str">
        <f>"2016-04-18"</f>
        <v>2016-04-18</v>
      </c>
      <c r="K1472" t="s">
        <v>26</v>
      </c>
      <c r="L1472">
        <v>-1.85914154</v>
      </c>
      <c r="M1472">
        <v>1471</v>
      </c>
      <c r="N1472" s="1">
        <v>2.1700000000000001E-2</v>
      </c>
      <c r="O1472" s="1">
        <v>-0.15479999999999999</v>
      </c>
      <c r="P1472" s="1">
        <v>3.9100000000000003E-2</v>
      </c>
      <c r="Q1472" s="1">
        <v>1.5699999999999999E-2</v>
      </c>
      <c r="R1472" s="1">
        <v>3.9100000000000003E-2</v>
      </c>
      <c r="S1472" s="1">
        <v>-4.4200000000000003E-2</v>
      </c>
      <c r="T1472" s="1">
        <v>-2.9000000000000001E-2</v>
      </c>
      <c r="U1472" s="1">
        <v>0.19470000000000001</v>
      </c>
    </row>
    <row r="1473" spans="1:21" x14ac:dyDescent="0.25">
      <c r="A1473" t="s">
        <v>3106</v>
      </c>
      <c r="B1473" t="s">
        <v>3107</v>
      </c>
      <c r="C1473" t="s">
        <v>43</v>
      </c>
      <c r="D1473" t="s">
        <v>44</v>
      </c>
      <c r="E1473" t="s">
        <v>599</v>
      </c>
      <c r="F1473" t="str">
        <f t="shared" si="25"/>
        <v>2018-05-20</v>
      </c>
      <c r="G1473">
        <v>20.399999999999999</v>
      </c>
      <c r="H1473" t="str">
        <f>"2018-05-02"</f>
        <v>2018-05-02</v>
      </c>
      <c r="I1473" t="s">
        <v>40</v>
      </c>
      <c r="J1473" t="str">
        <f>"2017-04-25"</f>
        <v>2017-04-25</v>
      </c>
      <c r="K1473" t="s">
        <v>26</v>
      </c>
      <c r="L1473">
        <v>-1.85921325</v>
      </c>
      <c r="M1473">
        <v>1472</v>
      </c>
      <c r="N1473" s="1">
        <v>-1.21E-2</v>
      </c>
      <c r="O1473" s="1">
        <v>-0.15529999999999999</v>
      </c>
      <c r="P1473" s="1">
        <v>6.8099999999999994E-2</v>
      </c>
      <c r="Q1473" s="1">
        <v>3.8199999999999998E-2</v>
      </c>
      <c r="R1473" s="1">
        <v>3.5499999999999997E-2</v>
      </c>
      <c r="S1473" s="1">
        <v>-0.1053</v>
      </c>
      <c r="T1473" s="1">
        <v>-2.3999999999999998E-3</v>
      </c>
      <c r="U1473" s="1">
        <v>0.25929999999999997</v>
      </c>
    </row>
    <row r="1474" spans="1:21" x14ac:dyDescent="0.25">
      <c r="A1474" t="s">
        <v>3108</v>
      </c>
      <c r="B1474" t="s">
        <v>3109</v>
      </c>
      <c r="C1474" t="s">
        <v>43</v>
      </c>
      <c r="D1474" t="s">
        <v>150</v>
      </c>
      <c r="E1474" t="s">
        <v>408</v>
      </c>
      <c r="F1474" t="str">
        <f t="shared" si="25"/>
        <v>2018-05-20</v>
      </c>
      <c r="G1474">
        <v>100.51</v>
      </c>
      <c r="H1474" t="str">
        <f>"2018-05-14"</f>
        <v>2018-05-14</v>
      </c>
      <c r="I1474" t="s">
        <v>40</v>
      </c>
      <c r="J1474" t="str">
        <f>"2016-03-06"</f>
        <v>2016-03-06</v>
      </c>
      <c r="K1474" t="s">
        <v>26</v>
      </c>
      <c r="L1474">
        <v>-1.8605538399999999</v>
      </c>
      <c r="M1474">
        <v>1473</v>
      </c>
      <c r="N1474" s="1">
        <v>6.2899999999999998E-2</v>
      </c>
      <c r="O1474" s="1">
        <v>-0.1633</v>
      </c>
      <c r="P1474" s="1">
        <v>8.6599999999999996E-2</v>
      </c>
      <c r="Q1474" s="1">
        <v>1.49E-2</v>
      </c>
      <c r="R1474" s="1">
        <v>6.2899999999999998E-2</v>
      </c>
      <c r="S1474" s="1">
        <v>-0.13819999999999999</v>
      </c>
      <c r="T1474" s="1">
        <v>-0.12470000000000001</v>
      </c>
      <c r="U1474" s="1">
        <v>0.19259999999999999</v>
      </c>
    </row>
    <row r="1475" spans="1:21" x14ac:dyDescent="0.25">
      <c r="A1475" t="s">
        <v>3110</v>
      </c>
      <c r="B1475" t="s">
        <v>3111</v>
      </c>
      <c r="C1475" t="s">
        <v>109</v>
      </c>
      <c r="D1475" t="s">
        <v>110</v>
      </c>
      <c r="E1475" t="s">
        <v>111</v>
      </c>
      <c r="F1475" t="str">
        <f t="shared" si="25"/>
        <v>2018-05-20</v>
      </c>
      <c r="G1475">
        <v>40.5</v>
      </c>
      <c r="H1475" t="str">
        <f>"2018-05-03"</f>
        <v>2018-05-03</v>
      </c>
      <c r="I1475" t="s">
        <v>40</v>
      </c>
      <c r="J1475" t="str">
        <f>"2017-11-02"</f>
        <v>2017-11-02</v>
      </c>
      <c r="K1475" t="s">
        <v>26</v>
      </c>
      <c r="L1475">
        <v>-1.86082474</v>
      </c>
      <c r="M1475">
        <v>1474</v>
      </c>
      <c r="N1475" s="1">
        <v>7.1999999999999998E-3</v>
      </c>
      <c r="O1475" s="1">
        <v>-0.16489999999999999</v>
      </c>
      <c r="P1475" s="1">
        <v>3.8699999999999998E-2</v>
      </c>
      <c r="Q1475" s="1">
        <v>8.2000000000000007E-3</v>
      </c>
      <c r="R1475" s="1">
        <v>3.5299999999999998E-2</v>
      </c>
      <c r="S1475" s="1">
        <v>-8.0199999999999994E-2</v>
      </c>
      <c r="T1475" s="1">
        <v>-0.1608</v>
      </c>
      <c r="U1475" s="1">
        <v>1.0500000000000001E-2</v>
      </c>
    </row>
    <row r="1476" spans="1:21" x14ac:dyDescent="0.25">
      <c r="A1476" t="s">
        <v>3112</v>
      </c>
      <c r="B1476" t="s">
        <v>3113</v>
      </c>
      <c r="C1476" t="s">
        <v>43</v>
      </c>
      <c r="D1476" t="s">
        <v>169</v>
      </c>
      <c r="E1476" t="s">
        <v>170</v>
      </c>
      <c r="F1476" t="str">
        <f t="shared" si="25"/>
        <v>2018-05-20</v>
      </c>
      <c r="G1476">
        <v>41.4</v>
      </c>
      <c r="H1476" t="str">
        <f>"2018-04-26"</f>
        <v>2018-04-26</v>
      </c>
      <c r="I1476" t="s">
        <v>40</v>
      </c>
      <c r="J1476" t="str">
        <f>"2017-04-24"</f>
        <v>2017-04-24</v>
      </c>
      <c r="K1476" t="s">
        <v>26</v>
      </c>
      <c r="L1476">
        <v>-1.86141796</v>
      </c>
      <c r="M1476">
        <v>1475</v>
      </c>
      <c r="N1476" s="1">
        <v>5.3400000000000003E-2</v>
      </c>
      <c r="O1476" s="1">
        <v>-0.16850000000000001</v>
      </c>
      <c r="P1476" s="1">
        <v>6.6699999999999995E-2</v>
      </c>
      <c r="Q1476" s="1">
        <v>1.9E-2</v>
      </c>
      <c r="R1476" s="1">
        <v>1.8200000000000001E-2</v>
      </c>
      <c r="S1476" s="1">
        <v>-4.5600000000000002E-2</v>
      </c>
      <c r="T1476" s="1">
        <v>-0.156</v>
      </c>
      <c r="U1476" s="1">
        <v>0.79449999999999998</v>
      </c>
    </row>
    <row r="1477" spans="1:21" x14ac:dyDescent="0.25">
      <c r="A1477" t="s">
        <v>3114</v>
      </c>
      <c r="B1477" t="s">
        <v>3115</v>
      </c>
      <c r="C1477" t="s">
        <v>30</v>
      </c>
      <c r="D1477" t="s">
        <v>48</v>
      </c>
      <c r="E1477" t="s">
        <v>387</v>
      </c>
      <c r="F1477" t="str">
        <f t="shared" si="25"/>
        <v>2018-05-20</v>
      </c>
      <c r="G1477">
        <v>58.9</v>
      </c>
      <c r="H1477" t="str">
        <f>"2018-02-08"</f>
        <v>2018-02-08</v>
      </c>
      <c r="I1477" t="s">
        <v>40</v>
      </c>
      <c r="J1477" t="str">
        <f>"2017-07-02"</f>
        <v>2017-07-02</v>
      </c>
      <c r="K1477" t="s">
        <v>26</v>
      </c>
      <c r="L1477">
        <v>-1.8614248099999999</v>
      </c>
      <c r="M1477">
        <v>1476</v>
      </c>
      <c r="N1477" s="1">
        <v>-2.7300000000000001E-2</v>
      </c>
      <c r="O1477" s="1">
        <v>-0.16850000000000001</v>
      </c>
      <c r="P1477" s="1">
        <v>8.3900000000000002E-2</v>
      </c>
      <c r="Q1477" s="1">
        <v>3.0999999999999999E-3</v>
      </c>
      <c r="R1477" s="1">
        <v>1.46E-2</v>
      </c>
      <c r="S1477" s="1">
        <v>-8.3999999999999995E-3</v>
      </c>
      <c r="T1477" s="1">
        <v>5.4199999999999998E-2</v>
      </c>
      <c r="U1477" s="1">
        <v>9.4E-2</v>
      </c>
    </row>
    <row r="1478" spans="1:21" x14ac:dyDescent="0.25">
      <c r="A1478" t="s">
        <v>3116</v>
      </c>
      <c r="B1478" t="s">
        <v>3117</v>
      </c>
      <c r="C1478" t="s">
        <v>114</v>
      </c>
      <c r="D1478" t="s">
        <v>809</v>
      </c>
      <c r="E1478" t="s">
        <v>810</v>
      </c>
      <c r="F1478" t="str">
        <f t="shared" si="25"/>
        <v>2018-05-20</v>
      </c>
      <c r="G1478">
        <v>45.3</v>
      </c>
      <c r="H1478" t="str">
        <f>"2018-02-25"</f>
        <v>2018-02-25</v>
      </c>
      <c r="I1478" t="s">
        <v>40</v>
      </c>
      <c r="J1478" t="str">
        <f>"2017-04-12"</f>
        <v>2017-04-12</v>
      </c>
      <c r="K1478" t="s">
        <v>26</v>
      </c>
      <c r="L1478">
        <v>-1.8626023700000001</v>
      </c>
      <c r="M1478">
        <v>1477</v>
      </c>
      <c r="N1478" s="1">
        <v>3.3E-3</v>
      </c>
      <c r="O1478" s="1">
        <v>-0.17560000000000001</v>
      </c>
      <c r="P1478" s="1">
        <v>7.8600000000000003E-2</v>
      </c>
      <c r="Q1478" s="1">
        <v>1.12E-2</v>
      </c>
      <c r="R1478" s="1">
        <v>2.3699999999999999E-2</v>
      </c>
      <c r="S1478" s="1">
        <v>5.3499999999999999E-2</v>
      </c>
      <c r="T1478" s="1">
        <v>-5.4999999999999997E-3</v>
      </c>
      <c r="U1478" s="1">
        <v>0.1089</v>
      </c>
    </row>
    <row r="1479" spans="1:21" x14ac:dyDescent="0.25">
      <c r="A1479" t="s">
        <v>3118</v>
      </c>
      <c r="B1479" t="s">
        <v>3119</v>
      </c>
      <c r="C1479" t="s">
        <v>30</v>
      </c>
      <c r="D1479" t="s">
        <v>31</v>
      </c>
      <c r="E1479" t="s">
        <v>31</v>
      </c>
      <c r="F1479" t="str">
        <f t="shared" si="25"/>
        <v>2018-05-20</v>
      </c>
      <c r="G1479">
        <v>27.78</v>
      </c>
      <c r="H1479" t="str">
        <f>"2018-04-03"</f>
        <v>2018-04-03</v>
      </c>
      <c r="I1479" t="s">
        <v>40</v>
      </c>
      <c r="J1479" t="str">
        <f>"2017-08-28"</f>
        <v>2017-08-28</v>
      </c>
      <c r="K1479" t="s">
        <v>26</v>
      </c>
      <c r="L1479">
        <v>-1.86322009</v>
      </c>
      <c r="M1479">
        <v>1478</v>
      </c>
      <c r="N1479" s="1">
        <v>-2.7E-2</v>
      </c>
      <c r="O1479" s="1">
        <v>-0.17929999999999999</v>
      </c>
      <c r="P1479" s="1">
        <v>3.8899999999999997E-2</v>
      </c>
      <c r="Q1479" s="1">
        <v>1.1000000000000001E-3</v>
      </c>
      <c r="R1479" s="1">
        <v>1.8E-3</v>
      </c>
      <c r="S1479" s="1">
        <v>-2.8000000000000001E-2</v>
      </c>
      <c r="T1479" s="1">
        <v>1.6500000000000001E-2</v>
      </c>
      <c r="U1479" s="1">
        <v>0.1943</v>
      </c>
    </row>
    <row r="1480" spans="1:21" x14ac:dyDescent="0.25">
      <c r="A1480" t="s">
        <v>3120</v>
      </c>
      <c r="B1480" t="s">
        <v>3121</v>
      </c>
      <c r="C1480" t="s">
        <v>23</v>
      </c>
      <c r="D1480" t="s">
        <v>52</v>
      </c>
      <c r="E1480" t="s">
        <v>53</v>
      </c>
      <c r="F1480" t="str">
        <f t="shared" si="25"/>
        <v>2018-05-20</v>
      </c>
      <c r="G1480">
        <v>6.17</v>
      </c>
      <c r="H1480" t="str">
        <f>"2018-03-25"</f>
        <v>2018-03-25</v>
      </c>
      <c r="I1480" t="s">
        <v>40</v>
      </c>
      <c r="J1480" t="str">
        <f>"2018-02-26"</f>
        <v>2018-02-26</v>
      </c>
      <c r="K1480" t="s">
        <v>26</v>
      </c>
      <c r="L1480">
        <v>-1.8646929800000001</v>
      </c>
      <c r="M1480">
        <v>1479</v>
      </c>
      <c r="N1480" s="1">
        <v>-4.19E-2</v>
      </c>
      <c r="O1480" s="1">
        <v>-0.18820000000000001</v>
      </c>
      <c r="P1480" s="1">
        <v>2.3199999999999998E-2</v>
      </c>
      <c r="Q1480" s="1">
        <v>1.15E-2</v>
      </c>
      <c r="R1480" s="1">
        <v>0</v>
      </c>
      <c r="S1480" s="1">
        <v>-0.16619999999999999</v>
      </c>
      <c r="T1480" s="1">
        <v>-0.18820000000000001</v>
      </c>
      <c r="U1480" s="1">
        <v>-0.34010000000000001</v>
      </c>
    </row>
    <row r="1481" spans="1:21" x14ac:dyDescent="0.25">
      <c r="A1481" t="s">
        <v>3122</v>
      </c>
      <c r="B1481" t="s">
        <v>3123</v>
      </c>
      <c r="C1481" t="s">
        <v>114</v>
      </c>
      <c r="D1481" t="s">
        <v>809</v>
      </c>
      <c r="E1481" t="s">
        <v>810</v>
      </c>
      <c r="F1481" t="str">
        <f t="shared" si="25"/>
        <v>2018-05-20</v>
      </c>
      <c r="G1481">
        <v>15.35</v>
      </c>
      <c r="H1481" t="str">
        <f>"2018-02-08"</f>
        <v>2018-02-08</v>
      </c>
      <c r="I1481" t="s">
        <v>40</v>
      </c>
      <c r="J1481" t="str">
        <f>"2018-02-01"</f>
        <v>2018-02-01</v>
      </c>
      <c r="K1481" t="s">
        <v>26</v>
      </c>
      <c r="L1481">
        <v>-1.86605585</v>
      </c>
      <c r="M1481">
        <v>1480</v>
      </c>
      <c r="N1481" s="1">
        <v>-9.7000000000000003E-3</v>
      </c>
      <c r="O1481" s="1">
        <v>-0.1963</v>
      </c>
      <c r="P1481" s="1">
        <v>6.7500000000000004E-2</v>
      </c>
      <c r="Q1481" s="1">
        <v>2.5999999999999999E-3</v>
      </c>
      <c r="R1481" s="1">
        <v>3.8999999999999998E-3</v>
      </c>
      <c r="S1481" s="1">
        <v>4.1399999999999999E-2</v>
      </c>
      <c r="T1481" s="1">
        <v>-0.10440000000000001</v>
      </c>
      <c r="U1481" s="1">
        <v>4.7800000000000002E-2</v>
      </c>
    </row>
    <row r="1482" spans="1:21" x14ac:dyDescent="0.25">
      <c r="A1482" t="s">
        <v>3124</v>
      </c>
      <c r="B1482" t="s">
        <v>3125</v>
      </c>
      <c r="C1482" t="s">
        <v>43</v>
      </c>
      <c r="D1482" t="s">
        <v>169</v>
      </c>
      <c r="E1482" t="s">
        <v>904</v>
      </c>
      <c r="F1482" t="str">
        <f t="shared" si="25"/>
        <v>2018-05-20</v>
      </c>
      <c r="G1482">
        <v>3.12</v>
      </c>
      <c r="H1482" t="str">
        <f>"2018-04-04"</f>
        <v>2018-04-04</v>
      </c>
      <c r="I1482" t="s">
        <v>40</v>
      </c>
      <c r="J1482" t="str">
        <f>"2016-08-29"</f>
        <v>2016-08-29</v>
      </c>
      <c r="K1482" t="s">
        <v>26</v>
      </c>
      <c r="L1482">
        <v>-1.8666666700000001</v>
      </c>
      <c r="M1482">
        <v>1481</v>
      </c>
      <c r="N1482" s="1">
        <v>5.4100000000000002E-2</v>
      </c>
      <c r="O1482" s="1">
        <v>-0.2</v>
      </c>
      <c r="P1482" s="1">
        <v>8.3299999999999999E-2</v>
      </c>
      <c r="Q1482" s="1">
        <v>9.7000000000000003E-3</v>
      </c>
      <c r="R1482" s="1">
        <v>-5.45E-2</v>
      </c>
      <c r="S1482" s="1">
        <v>-1.5800000000000002E-2</v>
      </c>
      <c r="T1482" s="1">
        <v>-0.2</v>
      </c>
      <c r="U1482" s="1">
        <v>0.47170000000000001</v>
      </c>
    </row>
    <row r="1483" spans="1:21" x14ac:dyDescent="0.25">
      <c r="A1483" t="s">
        <v>3126</v>
      </c>
      <c r="B1483" t="s">
        <v>3127</v>
      </c>
      <c r="C1483" t="s">
        <v>23</v>
      </c>
      <c r="D1483" t="s">
        <v>52</v>
      </c>
      <c r="E1483" t="s">
        <v>190</v>
      </c>
      <c r="F1483" t="str">
        <f t="shared" si="25"/>
        <v>2018-05-20</v>
      </c>
      <c r="G1483">
        <v>124.9</v>
      </c>
      <c r="H1483" t="str">
        <f>"2018-04-24"</f>
        <v>2018-04-24</v>
      </c>
      <c r="I1483" t="s">
        <v>40</v>
      </c>
      <c r="J1483" t="str">
        <f>"2016-02-16"</f>
        <v>2016-02-16</v>
      </c>
      <c r="K1483" t="s">
        <v>26</v>
      </c>
      <c r="L1483">
        <v>-1.8695288800000001</v>
      </c>
      <c r="M1483">
        <v>1482</v>
      </c>
      <c r="N1483" s="1">
        <v>-8.0000000000000004E-4</v>
      </c>
      <c r="O1483" s="1">
        <v>-0.2172</v>
      </c>
      <c r="P1483" s="1">
        <v>1.7899999999999999E-2</v>
      </c>
      <c r="Q1483" s="1">
        <v>-2.0400000000000001E-2</v>
      </c>
      <c r="R1483" s="1">
        <v>-6.4799999999999996E-2</v>
      </c>
      <c r="S1483" s="1">
        <v>-1.15E-2</v>
      </c>
      <c r="T1483" s="1">
        <v>-0.14360000000000001</v>
      </c>
      <c r="U1483" s="1">
        <v>0.12520000000000001</v>
      </c>
    </row>
    <row r="1484" spans="1:21" x14ac:dyDescent="0.25">
      <c r="A1484" t="s">
        <v>3128</v>
      </c>
      <c r="B1484" t="s">
        <v>3129</v>
      </c>
      <c r="C1484" t="s">
        <v>109</v>
      </c>
      <c r="D1484" t="s">
        <v>110</v>
      </c>
      <c r="E1484" t="s">
        <v>111</v>
      </c>
      <c r="F1484" t="str">
        <f t="shared" si="25"/>
        <v>2018-05-20</v>
      </c>
      <c r="G1484">
        <v>12.54</v>
      </c>
      <c r="H1484" t="str">
        <f>"2018-03-27"</f>
        <v>2018-03-27</v>
      </c>
      <c r="I1484" t="s">
        <v>40</v>
      </c>
      <c r="J1484" t="str">
        <f>"2017-05-10"</f>
        <v>2017-05-10</v>
      </c>
      <c r="K1484" t="s">
        <v>26</v>
      </c>
      <c r="L1484">
        <v>-1.86961946</v>
      </c>
      <c r="M1484">
        <v>1483</v>
      </c>
      <c r="N1484" s="1">
        <v>4.7600000000000003E-2</v>
      </c>
      <c r="O1484" s="1">
        <v>-0.2177</v>
      </c>
      <c r="P1484" s="1">
        <v>8.8499999999999995E-2</v>
      </c>
      <c r="Q1484" s="1">
        <v>-2.4899999999999999E-2</v>
      </c>
      <c r="R1484" s="1">
        <v>3.2000000000000002E-3</v>
      </c>
      <c r="S1484" s="1">
        <v>2.53E-2</v>
      </c>
      <c r="T1484" s="1">
        <v>-9.06E-2</v>
      </c>
      <c r="U1484" s="1">
        <v>5.11E-2</v>
      </c>
    </row>
    <row r="1485" spans="1:21" x14ac:dyDescent="0.25">
      <c r="A1485" t="s">
        <v>3130</v>
      </c>
      <c r="B1485" t="s">
        <v>3131</v>
      </c>
      <c r="C1485" t="s">
        <v>109</v>
      </c>
      <c r="D1485" t="s">
        <v>156</v>
      </c>
      <c r="E1485" t="s">
        <v>284</v>
      </c>
      <c r="F1485" t="str">
        <f t="shared" ref="F1485:F1548" si="26">"2018-05-20"</f>
        <v>2018-05-20</v>
      </c>
      <c r="G1485">
        <v>62.62</v>
      </c>
      <c r="H1485" t="str">
        <f>"2018-04-05"</f>
        <v>2018-04-05</v>
      </c>
      <c r="I1485" t="s">
        <v>40</v>
      </c>
      <c r="J1485" t="str">
        <f>"2017-11-12"</f>
        <v>2017-11-12</v>
      </c>
      <c r="K1485" t="s">
        <v>26</v>
      </c>
      <c r="L1485">
        <v>-1.86983454</v>
      </c>
      <c r="M1485">
        <v>1484</v>
      </c>
      <c r="N1485" s="1">
        <v>-1.77E-2</v>
      </c>
      <c r="O1485" s="1">
        <v>-0.219</v>
      </c>
      <c r="P1485" s="1">
        <v>8.2000000000000007E-3</v>
      </c>
      <c r="Q1485" s="1">
        <v>8.2000000000000007E-3</v>
      </c>
      <c r="R1485" s="1">
        <v>-6.1999999999999998E-3</v>
      </c>
      <c r="S1485" s="1">
        <v>-2.69E-2</v>
      </c>
      <c r="T1485" s="1">
        <v>-0.12759999999999999</v>
      </c>
      <c r="U1485" s="1">
        <v>-1.9300000000000001E-2</v>
      </c>
    </row>
    <row r="1486" spans="1:21" x14ac:dyDescent="0.25">
      <c r="A1486" t="s">
        <v>3132</v>
      </c>
      <c r="B1486" t="s">
        <v>3133</v>
      </c>
      <c r="C1486" t="s">
        <v>30</v>
      </c>
      <c r="D1486" t="s">
        <v>31</v>
      </c>
      <c r="E1486" t="s">
        <v>31</v>
      </c>
      <c r="F1486" t="str">
        <f t="shared" si="26"/>
        <v>2018-05-20</v>
      </c>
      <c r="G1486">
        <v>24.7</v>
      </c>
      <c r="H1486" t="str">
        <f>"2018-01-03"</f>
        <v>2018-01-03</v>
      </c>
      <c r="I1486" t="s">
        <v>40</v>
      </c>
      <c r="J1486" t="str">
        <f>"2015-10-28"</f>
        <v>2015-10-28</v>
      </c>
      <c r="K1486" t="s">
        <v>26</v>
      </c>
      <c r="L1486">
        <v>-1.8699315400000001</v>
      </c>
      <c r="M1486">
        <v>1485</v>
      </c>
      <c r="N1486" s="1">
        <v>-0.10829999999999999</v>
      </c>
      <c r="O1486" s="1">
        <v>-0.21959999999999999</v>
      </c>
      <c r="P1486" s="1">
        <v>8.2000000000000007E-3</v>
      </c>
      <c r="Q1486" s="1">
        <v>-8.0000000000000002E-3</v>
      </c>
      <c r="R1486" s="1">
        <v>8.2000000000000007E-3</v>
      </c>
      <c r="S1486" s="1">
        <v>-0.1179</v>
      </c>
      <c r="T1486" s="1">
        <v>-0.12870000000000001</v>
      </c>
      <c r="U1486" s="1">
        <v>-8.8599999999999998E-2</v>
      </c>
    </row>
    <row r="1487" spans="1:21" x14ac:dyDescent="0.25">
      <c r="A1487" t="s">
        <v>3134</v>
      </c>
      <c r="B1487" t="s">
        <v>3135</v>
      </c>
      <c r="C1487" t="s">
        <v>23</v>
      </c>
      <c r="D1487" t="s">
        <v>24</v>
      </c>
      <c r="E1487" t="s">
        <v>628</v>
      </c>
      <c r="F1487" t="str">
        <f t="shared" si="26"/>
        <v>2018-05-20</v>
      </c>
      <c r="G1487">
        <v>118.6</v>
      </c>
      <c r="H1487" t="str">
        <f>"2018-04-15"</f>
        <v>2018-04-15</v>
      </c>
      <c r="I1487" t="s">
        <v>40</v>
      </c>
      <c r="J1487" t="str">
        <f>"2016-07-03"</f>
        <v>2016-07-03</v>
      </c>
      <c r="K1487" t="s">
        <v>26</v>
      </c>
      <c r="L1487">
        <v>-1.8703910100000001</v>
      </c>
      <c r="M1487">
        <v>1486</v>
      </c>
      <c r="N1487" s="1">
        <v>-7.9799999999999996E-2</v>
      </c>
      <c r="O1487" s="1">
        <v>-0.2223</v>
      </c>
      <c r="P1487" s="1">
        <v>1.52E-2</v>
      </c>
      <c r="Q1487" s="1">
        <v>1.8E-3</v>
      </c>
      <c r="R1487" s="1">
        <v>9.1000000000000004E-3</v>
      </c>
      <c r="S1487" s="1">
        <v>-0.12740000000000001</v>
      </c>
      <c r="T1487" s="1">
        <v>-0.16750000000000001</v>
      </c>
      <c r="U1487" s="1">
        <v>5.2499999999999998E-2</v>
      </c>
    </row>
    <row r="1488" spans="1:21" x14ac:dyDescent="0.25">
      <c r="A1488" t="s">
        <v>3136</v>
      </c>
      <c r="B1488" t="s">
        <v>3137</v>
      </c>
      <c r="C1488" t="s">
        <v>37</v>
      </c>
      <c r="D1488" t="s">
        <v>38</v>
      </c>
      <c r="E1488" t="s">
        <v>39</v>
      </c>
      <c r="F1488" t="str">
        <f t="shared" si="26"/>
        <v>2018-05-20</v>
      </c>
      <c r="G1488">
        <v>35.07</v>
      </c>
      <c r="H1488" t="str">
        <f>"2018-04-08"</f>
        <v>2018-04-08</v>
      </c>
      <c r="I1488" t="s">
        <v>40</v>
      </c>
      <c r="J1488" t="str">
        <f>"2017-07-11"</f>
        <v>2017-07-11</v>
      </c>
      <c r="K1488" t="s">
        <v>26</v>
      </c>
      <c r="L1488">
        <v>-1.87045656</v>
      </c>
      <c r="M1488">
        <v>1487</v>
      </c>
      <c r="N1488" s="1">
        <v>-3.8399999999999997E-2</v>
      </c>
      <c r="O1488" s="1">
        <v>-0.22270000000000001</v>
      </c>
      <c r="P1488" s="1">
        <v>1.0699999999999999E-2</v>
      </c>
      <c r="Q1488" s="1">
        <v>-1.8700000000000001E-2</v>
      </c>
      <c r="R1488" s="1">
        <v>-1.04E-2</v>
      </c>
      <c r="S1488" s="1">
        <v>-2.4199999999999999E-2</v>
      </c>
      <c r="T1488" s="1">
        <v>-0.21609999999999999</v>
      </c>
      <c r="U1488" s="1">
        <v>0.38019999999999998</v>
      </c>
    </row>
    <row r="1489" spans="1:21" x14ac:dyDescent="0.25">
      <c r="A1489" t="s">
        <v>3138</v>
      </c>
      <c r="B1489" t="s">
        <v>3139</v>
      </c>
      <c r="C1489" t="s">
        <v>37</v>
      </c>
      <c r="D1489" t="s">
        <v>38</v>
      </c>
      <c r="E1489" t="s">
        <v>39</v>
      </c>
      <c r="F1489" t="str">
        <f t="shared" si="26"/>
        <v>2018-05-20</v>
      </c>
      <c r="G1489">
        <v>50.375</v>
      </c>
      <c r="H1489" t="str">
        <f>"2018-05-10"</f>
        <v>2018-05-10</v>
      </c>
      <c r="I1489" t="s">
        <v>40</v>
      </c>
      <c r="J1489" t="str">
        <f>"2016-08-14"</f>
        <v>2016-08-14</v>
      </c>
      <c r="K1489" t="s">
        <v>26</v>
      </c>
      <c r="L1489">
        <v>-1.87103175</v>
      </c>
      <c r="M1489">
        <v>1488</v>
      </c>
      <c r="N1489" s="1">
        <v>5.28E-2</v>
      </c>
      <c r="O1489" s="1">
        <v>-0.22620000000000001</v>
      </c>
      <c r="P1489" s="1">
        <v>5.28E-2</v>
      </c>
      <c r="Q1489" s="1">
        <v>-1.52E-2</v>
      </c>
      <c r="R1489" s="1">
        <v>-3.7699999999999997E-2</v>
      </c>
      <c r="S1489" s="1">
        <v>-7.9899999999999999E-2</v>
      </c>
      <c r="T1489" s="1">
        <v>-6.2799999999999995E-2</v>
      </c>
      <c r="U1489" s="1">
        <v>0.22720000000000001</v>
      </c>
    </row>
    <row r="1490" spans="1:21" x14ac:dyDescent="0.25">
      <c r="A1490" t="s">
        <v>3140</v>
      </c>
      <c r="B1490" t="s">
        <v>3141</v>
      </c>
      <c r="C1490" t="s">
        <v>109</v>
      </c>
      <c r="D1490" t="s">
        <v>156</v>
      </c>
      <c r="E1490" t="s">
        <v>284</v>
      </c>
      <c r="F1490" t="str">
        <f t="shared" si="26"/>
        <v>2018-05-20</v>
      </c>
      <c r="G1490">
        <v>39.450000000000003</v>
      </c>
      <c r="H1490" t="str">
        <f>"2018-04-05"</f>
        <v>2018-04-05</v>
      </c>
      <c r="I1490" t="s">
        <v>40</v>
      </c>
      <c r="J1490" t="str">
        <f>"2016-10-05"</f>
        <v>2016-10-05</v>
      </c>
      <c r="K1490" t="s">
        <v>26</v>
      </c>
      <c r="L1490">
        <v>-1.8717073200000001</v>
      </c>
      <c r="M1490">
        <v>1489</v>
      </c>
      <c r="N1490" s="1">
        <v>-3.1899999999999998E-2</v>
      </c>
      <c r="O1490" s="1">
        <v>-0.23019999999999999</v>
      </c>
      <c r="P1490" s="1">
        <v>3.27E-2</v>
      </c>
      <c r="Q1490" s="1">
        <v>1.2999999999999999E-3</v>
      </c>
      <c r="R1490" s="1">
        <v>2.3300000000000001E-2</v>
      </c>
      <c r="S1490" s="1">
        <v>-1.6199999999999999E-2</v>
      </c>
      <c r="T1490" s="1">
        <v>-0.15340000000000001</v>
      </c>
      <c r="U1490" s="1">
        <v>2.5999999999999999E-2</v>
      </c>
    </row>
    <row r="1491" spans="1:21" x14ac:dyDescent="0.25">
      <c r="A1491" t="s">
        <v>3142</v>
      </c>
      <c r="B1491" t="s">
        <v>3143</v>
      </c>
      <c r="C1491" t="s">
        <v>109</v>
      </c>
      <c r="D1491" t="s">
        <v>110</v>
      </c>
      <c r="E1491" t="s">
        <v>732</v>
      </c>
      <c r="F1491" t="str">
        <f t="shared" si="26"/>
        <v>2018-05-20</v>
      </c>
      <c r="G1491">
        <v>21.51</v>
      </c>
      <c r="H1491" t="str">
        <f>"2018-05-20"</f>
        <v>2018-05-20</v>
      </c>
      <c r="I1491" t="s">
        <v>40</v>
      </c>
      <c r="J1491" t="str">
        <f>"2016-05-24"</f>
        <v>2016-05-24</v>
      </c>
      <c r="K1491" t="s">
        <v>26</v>
      </c>
      <c r="L1491">
        <v>-1.87260128</v>
      </c>
      <c r="M1491">
        <v>1490</v>
      </c>
      <c r="N1491" s="1">
        <v>1.8499999999999999E-2</v>
      </c>
      <c r="O1491" s="1">
        <v>-0.2356</v>
      </c>
      <c r="P1491" s="1">
        <v>5.6500000000000002E-2</v>
      </c>
      <c r="Q1491" s="1">
        <v>1.8499999999999999E-2</v>
      </c>
      <c r="R1491" s="1">
        <v>5.2299999999999999E-2</v>
      </c>
      <c r="S1491" s="1">
        <v>-0.1089</v>
      </c>
      <c r="T1491" s="1">
        <v>-0.17710000000000001</v>
      </c>
      <c r="U1491" s="1">
        <v>0.34439999999999998</v>
      </c>
    </row>
    <row r="1492" spans="1:21" x14ac:dyDescent="0.25">
      <c r="A1492" t="s">
        <v>3144</v>
      </c>
      <c r="B1492" t="s">
        <v>3145</v>
      </c>
      <c r="C1492" t="s">
        <v>100</v>
      </c>
      <c r="D1492" t="s">
        <v>101</v>
      </c>
      <c r="E1492" t="s">
        <v>102</v>
      </c>
      <c r="F1492" t="str">
        <f t="shared" si="26"/>
        <v>2018-05-20</v>
      </c>
      <c r="G1492">
        <v>17.510000000000002</v>
      </c>
      <c r="H1492" t="str">
        <f>"2018-05-14"</f>
        <v>2018-05-14</v>
      </c>
      <c r="I1492" t="s">
        <v>40</v>
      </c>
      <c r="J1492" t="str">
        <f>"2017-11-21"</f>
        <v>2017-11-21</v>
      </c>
      <c r="K1492" t="s">
        <v>26</v>
      </c>
      <c r="L1492">
        <v>-1.87686357</v>
      </c>
      <c r="M1492">
        <v>1491</v>
      </c>
      <c r="N1492" s="1">
        <v>5.3499999999999999E-2</v>
      </c>
      <c r="O1492" s="1">
        <v>-0.26119999999999999</v>
      </c>
      <c r="P1492" s="1">
        <v>7.2300000000000003E-2</v>
      </c>
      <c r="Q1492" s="1">
        <v>1.21E-2</v>
      </c>
      <c r="R1492" s="1">
        <v>5.3499999999999999E-2</v>
      </c>
      <c r="S1492" s="1">
        <v>-0.20080000000000001</v>
      </c>
      <c r="T1492" s="1">
        <v>-0.16420000000000001</v>
      </c>
      <c r="U1492" s="1">
        <v>-3.3099999999999997E-2</v>
      </c>
    </row>
    <row r="1493" spans="1:21" x14ac:dyDescent="0.25">
      <c r="A1493" t="s">
        <v>3146</v>
      </c>
      <c r="B1493" t="s">
        <v>3147</v>
      </c>
      <c r="C1493" t="s">
        <v>43</v>
      </c>
      <c r="D1493" t="s">
        <v>150</v>
      </c>
      <c r="E1493" t="s">
        <v>151</v>
      </c>
      <c r="F1493" t="str">
        <f t="shared" si="26"/>
        <v>2018-05-20</v>
      </c>
      <c r="G1493">
        <v>88.75</v>
      </c>
      <c r="H1493" t="str">
        <f>"2018-05-09"</f>
        <v>2018-05-09</v>
      </c>
      <c r="I1493" t="s">
        <v>40</v>
      </c>
      <c r="J1493" t="str">
        <f>"2017-04-04"</f>
        <v>2017-04-04</v>
      </c>
      <c r="K1493" t="s">
        <v>26</v>
      </c>
      <c r="L1493">
        <v>-1.8790542400000001</v>
      </c>
      <c r="M1493">
        <v>1492</v>
      </c>
      <c r="N1493" s="1">
        <v>8.0000000000000002E-3</v>
      </c>
      <c r="O1493" s="1">
        <v>-0.27429999999999999</v>
      </c>
      <c r="P1493" s="1">
        <v>3.8600000000000002E-2</v>
      </c>
      <c r="Q1493" s="1">
        <v>8.5000000000000006E-3</v>
      </c>
      <c r="R1493" s="1">
        <v>2.7799999999999998E-2</v>
      </c>
      <c r="S1493" s="1">
        <v>-0.22989999999999999</v>
      </c>
      <c r="T1493" s="1">
        <v>-0.27429999999999999</v>
      </c>
      <c r="U1493" s="1">
        <v>4.6600000000000003E-2</v>
      </c>
    </row>
    <row r="1494" spans="1:21" x14ac:dyDescent="0.25">
      <c r="A1494" t="s">
        <v>3148</v>
      </c>
      <c r="B1494" t="s">
        <v>3149</v>
      </c>
      <c r="C1494" t="s">
        <v>23</v>
      </c>
      <c r="D1494" t="s">
        <v>52</v>
      </c>
      <c r="E1494" t="s">
        <v>53</v>
      </c>
      <c r="F1494" t="str">
        <f t="shared" si="26"/>
        <v>2018-05-20</v>
      </c>
      <c r="G1494">
        <v>26</v>
      </c>
      <c r="H1494" t="str">
        <f>"2018-04-09"</f>
        <v>2018-04-09</v>
      </c>
      <c r="I1494" t="s">
        <v>40</v>
      </c>
      <c r="J1494" t="str">
        <f>"2018-03-26"</f>
        <v>2018-03-26</v>
      </c>
      <c r="K1494" t="s">
        <v>26</v>
      </c>
      <c r="L1494">
        <v>-1.8791259899999999</v>
      </c>
      <c r="M1494">
        <v>1493</v>
      </c>
      <c r="N1494" s="1">
        <v>-3.9699999999999999E-2</v>
      </c>
      <c r="O1494" s="1">
        <v>-0.27479999999999999</v>
      </c>
      <c r="P1494" s="1">
        <v>0.04</v>
      </c>
      <c r="Q1494" s="1">
        <v>-1.14E-2</v>
      </c>
      <c r="R1494" s="1">
        <v>3.8999999999999998E-3</v>
      </c>
      <c r="S1494" s="1">
        <v>-1.3299999999999999E-2</v>
      </c>
      <c r="T1494" s="1">
        <v>-0.21329999999999999</v>
      </c>
      <c r="U1494" s="1">
        <v>0.65080000000000005</v>
      </c>
    </row>
    <row r="1495" spans="1:21" x14ac:dyDescent="0.25">
      <c r="A1495" t="s">
        <v>3150</v>
      </c>
      <c r="B1495" t="s">
        <v>3151</v>
      </c>
      <c r="C1495" t="s">
        <v>30</v>
      </c>
      <c r="D1495" t="s">
        <v>48</v>
      </c>
      <c r="E1495" t="s">
        <v>177</v>
      </c>
      <c r="F1495" t="str">
        <f t="shared" si="26"/>
        <v>2018-05-20</v>
      </c>
      <c r="G1495">
        <v>35.590000000000003</v>
      </c>
      <c r="H1495" t="str">
        <f>"2018-03-15"</f>
        <v>2018-03-15</v>
      </c>
      <c r="I1495" t="s">
        <v>40</v>
      </c>
      <c r="J1495" t="str">
        <f>"2016-07-17"</f>
        <v>2016-07-17</v>
      </c>
      <c r="K1495" t="s">
        <v>26</v>
      </c>
      <c r="L1495">
        <v>-1.88093804</v>
      </c>
      <c r="M1495">
        <v>1494</v>
      </c>
      <c r="N1495" s="1">
        <v>-0.12659999999999999</v>
      </c>
      <c r="O1495" s="1">
        <v>-0.28560000000000002</v>
      </c>
      <c r="P1495" s="1">
        <v>7.9799999999999996E-2</v>
      </c>
      <c r="Q1495" s="1">
        <v>1.4E-3</v>
      </c>
      <c r="R1495" s="1">
        <v>6.4999999999999997E-3</v>
      </c>
      <c r="S1495" s="1">
        <v>3.61E-2</v>
      </c>
      <c r="T1495" s="1">
        <v>-0.24049999999999999</v>
      </c>
      <c r="U1495" s="1">
        <v>-1.14E-2</v>
      </c>
    </row>
    <row r="1496" spans="1:21" x14ac:dyDescent="0.25">
      <c r="A1496" t="s">
        <v>3152</v>
      </c>
      <c r="B1496" t="s">
        <v>3153</v>
      </c>
      <c r="C1496" t="s">
        <v>109</v>
      </c>
      <c r="D1496" t="s">
        <v>110</v>
      </c>
      <c r="E1496" t="s">
        <v>111</v>
      </c>
      <c r="F1496" t="str">
        <f t="shared" si="26"/>
        <v>2018-05-20</v>
      </c>
      <c r="G1496">
        <v>37.340000000000003</v>
      </c>
      <c r="H1496" t="str">
        <f>"2018-04-15"</f>
        <v>2018-04-15</v>
      </c>
      <c r="I1496" t="s">
        <v>40</v>
      </c>
      <c r="J1496" t="str">
        <f>"2016-05-24"</f>
        <v>2016-05-24</v>
      </c>
      <c r="K1496" t="s">
        <v>26</v>
      </c>
      <c r="L1496">
        <v>-1.88148289</v>
      </c>
      <c r="M1496">
        <v>1495</v>
      </c>
      <c r="N1496" s="1">
        <v>-1.5299999999999999E-2</v>
      </c>
      <c r="O1496" s="1">
        <v>-0.28889999999999999</v>
      </c>
      <c r="P1496" s="1">
        <v>1.2699999999999999E-2</v>
      </c>
      <c r="Q1496" s="1">
        <v>1.2699999999999999E-2</v>
      </c>
      <c r="R1496" s="1">
        <v>6.7000000000000002E-3</v>
      </c>
      <c r="S1496" s="1">
        <v>2.3999999999999998E-3</v>
      </c>
      <c r="T1496" s="1">
        <v>-0.23089999999999999</v>
      </c>
      <c r="U1496" s="1">
        <v>0.28179999999999999</v>
      </c>
    </row>
    <row r="1497" spans="1:21" x14ac:dyDescent="0.25">
      <c r="A1497" t="s">
        <v>3154</v>
      </c>
      <c r="B1497" t="s">
        <v>3155</v>
      </c>
      <c r="C1497" t="s">
        <v>114</v>
      </c>
      <c r="D1497" t="s">
        <v>254</v>
      </c>
      <c r="E1497" t="s">
        <v>255</v>
      </c>
      <c r="F1497" t="str">
        <f t="shared" si="26"/>
        <v>2018-05-20</v>
      </c>
      <c r="G1497">
        <v>92.85</v>
      </c>
      <c r="H1497" t="str">
        <f>"2018-03-25"</f>
        <v>2018-03-25</v>
      </c>
      <c r="I1497" t="s">
        <v>40</v>
      </c>
      <c r="J1497" t="str">
        <f>"2017-07-13"</f>
        <v>2017-07-13</v>
      </c>
      <c r="K1497" t="s">
        <v>26</v>
      </c>
      <c r="L1497">
        <v>-1.88258725</v>
      </c>
      <c r="M1497">
        <v>1496</v>
      </c>
      <c r="N1497" s="1">
        <v>-8.0199999999999994E-2</v>
      </c>
      <c r="O1497" s="1">
        <v>-0.29549999999999998</v>
      </c>
      <c r="P1497" s="1">
        <v>7.5899999999999995E-2</v>
      </c>
      <c r="Q1497" s="1">
        <v>1.3100000000000001E-2</v>
      </c>
      <c r="R1497" s="1">
        <v>7.3999999999999996E-2</v>
      </c>
      <c r="S1497" s="1">
        <v>-5.0000000000000001E-4</v>
      </c>
      <c r="T1497" s="1">
        <v>-0.20910000000000001</v>
      </c>
      <c r="U1497" s="1">
        <v>3.9199999999999999E-2</v>
      </c>
    </row>
    <row r="1498" spans="1:21" x14ac:dyDescent="0.25">
      <c r="A1498" t="s">
        <v>3156</v>
      </c>
      <c r="B1498" t="s">
        <v>3157</v>
      </c>
      <c r="C1498" t="s">
        <v>23</v>
      </c>
      <c r="D1498" t="s">
        <v>52</v>
      </c>
      <c r="E1498" t="s">
        <v>190</v>
      </c>
      <c r="F1498" t="str">
        <f t="shared" si="26"/>
        <v>2018-05-20</v>
      </c>
      <c r="G1498">
        <v>11.61</v>
      </c>
      <c r="H1498" t="str">
        <f>"2018-03-25"</f>
        <v>2018-03-25</v>
      </c>
      <c r="I1498" t="s">
        <v>40</v>
      </c>
      <c r="J1498" t="str">
        <f>"2017-07-13"</f>
        <v>2017-07-13</v>
      </c>
      <c r="K1498" t="s">
        <v>26</v>
      </c>
      <c r="L1498">
        <v>-1.88272727</v>
      </c>
      <c r="M1498">
        <v>1497</v>
      </c>
      <c r="N1498" s="1">
        <v>2.29E-2</v>
      </c>
      <c r="O1498" s="1">
        <v>-0.2964</v>
      </c>
      <c r="P1498" s="1">
        <v>5.9299999999999999E-2</v>
      </c>
      <c r="Q1498" s="1">
        <v>-3.0099999999999998E-2</v>
      </c>
      <c r="R1498" s="1">
        <v>4.41E-2</v>
      </c>
      <c r="S1498" s="1">
        <v>3.2000000000000001E-2</v>
      </c>
      <c r="T1498" s="1">
        <v>-0.14630000000000001</v>
      </c>
      <c r="U1498" s="1">
        <v>0.33450000000000002</v>
      </c>
    </row>
    <row r="1499" spans="1:21" x14ac:dyDescent="0.25">
      <c r="A1499" t="s">
        <v>3158</v>
      </c>
      <c r="B1499" t="s">
        <v>3159</v>
      </c>
      <c r="C1499" t="s">
        <v>114</v>
      </c>
      <c r="D1499" t="s">
        <v>809</v>
      </c>
      <c r="E1499" t="s">
        <v>810</v>
      </c>
      <c r="F1499" t="str">
        <f t="shared" si="26"/>
        <v>2018-05-20</v>
      </c>
      <c r="G1499">
        <v>26.54</v>
      </c>
      <c r="H1499" t="str">
        <f>"2018-04-23"</f>
        <v>2018-04-23</v>
      </c>
      <c r="I1499" t="s">
        <v>40</v>
      </c>
      <c r="J1499" t="str">
        <f>"2016-05-02"</f>
        <v>2016-05-02</v>
      </c>
      <c r="K1499" t="s">
        <v>26</v>
      </c>
      <c r="L1499">
        <v>-1.88534647</v>
      </c>
      <c r="M1499">
        <v>1498</v>
      </c>
      <c r="N1499" s="1">
        <v>1.2999999999999999E-2</v>
      </c>
      <c r="O1499" s="1">
        <v>-0.31209999999999999</v>
      </c>
      <c r="P1499" s="1">
        <v>5.3199999999999997E-2</v>
      </c>
      <c r="Q1499" s="1">
        <v>0</v>
      </c>
      <c r="R1499" s="1">
        <v>9.1000000000000004E-3</v>
      </c>
      <c r="S1499" s="1">
        <v>1.2999999999999999E-2</v>
      </c>
      <c r="T1499" s="1">
        <v>-0.10249999999999999</v>
      </c>
      <c r="U1499" s="1">
        <v>0.23669999999999999</v>
      </c>
    </row>
    <row r="1500" spans="1:21" x14ac:dyDescent="0.25">
      <c r="A1500" t="s">
        <v>3160</v>
      </c>
      <c r="B1500" t="s">
        <v>3161</v>
      </c>
      <c r="C1500" t="s">
        <v>23</v>
      </c>
      <c r="D1500" t="s">
        <v>411</v>
      </c>
      <c r="E1500" t="s">
        <v>1025</v>
      </c>
      <c r="F1500" t="str">
        <f t="shared" si="26"/>
        <v>2018-05-20</v>
      </c>
      <c r="G1500">
        <v>36.299999999999997</v>
      </c>
      <c r="H1500" t="str">
        <f>"2018-04-08"</f>
        <v>2018-04-08</v>
      </c>
      <c r="I1500" t="s">
        <v>40</v>
      </c>
      <c r="J1500" t="str">
        <f>"2015-11-11"</f>
        <v>2015-11-11</v>
      </c>
      <c r="K1500" t="s">
        <v>26</v>
      </c>
      <c r="L1500">
        <v>-1.8863636399999999</v>
      </c>
      <c r="M1500">
        <v>1499</v>
      </c>
      <c r="N1500" s="1">
        <v>-0.1187</v>
      </c>
      <c r="O1500" s="1">
        <v>-0.31819999999999998</v>
      </c>
      <c r="P1500" s="1">
        <v>8.4900000000000003E-2</v>
      </c>
      <c r="Q1500" s="1">
        <v>1.26E-2</v>
      </c>
      <c r="R1500" s="1">
        <v>4.4299999999999999E-2</v>
      </c>
      <c r="S1500" s="1">
        <v>3.1300000000000001E-2</v>
      </c>
      <c r="T1500" s="1">
        <v>-0.2303</v>
      </c>
      <c r="U1500" s="1">
        <v>3.7999999999999999E-2</v>
      </c>
    </row>
    <row r="1501" spans="1:21" x14ac:dyDescent="0.25">
      <c r="A1501" t="s">
        <v>3162</v>
      </c>
      <c r="B1501" t="s">
        <v>3163</v>
      </c>
      <c r="C1501" t="s">
        <v>30</v>
      </c>
      <c r="D1501" t="s">
        <v>77</v>
      </c>
      <c r="E1501" t="s">
        <v>78</v>
      </c>
      <c r="F1501" t="str">
        <f t="shared" si="26"/>
        <v>2018-05-20</v>
      </c>
      <c r="G1501">
        <v>34.61</v>
      </c>
      <c r="H1501" t="str">
        <f>"2018-05-03"</f>
        <v>2018-05-03</v>
      </c>
      <c r="I1501" t="s">
        <v>40</v>
      </c>
      <c r="J1501" t="str">
        <f>"2016-12-18"</f>
        <v>2016-12-18</v>
      </c>
      <c r="K1501" t="s">
        <v>26</v>
      </c>
      <c r="L1501">
        <v>-1.88766634</v>
      </c>
      <c r="M1501">
        <v>1500</v>
      </c>
      <c r="N1501" s="1">
        <v>-2.4799999999999999E-2</v>
      </c>
      <c r="O1501" s="1">
        <v>-0.32600000000000001</v>
      </c>
      <c r="P1501" s="1">
        <v>3.2199999999999999E-2</v>
      </c>
      <c r="Q1501" s="1">
        <v>5.7999999999999996E-3</v>
      </c>
      <c r="R1501" s="1">
        <v>2.52E-2</v>
      </c>
      <c r="S1501" s="1">
        <v>-0.28210000000000002</v>
      </c>
      <c r="T1501" s="1">
        <v>-0.2681</v>
      </c>
      <c r="U1501" s="1">
        <v>0.1154</v>
      </c>
    </row>
    <row r="1502" spans="1:21" x14ac:dyDescent="0.25">
      <c r="A1502" t="s">
        <v>3164</v>
      </c>
      <c r="B1502" t="s">
        <v>3165</v>
      </c>
      <c r="C1502" t="s">
        <v>43</v>
      </c>
      <c r="D1502" t="s">
        <v>44</v>
      </c>
      <c r="E1502" t="s">
        <v>246</v>
      </c>
      <c r="F1502" t="str">
        <f t="shared" si="26"/>
        <v>2018-05-20</v>
      </c>
      <c r="G1502">
        <v>19.87</v>
      </c>
      <c r="H1502" t="str">
        <f>"2018-05-07"</f>
        <v>2018-05-07</v>
      </c>
      <c r="I1502" t="s">
        <v>40</v>
      </c>
      <c r="J1502" t="str">
        <f>"2018-01-14"</f>
        <v>2018-01-14</v>
      </c>
      <c r="K1502" t="s">
        <v>26</v>
      </c>
      <c r="L1502">
        <v>-1.8927916300000001</v>
      </c>
      <c r="M1502">
        <v>1501</v>
      </c>
      <c r="N1502" s="1">
        <v>5.4100000000000002E-2</v>
      </c>
      <c r="O1502" s="1">
        <v>-0.35670000000000002</v>
      </c>
      <c r="P1502" s="1">
        <v>7.9899999999999999E-2</v>
      </c>
      <c r="Q1502" s="1">
        <v>2.2599999999999999E-2</v>
      </c>
      <c r="R1502" s="1">
        <v>3.2199999999999999E-2</v>
      </c>
      <c r="S1502" s="1">
        <v>-0.2271</v>
      </c>
      <c r="T1502" s="1">
        <v>-0.28270000000000001</v>
      </c>
      <c r="U1502" s="1">
        <v>-0.122</v>
      </c>
    </row>
    <row r="1503" spans="1:21" x14ac:dyDescent="0.25">
      <c r="A1503" t="s">
        <v>3166</v>
      </c>
      <c r="B1503" t="s">
        <v>3167</v>
      </c>
      <c r="C1503" t="s">
        <v>37</v>
      </c>
      <c r="D1503" t="s">
        <v>38</v>
      </c>
      <c r="E1503" t="s">
        <v>39</v>
      </c>
      <c r="F1503" t="str">
        <f t="shared" si="26"/>
        <v>2018-05-20</v>
      </c>
      <c r="G1503">
        <v>5.91</v>
      </c>
      <c r="H1503" t="str">
        <f>"2018-05-14"</f>
        <v>2018-05-14</v>
      </c>
      <c r="I1503" t="s">
        <v>40</v>
      </c>
      <c r="J1503" t="str">
        <f>"2017-02-01"</f>
        <v>2017-02-01</v>
      </c>
      <c r="K1503" t="s">
        <v>26</v>
      </c>
      <c r="L1503">
        <v>-1.8957672000000001</v>
      </c>
      <c r="M1503">
        <v>1502</v>
      </c>
      <c r="N1503" s="1">
        <v>2.9600000000000001E-2</v>
      </c>
      <c r="O1503" s="1">
        <v>-0.37459999999999999</v>
      </c>
      <c r="P1503" s="1">
        <v>6.2899999999999998E-2</v>
      </c>
      <c r="Q1503" s="1">
        <v>-1.6999999999999999E-3</v>
      </c>
      <c r="R1503" s="1">
        <v>2.9600000000000001E-2</v>
      </c>
      <c r="S1503" s="1">
        <v>-7.0800000000000002E-2</v>
      </c>
      <c r="T1503" s="1">
        <v>-0.33300000000000002</v>
      </c>
      <c r="U1503" s="1">
        <v>0.5</v>
      </c>
    </row>
    <row r="1504" spans="1:21" x14ac:dyDescent="0.25">
      <c r="A1504" t="s">
        <v>3168</v>
      </c>
      <c r="B1504" t="s">
        <v>3169</v>
      </c>
      <c r="C1504" t="s">
        <v>37</v>
      </c>
      <c r="D1504" t="s">
        <v>38</v>
      </c>
      <c r="E1504" t="s">
        <v>97</v>
      </c>
      <c r="F1504" t="str">
        <f t="shared" si="26"/>
        <v>2018-05-20</v>
      </c>
      <c r="G1504">
        <v>8.51</v>
      </c>
      <c r="H1504" t="str">
        <f>"2018-05-03"</f>
        <v>2018-05-03</v>
      </c>
      <c r="I1504" t="s">
        <v>40</v>
      </c>
      <c r="J1504" t="str">
        <f>"2017-05-10"</f>
        <v>2017-05-10</v>
      </c>
      <c r="K1504" t="s">
        <v>26</v>
      </c>
      <c r="L1504">
        <v>-1.8971476899999999</v>
      </c>
      <c r="M1504">
        <v>1503</v>
      </c>
      <c r="N1504" s="1">
        <v>-0.12809999999999999</v>
      </c>
      <c r="O1504" s="1">
        <v>-0.38290000000000002</v>
      </c>
      <c r="P1504" s="1">
        <v>0</v>
      </c>
      <c r="Q1504" s="1">
        <v>-4.7E-2</v>
      </c>
      <c r="R1504" s="1">
        <v>-6.0699999999999997E-2</v>
      </c>
      <c r="S1504" s="1">
        <v>-0.18640000000000001</v>
      </c>
      <c r="T1504" s="1">
        <v>-0.35870000000000002</v>
      </c>
      <c r="U1504" s="1">
        <v>0.30120000000000002</v>
      </c>
    </row>
    <row r="1505" spans="1:21" x14ac:dyDescent="0.25">
      <c r="A1505" t="s">
        <v>3170</v>
      </c>
      <c r="B1505" t="s">
        <v>3171</v>
      </c>
      <c r="C1505" t="s">
        <v>23</v>
      </c>
      <c r="D1505" t="s">
        <v>52</v>
      </c>
      <c r="E1505" t="s">
        <v>2885</v>
      </c>
      <c r="F1505" t="str">
        <f t="shared" si="26"/>
        <v>2018-05-20</v>
      </c>
      <c r="G1505">
        <v>40.56</v>
      </c>
      <c r="H1505" t="str">
        <f>"2018-04-11"</f>
        <v>2018-04-11</v>
      </c>
      <c r="I1505" t="s">
        <v>40</v>
      </c>
      <c r="J1505" t="str">
        <f>"2017-09-10"</f>
        <v>2017-09-10</v>
      </c>
      <c r="K1505" t="s">
        <v>26</v>
      </c>
      <c r="L1505">
        <v>-1.8976997600000001</v>
      </c>
      <c r="M1505">
        <v>1504</v>
      </c>
      <c r="N1505" s="1">
        <v>-0.2006</v>
      </c>
      <c r="O1505" s="1">
        <v>-0.38619999999999999</v>
      </c>
      <c r="P1505" s="1">
        <v>2.63E-2</v>
      </c>
      <c r="Q1505" s="1">
        <v>7.1999999999999998E-3</v>
      </c>
      <c r="R1505" s="1">
        <v>-1.34E-2</v>
      </c>
      <c r="S1505" s="1">
        <v>-0.19239999999999999</v>
      </c>
      <c r="T1505" s="1">
        <v>-0.25280000000000002</v>
      </c>
      <c r="U1505" s="1">
        <v>-0.16919999999999999</v>
      </c>
    </row>
    <row r="1506" spans="1:21" x14ac:dyDescent="0.25">
      <c r="A1506" t="s">
        <v>3172</v>
      </c>
      <c r="B1506" t="s">
        <v>3173</v>
      </c>
      <c r="C1506" t="s">
        <v>109</v>
      </c>
      <c r="D1506" t="s">
        <v>156</v>
      </c>
      <c r="E1506" t="s">
        <v>277</v>
      </c>
      <c r="F1506" t="str">
        <f t="shared" si="26"/>
        <v>2018-05-20</v>
      </c>
      <c r="G1506">
        <v>21.5</v>
      </c>
      <c r="H1506" t="str">
        <f>"2018-04-19"</f>
        <v>2018-04-19</v>
      </c>
      <c r="I1506" t="s">
        <v>40</v>
      </c>
      <c r="J1506" t="str">
        <f>"2016-06-02"</f>
        <v>2016-06-02</v>
      </c>
      <c r="K1506" t="s">
        <v>26</v>
      </c>
      <c r="L1506">
        <v>-1.90216155</v>
      </c>
      <c r="M1506">
        <v>1505</v>
      </c>
      <c r="N1506" s="1">
        <v>-6.1100000000000002E-2</v>
      </c>
      <c r="O1506" s="1">
        <v>-0.41299999999999998</v>
      </c>
      <c r="P1506" s="1">
        <v>2.1399999999999999E-2</v>
      </c>
      <c r="Q1506" s="1">
        <v>2.1399999999999999E-2</v>
      </c>
      <c r="R1506" s="1">
        <v>-3.5900000000000001E-2</v>
      </c>
      <c r="S1506" s="1">
        <v>-4.4400000000000002E-2</v>
      </c>
      <c r="T1506" s="1">
        <v>-0.1585</v>
      </c>
      <c r="U1506" s="1">
        <v>-2.3E-3</v>
      </c>
    </row>
    <row r="1507" spans="1:21" x14ac:dyDescent="0.25">
      <c r="A1507" t="s">
        <v>3174</v>
      </c>
      <c r="B1507" t="s">
        <v>3175</v>
      </c>
      <c r="C1507" t="s">
        <v>37</v>
      </c>
      <c r="D1507" t="s">
        <v>38</v>
      </c>
      <c r="E1507" t="s">
        <v>39</v>
      </c>
      <c r="F1507" t="str">
        <f t="shared" si="26"/>
        <v>2018-05-20</v>
      </c>
      <c r="G1507">
        <v>7.25</v>
      </c>
      <c r="H1507" t="str">
        <f>"2018-02-22"</f>
        <v>2018-02-22</v>
      </c>
      <c r="I1507" t="s">
        <v>40</v>
      </c>
      <c r="J1507" t="str">
        <f>"2017-04-23"</f>
        <v>2017-04-23</v>
      </c>
      <c r="K1507" t="s">
        <v>26</v>
      </c>
      <c r="L1507">
        <v>-1.90633075</v>
      </c>
      <c r="M1507">
        <v>1506</v>
      </c>
      <c r="N1507" s="1">
        <v>-0.16669999999999999</v>
      </c>
      <c r="O1507" s="1">
        <v>-0.438</v>
      </c>
      <c r="P1507" s="1">
        <v>0</v>
      </c>
      <c r="Q1507" s="1">
        <v>-4.6100000000000002E-2</v>
      </c>
      <c r="R1507" s="1">
        <v>-1.3599999999999999E-2</v>
      </c>
      <c r="S1507" s="1">
        <v>-0.13170000000000001</v>
      </c>
      <c r="T1507" s="1">
        <v>-0.18079999999999999</v>
      </c>
      <c r="U1507" s="1">
        <v>-9.9400000000000002E-2</v>
      </c>
    </row>
    <row r="1508" spans="1:21" x14ac:dyDescent="0.25">
      <c r="A1508" t="s">
        <v>3176</v>
      </c>
      <c r="B1508" t="s">
        <v>3177</v>
      </c>
      <c r="C1508" t="s">
        <v>37</v>
      </c>
      <c r="D1508" t="s">
        <v>38</v>
      </c>
      <c r="E1508" t="s">
        <v>97</v>
      </c>
      <c r="F1508" t="str">
        <f t="shared" si="26"/>
        <v>2018-05-20</v>
      </c>
      <c r="G1508">
        <v>37.89</v>
      </c>
      <c r="H1508" t="str">
        <f>"2018-05-10"</f>
        <v>2018-05-10</v>
      </c>
      <c r="I1508" t="s">
        <v>40</v>
      </c>
      <c r="J1508" t="str">
        <f>"2017-02-06"</f>
        <v>2017-02-06</v>
      </c>
      <c r="K1508" t="s">
        <v>26</v>
      </c>
      <c r="L1508">
        <v>-1.9218053500000001</v>
      </c>
      <c r="M1508">
        <v>1507</v>
      </c>
      <c r="N1508" s="1">
        <v>-6.6699999999999995E-2</v>
      </c>
      <c r="O1508" s="1">
        <v>-0.53080000000000005</v>
      </c>
      <c r="P1508" s="1">
        <v>2.5999999999999999E-2</v>
      </c>
      <c r="Q1508" s="1">
        <v>-0.1009</v>
      </c>
      <c r="R1508" s="1">
        <v>-7.3099999999999998E-2</v>
      </c>
      <c r="S1508" s="1">
        <v>-0.4829</v>
      </c>
      <c r="T1508" s="1">
        <v>-0.53080000000000005</v>
      </c>
      <c r="U1508" s="1">
        <v>0.12230000000000001</v>
      </c>
    </row>
    <row r="1509" spans="1:21" x14ac:dyDescent="0.25">
      <c r="A1509" t="s">
        <v>3178</v>
      </c>
      <c r="B1509" t="s">
        <v>3179</v>
      </c>
      <c r="C1509" t="s">
        <v>114</v>
      </c>
      <c r="D1509" t="s">
        <v>254</v>
      </c>
      <c r="E1509" t="s">
        <v>255</v>
      </c>
      <c r="F1509" t="str">
        <f t="shared" si="26"/>
        <v>2018-05-20</v>
      </c>
      <c r="G1509">
        <v>21.73</v>
      </c>
      <c r="H1509" t="str">
        <f>"2018-03-25"</f>
        <v>2018-03-25</v>
      </c>
      <c r="I1509" t="s">
        <v>40</v>
      </c>
      <c r="J1509" t="str">
        <f>"2017-10-19"</f>
        <v>2017-10-19</v>
      </c>
      <c r="K1509" t="s">
        <v>26</v>
      </c>
      <c r="L1509">
        <v>-1.9232535100000001</v>
      </c>
      <c r="M1509">
        <v>1508</v>
      </c>
      <c r="N1509" s="1">
        <v>-0.32600000000000001</v>
      </c>
      <c r="O1509" s="1">
        <v>-0.53949999999999998</v>
      </c>
      <c r="P1509" s="1">
        <v>1.6799999999999999E-2</v>
      </c>
      <c r="Q1509" s="1">
        <v>-1.18E-2</v>
      </c>
      <c r="R1509" s="1">
        <v>1.6799999999999999E-2</v>
      </c>
      <c r="S1509" s="1">
        <v>-0.18029999999999999</v>
      </c>
      <c r="T1509" s="1">
        <v>-0.495</v>
      </c>
      <c r="U1509" s="1">
        <v>-0.25119999999999998</v>
      </c>
    </row>
    <row r="1510" spans="1:21" x14ac:dyDescent="0.25">
      <c r="A1510" t="s">
        <v>3180</v>
      </c>
      <c r="B1510" t="s">
        <v>3181</v>
      </c>
      <c r="C1510" t="s">
        <v>37</v>
      </c>
      <c r="D1510" t="s">
        <v>38</v>
      </c>
      <c r="E1510" t="s">
        <v>97</v>
      </c>
      <c r="F1510" t="str">
        <f t="shared" si="26"/>
        <v>2018-05-20</v>
      </c>
      <c r="G1510">
        <v>3.97</v>
      </c>
      <c r="H1510" t="str">
        <f>"2018-04-04"</f>
        <v>2018-04-04</v>
      </c>
      <c r="I1510" t="s">
        <v>40</v>
      </c>
      <c r="J1510" t="str">
        <f>"2017-10-22"</f>
        <v>2017-10-22</v>
      </c>
      <c r="K1510" t="s">
        <v>26</v>
      </c>
      <c r="L1510">
        <v>-1.85425844</v>
      </c>
      <c r="M1510">
        <v>1509</v>
      </c>
      <c r="N1510" s="1">
        <v>0.20300000000000001</v>
      </c>
      <c r="O1510" s="1">
        <v>-0.12559999999999999</v>
      </c>
      <c r="P1510" s="1">
        <v>0.30159999999999998</v>
      </c>
      <c r="Q1510" s="1">
        <v>-2.2200000000000001E-2</v>
      </c>
      <c r="R1510" s="1">
        <v>1.0200000000000001E-2</v>
      </c>
      <c r="S1510" s="1">
        <v>0.1028</v>
      </c>
      <c r="T1510" s="1">
        <v>3.9300000000000002E-2</v>
      </c>
      <c r="U1510" s="1">
        <v>0.59440000000000004</v>
      </c>
    </row>
    <row r="1511" spans="1:21" x14ac:dyDescent="0.25">
      <c r="A1511" t="s">
        <v>3182</v>
      </c>
      <c r="B1511" t="s">
        <v>3183</v>
      </c>
      <c r="C1511" t="s">
        <v>43</v>
      </c>
      <c r="D1511" t="s">
        <v>44</v>
      </c>
      <c r="E1511" t="s">
        <v>246</v>
      </c>
      <c r="F1511" t="str">
        <f t="shared" si="26"/>
        <v>2018-05-20</v>
      </c>
      <c r="G1511">
        <v>41.55</v>
      </c>
      <c r="H1511" t="str">
        <f>"2018-02-06"</f>
        <v>2018-02-06</v>
      </c>
      <c r="I1511" t="s">
        <v>40</v>
      </c>
      <c r="J1511" t="str">
        <f>"2016-08-29"</f>
        <v>2016-08-29</v>
      </c>
      <c r="K1511" t="s">
        <v>26</v>
      </c>
      <c r="L1511">
        <v>-1.8548218000000001</v>
      </c>
      <c r="M1511">
        <v>1510</v>
      </c>
      <c r="N1511" s="1">
        <v>8.5000000000000006E-3</v>
      </c>
      <c r="O1511" s="1">
        <v>-0.12889999999999999</v>
      </c>
      <c r="P1511" s="1">
        <v>0.1804</v>
      </c>
      <c r="Q1511" s="1">
        <v>2.3999999999999998E-3</v>
      </c>
      <c r="R1511" s="1">
        <v>2.9700000000000001E-2</v>
      </c>
      <c r="S1511" s="1">
        <v>8.3400000000000002E-2</v>
      </c>
      <c r="T1511" s="1">
        <v>6.1000000000000004E-3</v>
      </c>
      <c r="U1511" s="1">
        <v>0.16880000000000001</v>
      </c>
    </row>
    <row r="1512" spans="1:21" x14ac:dyDescent="0.25">
      <c r="A1512" t="s">
        <v>3184</v>
      </c>
      <c r="B1512" t="s">
        <v>3185</v>
      </c>
      <c r="C1512" t="s">
        <v>114</v>
      </c>
      <c r="D1512" t="s">
        <v>809</v>
      </c>
      <c r="E1512" t="s">
        <v>1542</v>
      </c>
      <c r="F1512" t="str">
        <f t="shared" si="26"/>
        <v>2018-05-20</v>
      </c>
      <c r="G1512">
        <v>12.75</v>
      </c>
      <c r="H1512" t="str">
        <f>"2018-05-01"</f>
        <v>2018-05-01</v>
      </c>
      <c r="I1512" t="s">
        <v>40</v>
      </c>
      <c r="J1512" t="str">
        <f>"2016-03-28"</f>
        <v>2016-03-28</v>
      </c>
      <c r="K1512" t="s">
        <v>26</v>
      </c>
      <c r="L1512">
        <v>-1.8554421800000001</v>
      </c>
      <c r="M1512">
        <v>1511</v>
      </c>
      <c r="N1512" s="1">
        <v>9.9099999999999994E-2</v>
      </c>
      <c r="O1512" s="1">
        <v>-0.13270000000000001</v>
      </c>
      <c r="P1512" s="1">
        <v>0.20849999999999999</v>
      </c>
      <c r="Q1512" s="1">
        <v>0.02</v>
      </c>
      <c r="R1512" s="1">
        <v>8.0500000000000002E-2</v>
      </c>
      <c r="S1512" s="1">
        <v>-3.8999999999999998E-3</v>
      </c>
      <c r="T1512" s="1">
        <v>-5.1999999999999998E-2</v>
      </c>
      <c r="U1512" s="1">
        <v>0.1333</v>
      </c>
    </row>
    <row r="1513" spans="1:21" x14ac:dyDescent="0.25">
      <c r="A1513" t="s">
        <v>3186</v>
      </c>
      <c r="B1513" t="s">
        <v>3187</v>
      </c>
      <c r="C1513" t="s">
        <v>114</v>
      </c>
      <c r="D1513" t="s">
        <v>646</v>
      </c>
      <c r="E1513" t="s">
        <v>3188</v>
      </c>
      <c r="F1513" t="str">
        <f t="shared" si="26"/>
        <v>2018-05-20</v>
      </c>
      <c r="G1513">
        <v>12.27</v>
      </c>
      <c r="H1513" t="str">
        <f>"2018-05-14"</f>
        <v>2018-05-14</v>
      </c>
      <c r="I1513" t="s">
        <v>40</v>
      </c>
      <c r="J1513" t="str">
        <f>"2017-12-10"</f>
        <v>2017-12-10</v>
      </c>
      <c r="K1513" t="s">
        <v>26</v>
      </c>
      <c r="L1513">
        <v>-1.8554770300000001</v>
      </c>
      <c r="M1513">
        <v>1512</v>
      </c>
      <c r="N1513" s="1">
        <v>8.1100000000000005E-2</v>
      </c>
      <c r="O1513" s="1">
        <v>-0.13289999999999999</v>
      </c>
      <c r="P1513" s="1">
        <v>0.1913</v>
      </c>
      <c r="Q1513" s="1">
        <v>5.96E-2</v>
      </c>
      <c r="R1513" s="1">
        <v>8.1100000000000005E-2</v>
      </c>
      <c r="S1513" s="1">
        <v>0.1134</v>
      </c>
      <c r="T1513" s="1">
        <v>-0.1236</v>
      </c>
      <c r="U1513" s="1">
        <v>0.17299999999999999</v>
      </c>
    </row>
    <row r="1514" spans="1:21" x14ac:dyDescent="0.25">
      <c r="A1514" t="s">
        <v>3189</v>
      </c>
      <c r="B1514" t="s">
        <v>3190</v>
      </c>
      <c r="C1514" t="s">
        <v>23</v>
      </c>
      <c r="D1514" t="s">
        <v>24</v>
      </c>
      <c r="E1514" t="s">
        <v>25</v>
      </c>
      <c r="F1514" t="str">
        <f t="shared" si="26"/>
        <v>2018-05-20</v>
      </c>
      <c r="G1514">
        <v>8.4</v>
      </c>
      <c r="H1514" t="str">
        <f>"2018-03-15"</f>
        <v>2018-03-15</v>
      </c>
      <c r="I1514" t="s">
        <v>40</v>
      </c>
      <c r="J1514" t="str">
        <f>"2017-09-27"</f>
        <v>2017-09-27</v>
      </c>
      <c r="K1514" t="s">
        <v>26</v>
      </c>
      <c r="L1514">
        <v>-1.8558187399999999</v>
      </c>
      <c r="M1514">
        <v>1513</v>
      </c>
      <c r="N1514" s="1">
        <v>7.6899999999999996E-2</v>
      </c>
      <c r="O1514" s="1">
        <v>-0.13489999999999999</v>
      </c>
      <c r="P1514" s="1">
        <v>0.14130000000000001</v>
      </c>
      <c r="Q1514" s="1">
        <v>-1.7500000000000002E-2</v>
      </c>
      <c r="R1514" s="1">
        <v>-1.6400000000000001E-2</v>
      </c>
      <c r="S1514" s="1">
        <v>2.9399999999999999E-2</v>
      </c>
      <c r="T1514" s="1">
        <v>1.5699999999999999E-2</v>
      </c>
      <c r="U1514" s="1">
        <v>6.3299999999999995E-2</v>
      </c>
    </row>
    <row r="1515" spans="1:21" x14ac:dyDescent="0.25">
      <c r="A1515" t="s">
        <v>3191</v>
      </c>
      <c r="B1515" t="s">
        <v>3192</v>
      </c>
      <c r="C1515" t="s">
        <v>23</v>
      </c>
      <c r="D1515" t="s">
        <v>52</v>
      </c>
      <c r="E1515" t="s">
        <v>53</v>
      </c>
      <c r="F1515" t="str">
        <f t="shared" si="26"/>
        <v>2018-05-20</v>
      </c>
      <c r="G1515">
        <v>71.55</v>
      </c>
      <c r="H1515" t="str">
        <f>"2018-03-15"</f>
        <v>2018-03-15</v>
      </c>
      <c r="I1515" t="s">
        <v>40</v>
      </c>
      <c r="J1515" t="str">
        <f>"2017-10-29"</f>
        <v>2017-10-29</v>
      </c>
      <c r="K1515" t="s">
        <v>26</v>
      </c>
      <c r="L1515">
        <v>-1.85701439</v>
      </c>
      <c r="M1515">
        <v>1514</v>
      </c>
      <c r="N1515" s="1">
        <v>-8.6E-3</v>
      </c>
      <c r="O1515" s="1">
        <v>-0.1421</v>
      </c>
      <c r="P1515" s="1">
        <v>0.1799</v>
      </c>
      <c r="Q1515" s="1">
        <v>-3.8E-3</v>
      </c>
      <c r="R1515" s="1">
        <v>3.0700000000000002E-2</v>
      </c>
      <c r="S1515" s="1">
        <v>9.7100000000000006E-2</v>
      </c>
      <c r="T1515" s="1">
        <v>-5.1400000000000001E-2</v>
      </c>
      <c r="U1515" s="1">
        <v>0.1096</v>
      </c>
    </row>
    <row r="1516" spans="1:21" x14ac:dyDescent="0.25">
      <c r="A1516" t="s">
        <v>3193</v>
      </c>
      <c r="B1516" t="s">
        <v>3194</v>
      </c>
      <c r="C1516" t="s">
        <v>23</v>
      </c>
      <c r="D1516" t="s">
        <v>173</v>
      </c>
      <c r="E1516" t="s">
        <v>1429</v>
      </c>
      <c r="F1516" t="str">
        <f t="shared" si="26"/>
        <v>2018-05-20</v>
      </c>
      <c r="G1516">
        <v>69.650000000000006</v>
      </c>
      <c r="H1516" t="str">
        <f>"2018-04-09"</f>
        <v>2018-04-09</v>
      </c>
      <c r="I1516" t="s">
        <v>40</v>
      </c>
      <c r="J1516" t="str">
        <f>"2017-11-28"</f>
        <v>2017-11-28</v>
      </c>
      <c r="K1516" t="s">
        <v>26</v>
      </c>
      <c r="L1516">
        <v>-1.8580020399999999</v>
      </c>
      <c r="M1516">
        <v>1515</v>
      </c>
      <c r="N1516" s="1">
        <v>8.3199999999999996E-2</v>
      </c>
      <c r="O1516" s="1">
        <v>-0.14799999999999999</v>
      </c>
      <c r="P1516" s="1">
        <v>0.1381</v>
      </c>
      <c r="Q1516" s="1">
        <v>7.6E-3</v>
      </c>
      <c r="R1516" s="1">
        <v>4.82E-2</v>
      </c>
      <c r="S1516" s="1">
        <v>8.3199999999999996E-2</v>
      </c>
      <c r="T1516" s="1">
        <v>-5.5599999999999997E-2</v>
      </c>
      <c r="U1516" s="1">
        <v>0.21029999999999999</v>
      </c>
    </row>
    <row r="1517" spans="1:21" x14ac:dyDescent="0.25">
      <c r="A1517" t="s">
        <v>3195</v>
      </c>
      <c r="B1517" t="s">
        <v>3196</v>
      </c>
      <c r="C1517" t="s">
        <v>37</v>
      </c>
      <c r="D1517" t="s">
        <v>66</v>
      </c>
      <c r="E1517" t="s">
        <v>72</v>
      </c>
      <c r="F1517" t="str">
        <f t="shared" si="26"/>
        <v>2018-05-20</v>
      </c>
      <c r="G1517">
        <v>46.4</v>
      </c>
      <c r="H1517" t="str">
        <f>"2018-02-05"</f>
        <v>2018-02-05</v>
      </c>
      <c r="I1517" t="s">
        <v>40</v>
      </c>
      <c r="J1517" t="str">
        <f>"2016-05-17"</f>
        <v>2016-05-17</v>
      </c>
      <c r="K1517" t="s">
        <v>26</v>
      </c>
      <c r="L1517">
        <v>-1.8581039800000001</v>
      </c>
      <c r="M1517">
        <v>1516</v>
      </c>
      <c r="N1517" s="1">
        <v>5.28E-2</v>
      </c>
      <c r="O1517" s="1">
        <v>-0.14860000000000001</v>
      </c>
      <c r="P1517" s="1">
        <v>0.15709999999999999</v>
      </c>
      <c r="Q1517" s="1">
        <v>4.3E-3</v>
      </c>
      <c r="R1517" s="1">
        <v>-1.49E-2</v>
      </c>
      <c r="S1517" s="1">
        <v>5.9400000000000001E-2</v>
      </c>
      <c r="T1517" s="1">
        <v>2.8799999999999999E-2</v>
      </c>
      <c r="U1517" s="1">
        <v>0.1221</v>
      </c>
    </row>
    <row r="1518" spans="1:21" x14ac:dyDescent="0.25">
      <c r="A1518" t="s">
        <v>3197</v>
      </c>
      <c r="B1518" t="s">
        <v>3198</v>
      </c>
      <c r="C1518" t="s">
        <v>30</v>
      </c>
      <c r="D1518" t="s">
        <v>48</v>
      </c>
      <c r="E1518" t="s">
        <v>387</v>
      </c>
      <c r="F1518" t="str">
        <f t="shared" si="26"/>
        <v>2018-05-20</v>
      </c>
      <c r="G1518">
        <v>19.850000000000001</v>
      </c>
      <c r="H1518" t="str">
        <f>"2018-04-09"</f>
        <v>2018-04-09</v>
      </c>
      <c r="I1518" t="s">
        <v>40</v>
      </c>
      <c r="J1518" t="str">
        <f>"2017-07-26"</f>
        <v>2017-07-26</v>
      </c>
      <c r="K1518" t="s">
        <v>26</v>
      </c>
      <c r="L1518">
        <v>-1.85867863</v>
      </c>
      <c r="M1518">
        <v>1517</v>
      </c>
      <c r="N1518" s="1">
        <v>4.58E-2</v>
      </c>
      <c r="O1518" s="1">
        <v>-0.15210000000000001</v>
      </c>
      <c r="P1518" s="1">
        <v>0.1108</v>
      </c>
      <c r="Q1518" s="1">
        <v>9.1999999999999998E-3</v>
      </c>
      <c r="R1518" s="1">
        <v>5.5899999999999998E-2</v>
      </c>
      <c r="S1518" s="1">
        <v>-2.46E-2</v>
      </c>
      <c r="T1518" s="1">
        <v>-5.6599999999999998E-2</v>
      </c>
      <c r="U1518" s="1">
        <v>0.17530000000000001</v>
      </c>
    </row>
    <row r="1519" spans="1:21" x14ac:dyDescent="0.25">
      <c r="A1519" t="s">
        <v>3199</v>
      </c>
      <c r="B1519" t="s">
        <v>3200</v>
      </c>
      <c r="C1519" t="s">
        <v>23</v>
      </c>
      <c r="D1519" t="s">
        <v>52</v>
      </c>
      <c r="E1519" t="s">
        <v>56</v>
      </c>
      <c r="F1519" t="str">
        <f t="shared" si="26"/>
        <v>2018-05-20</v>
      </c>
      <c r="G1519">
        <v>30.58</v>
      </c>
      <c r="H1519" t="str">
        <f>"2018-04-11"</f>
        <v>2018-04-11</v>
      </c>
      <c r="I1519" t="s">
        <v>40</v>
      </c>
      <c r="J1519" t="str">
        <f>"2018-02-25"</f>
        <v>2018-02-25</v>
      </c>
      <c r="K1519" t="s">
        <v>26</v>
      </c>
      <c r="L1519">
        <v>-1.8605181500000001</v>
      </c>
      <c r="M1519">
        <v>1518</v>
      </c>
      <c r="N1519" s="1">
        <v>0.14149999999999999</v>
      </c>
      <c r="O1519" s="1">
        <v>-0.16309999999999999</v>
      </c>
      <c r="P1519" s="1">
        <v>0.1762</v>
      </c>
      <c r="Q1519" s="1">
        <v>4.1599999999999998E-2</v>
      </c>
      <c r="R1519" s="1">
        <v>0.1177</v>
      </c>
      <c r="S1519" s="1">
        <v>0.15479999999999999</v>
      </c>
      <c r="T1519" s="1">
        <v>2.69E-2</v>
      </c>
      <c r="U1519" s="1">
        <v>0.80410000000000004</v>
      </c>
    </row>
    <row r="1520" spans="1:21" x14ac:dyDescent="0.25">
      <c r="A1520" t="s">
        <v>3201</v>
      </c>
      <c r="B1520" t="s">
        <v>3202</v>
      </c>
      <c r="C1520" t="s">
        <v>43</v>
      </c>
      <c r="D1520" t="s">
        <v>169</v>
      </c>
      <c r="E1520" t="s">
        <v>641</v>
      </c>
      <c r="F1520" t="str">
        <f t="shared" si="26"/>
        <v>2018-05-20</v>
      </c>
      <c r="G1520">
        <v>26.01</v>
      </c>
      <c r="H1520" t="str">
        <f>"2018-02-05"</f>
        <v>2018-02-05</v>
      </c>
      <c r="I1520" t="s">
        <v>40</v>
      </c>
      <c r="J1520" t="str">
        <f>"2017-12-20"</f>
        <v>2017-12-20</v>
      </c>
      <c r="K1520" t="s">
        <v>26</v>
      </c>
      <c r="L1520">
        <v>-1.86172249</v>
      </c>
      <c r="M1520">
        <v>1519</v>
      </c>
      <c r="N1520" s="1">
        <v>6.1199999999999997E-2</v>
      </c>
      <c r="O1520" s="1">
        <v>-0.17030000000000001</v>
      </c>
      <c r="P1520" s="1">
        <v>0.32429999999999998</v>
      </c>
      <c r="Q1520" s="1">
        <v>1.01E-2</v>
      </c>
      <c r="R1520" s="1">
        <v>5.6899999999999999E-2</v>
      </c>
      <c r="S1520" s="1">
        <v>0.21879999999999999</v>
      </c>
      <c r="T1520" s="1">
        <v>0.20860000000000001</v>
      </c>
      <c r="U1520" s="1">
        <v>0.309</v>
      </c>
    </row>
    <row r="1521" spans="1:21" x14ac:dyDescent="0.25">
      <c r="A1521" t="s">
        <v>3203</v>
      </c>
      <c r="B1521" t="s">
        <v>3204</v>
      </c>
      <c r="C1521" t="s">
        <v>43</v>
      </c>
      <c r="D1521" t="s">
        <v>119</v>
      </c>
      <c r="E1521" t="s">
        <v>205</v>
      </c>
      <c r="F1521" t="str">
        <f t="shared" si="26"/>
        <v>2018-05-20</v>
      </c>
      <c r="G1521">
        <v>5.35</v>
      </c>
      <c r="H1521" t="str">
        <f>"2018-04-19"</f>
        <v>2018-04-19</v>
      </c>
      <c r="I1521" t="s">
        <v>40</v>
      </c>
      <c r="J1521" t="str">
        <f>"2017-03-14"</f>
        <v>2017-03-14</v>
      </c>
      <c r="K1521" t="s">
        <v>26</v>
      </c>
      <c r="L1521">
        <v>-1.86345074</v>
      </c>
      <c r="M1521">
        <v>1520</v>
      </c>
      <c r="N1521" s="1">
        <v>-3.0800000000000001E-2</v>
      </c>
      <c r="O1521" s="1">
        <v>-0.1807</v>
      </c>
      <c r="P1521" s="1">
        <v>0.1915</v>
      </c>
      <c r="Q1521" s="1">
        <v>9.4000000000000004E-3</v>
      </c>
      <c r="R1521" s="1">
        <v>-1.11E-2</v>
      </c>
      <c r="S1521" s="1">
        <v>-2.5499999999999998E-2</v>
      </c>
      <c r="T1521" s="1">
        <v>-9.6299999999999997E-2</v>
      </c>
      <c r="U1521" s="1">
        <v>-3.2500000000000001E-2</v>
      </c>
    </row>
    <row r="1522" spans="1:21" x14ac:dyDescent="0.25">
      <c r="A1522" t="s">
        <v>3205</v>
      </c>
      <c r="B1522" t="s">
        <v>3206</v>
      </c>
      <c r="C1522" t="s">
        <v>23</v>
      </c>
      <c r="D1522" t="s">
        <v>173</v>
      </c>
      <c r="E1522" t="s">
        <v>212</v>
      </c>
      <c r="F1522" t="str">
        <f t="shared" si="26"/>
        <v>2018-05-20</v>
      </c>
      <c r="G1522">
        <v>4.8</v>
      </c>
      <c r="H1522" t="str">
        <f>"2018-02-25"</f>
        <v>2018-02-25</v>
      </c>
      <c r="I1522" t="s">
        <v>40</v>
      </c>
      <c r="J1522" t="str">
        <f>"2017-08-02"</f>
        <v>2017-08-02</v>
      </c>
      <c r="K1522" t="s">
        <v>26</v>
      </c>
      <c r="L1522">
        <v>-1.8634812300000001</v>
      </c>
      <c r="M1522">
        <v>1521</v>
      </c>
      <c r="N1522" s="1">
        <v>8.5999999999999993E-2</v>
      </c>
      <c r="O1522" s="1">
        <v>-0.18090000000000001</v>
      </c>
      <c r="P1522" s="1">
        <v>0.14560000000000001</v>
      </c>
      <c r="Q1522" s="1">
        <v>-8.3000000000000001E-3</v>
      </c>
      <c r="R1522" s="1">
        <v>-5.7000000000000002E-2</v>
      </c>
      <c r="S1522" s="1">
        <v>2.1299999999999999E-2</v>
      </c>
      <c r="T1522" s="1">
        <v>0.106</v>
      </c>
      <c r="U1522" s="1">
        <v>0.44140000000000001</v>
      </c>
    </row>
    <row r="1523" spans="1:21" x14ac:dyDescent="0.25">
      <c r="A1523" t="s">
        <v>3207</v>
      </c>
      <c r="B1523" t="s">
        <v>3208</v>
      </c>
      <c r="C1523" t="s">
        <v>23</v>
      </c>
      <c r="D1523" t="s">
        <v>52</v>
      </c>
      <c r="E1523" t="s">
        <v>53</v>
      </c>
      <c r="F1523" t="str">
        <f t="shared" si="26"/>
        <v>2018-05-20</v>
      </c>
      <c r="G1523">
        <v>4.6500000000000004</v>
      </c>
      <c r="H1523" t="str">
        <f>"2018-03-21"</f>
        <v>2018-03-21</v>
      </c>
      <c r="I1523" t="s">
        <v>40</v>
      </c>
      <c r="J1523" t="str">
        <f>"2018-01-08"</f>
        <v>2018-01-08</v>
      </c>
      <c r="K1523" t="s">
        <v>26</v>
      </c>
      <c r="L1523">
        <v>-1.8642732</v>
      </c>
      <c r="M1523">
        <v>1522</v>
      </c>
      <c r="N1523" s="1">
        <v>0.21729999999999999</v>
      </c>
      <c r="O1523" s="1">
        <v>-0.18559999999999999</v>
      </c>
      <c r="P1523" s="1">
        <v>0.25340000000000001</v>
      </c>
      <c r="Q1523" s="1">
        <v>-6.4000000000000003E-3</v>
      </c>
      <c r="R1523" s="1">
        <v>8.6999999999999994E-3</v>
      </c>
      <c r="S1523" s="1">
        <v>-9.5299999999999996E-2</v>
      </c>
      <c r="T1523" s="1">
        <v>-9.3600000000000003E-2</v>
      </c>
      <c r="U1523" s="1">
        <v>-0.17699999999999999</v>
      </c>
    </row>
    <row r="1524" spans="1:21" x14ac:dyDescent="0.25">
      <c r="A1524" t="s">
        <v>3209</v>
      </c>
      <c r="B1524" t="s">
        <v>3210</v>
      </c>
      <c r="C1524" t="s">
        <v>43</v>
      </c>
      <c r="D1524" t="s">
        <v>119</v>
      </c>
      <c r="E1524" t="s">
        <v>205</v>
      </c>
      <c r="F1524" t="str">
        <f t="shared" si="26"/>
        <v>2018-05-20</v>
      </c>
      <c r="G1524">
        <v>18.059999999999999</v>
      </c>
      <c r="H1524" t="str">
        <f>"2018-04-03"</f>
        <v>2018-04-03</v>
      </c>
      <c r="I1524" t="s">
        <v>40</v>
      </c>
      <c r="J1524" t="str">
        <f>"2018-01-28"</f>
        <v>2018-01-28</v>
      </c>
      <c r="K1524" t="s">
        <v>26</v>
      </c>
      <c r="L1524">
        <v>-1.86598397</v>
      </c>
      <c r="M1524">
        <v>1523</v>
      </c>
      <c r="N1524" s="1">
        <v>0.28179999999999999</v>
      </c>
      <c r="O1524" s="1">
        <v>-0.19589999999999999</v>
      </c>
      <c r="P1524" s="1">
        <v>0.28179999999999999</v>
      </c>
      <c r="Q1524" s="1">
        <v>1.8599999999999998E-2</v>
      </c>
      <c r="R1524" s="1">
        <v>1.29E-2</v>
      </c>
      <c r="S1524" s="1">
        <v>-9.5200000000000007E-2</v>
      </c>
      <c r="T1524" s="1">
        <v>-0.19589999999999999</v>
      </c>
      <c r="U1524" s="1">
        <v>0.1183</v>
      </c>
    </row>
    <row r="1525" spans="1:21" x14ac:dyDescent="0.25">
      <c r="A1525" t="s">
        <v>3211</v>
      </c>
      <c r="B1525" t="s">
        <v>3212</v>
      </c>
      <c r="C1525" t="s">
        <v>43</v>
      </c>
      <c r="D1525" t="s">
        <v>193</v>
      </c>
      <c r="E1525" t="s">
        <v>239</v>
      </c>
      <c r="F1525" t="str">
        <f t="shared" si="26"/>
        <v>2018-05-20</v>
      </c>
      <c r="G1525">
        <v>62.15</v>
      </c>
      <c r="H1525" t="str">
        <f>"2018-04-09"</f>
        <v>2018-04-09</v>
      </c>
      <c r="I1525" t="s">
        <v>40</v>
      </c>
      <c r="J1525" t="str">
        <f>"2017-08-01"</f>
        <v>2017-08-01</v>
      </c>
      <c r="K1525" t="s">
        <v>26</v>
      </c>
      <c r="L1525">
        <v>-1.8665163199999999</v>
      </c>
      <c r="M1525">
        <v>1524</v>
      </c>
      <c r="N1525" s="1">
        <v>7.3400000000000007E-2</v>
      </c>
      <c r="O1525" s="1">
        <v>-0.1991</v>
      </c>
      <c r="P1525" s="1">
        <v>0.19400000000000001</v>
      </c>
      <c r="Q1525" s="1">
        <v>2.3999999999999998E-3</v>
      </c>
      <c r="R1525" s="1">
        <v>2.98E-2</v>
      </c>
      <c r="S1525" s="1">
        <v>8.1799999999999998E-2</v>
      </c>
      <c r="T1525" s="1">
        <v>-8.7999999999999995E-2</v>
      </c>
      <c r="U1525" s="1">
        <v>0.27489999999999998</v>
      </c>
    </row>
    <row r="1526" spans="1:21" x14ac:dyDescent="0.25">
      <c r="A1526" t="s">
        <v>3213</v>
      </c>
      <c r="B1526" t="s">
        <v>3214</v>
      </c>
      <c r="C1526" t="s">
        <v>43</v>
      </c>
      <c r="D1526" t="s">
        <v>150</v>
      </c>
      <c r="E1526" t="s">
        <v>151</v>
      </c>
      <c r="F1526" t="str">
        <f t="shared" si="26"/>
        <v>2018-05-20</v>
      </c>
      <c r="G1526">
        <v>75.22</v>
      </c>
      <c r="H1526" t="str">
        <f>"2018-05-01"</f>
        <v>2018-05-01</v>
      </c>
      <c r="I1526" t="s">
        <v>40</v>
      </c>
      <c r="J1526" t="str">
        <f>"2016-03-15"</f>
        <v>2016-03-15</v>
      </c>
      <c r="K1526" t="s">
        <v>26</v>
      </c>
      <c r="L1526">
        <v>-1.8670977799999999</v>
      </c>
      <c r="M1526">
        <v>1525</v>
      </c>
      <c r="N1526" s="1">
        <v>7.4999999999999997E-3</v>
      </c>
      <c r="O1526" s="1">
        <v>-0.2026</v>
      </c>
      <c r="P1526" s="1">
        <v>0.1195</v>
      </c>
      <c r="Q1526" s="1">
        <v>9.9000000000000008E-3</v>
      </c>
      <c r="R1526" s="1">
        <v>3.6499999999999998E-2</v>
      </c>
      <c r="S1526" s="1">
        <v>-5.3100000000000001E-2</v>
      </c>
      <c r="T1526" s="1">
        <v>-1.54E-2</v>
      </c>
      <c r="U1526" s="1">
        <v>0.11899999999999999</v>
      </c>
    </row>
    <row r="1527" spans="1:21" x14ac:dyDescent="0.25">
      <c r="A1527" t="s">
        <v>3215</v>
      </c>
      <c r="B1527" t="s">
        <v>3216</v>
      </c>
      <c r="C1527" t="s">
        <v>37</v>
      </c>
      <c r="D1527" t="s">
        <v>38</v>
      </c>
      <c r="E1527" t="s">
        <v>39</v>
      </c>
      <c r="F1527" t="str">
        <f t="shared" si="26"/>
        <v>2018-05-20</v>
      </c>
      <c r="G1527">
        <v>10.85</v>
      </c>
      <c r="H1527" t="str">
        <f>"2018-05-15"</f>
        <v>2018-05-15</v>
      </c>
      <c r="I1527" t="s">
        <v>40</v>
      </c>
      <c r="J1527" t="str">
        <f>"2017-09-07"</f>
        <v>2017-09-07</v>
      </c>
      <c r="K1527" t="s">
        <v>26</v>
      </c>
      <c r="L1527">
        <v>-1.8686758699999999</v>
      </c>
      <c r="M1527">
        <v>1526</v>
      </c>
      <c r="N1527" s="1">
        <v>0.1197</v>
      </c>
      <c r="O1527" s="1">
        <v>-0.21210000000000001</v>
      </c>
      <c r="P1527" s="1">
        <v>0.1845</v>
      </c>
      <c r="Q1527" s="1">
        <v>-8.9999999999999998E-4</v>
      </c>
      <c r="R1527" s="1">
        <v>0.1845</v>
      </c>
      <c r="S1527" s="1">
        <v>-3.73E-2</v>
      </c>
      <c r="T1527" s="1">
        <v>-0.1003</v>
      </c>
      <c r="U1527" s="1">
        <v>1.8704000000000001</v>
      </c>
    </row>
    <row r="1528" spans="1:21" x14ac:dyDescent="0.25">
      <c r="A1528" t="s">
        <v>3217</v>
      </c>
      <c r="B1528" t="s">
        <v>3218</v>
      </c>
      <c r="C1528" t="s">
        <v>23</v>
      </c>
      <c r="D1528" t="s">
        <v>173</v>
      </c>
      <c r="E1528" t="s">
        <v>174</v>
      </c>
      <c r="F1528" t="str">
        <f t="shared" si="26"/>
        <v>2018-05-20</v>
      </c>
      <c r="G1528">
        <v>16.87</v>
      </c>
      <c r="H1528" t="str">
        <f>"2018-05-15"</f>
        <v>2018-05-15</v>
      </c>
      <c r="I1528" t="s">
        <v>40</v>
      </c>
      <c r="J1528" t="str">
        <f>"2017-10-05"</f>
        <v>2017-10-05</v>
      </c>
      <c r="K1528" t="s">
        <v>26</v>
      </c>
      <c r="L1528">
        <v>-1.86952823</v>
      </c>
      <c r="M1528">
        <v>1527</v>
      </c>
      <c r="N1528" s="1">
        <v>2.18E-2</v>
      </c>
      <c r="O1528" s="1">
        <v>-0.2172</v>
      </c>
      <c r="P1528" s="1">
        <v>0.14299999999999999</v>
      </c>
      <c r="Q1528" s="1">
        <v>-2.0299999999999999E-2</v>
      </c>
      <c r="R1528" s="1">
        <v>6.0000000000000001E-3</v>
      </c>
      <c r="S1528" s="1">
        <v>-0.106</v>
      </c>
      <c r="T1528" s="1">
        <v>-0.13350000000000001</v>
      </c>
      <c r="U1528" s="1">
        <v>0.51300000000000001</v>
      </c>
    </row>
    <row r="1529" spans="1:21" x14ac:dyDescent="0.25">
      <c r="A1529" t="s">
        <v>3219</v>
      </c>
      <c r="B1529" t="s">
        <v>3220</v>
      </c>
      <c r="C1529" t="s">
        <v>30</v>
      </c>
      <c r="D1529" t="s">
        <v>31</v>
      </c>
      <c r="E1529" t="s">
        <v>31</v>
      </c>
      <c r="F1529" t="str">
        <f t="shared" si="26"/>
        <v>2018-05-20</v>
      </c>
      <c r="G1529">
        <v>22.5</v>
      </c>
      <c r="H1529" t="str">
        <f>"2018-02-04"</f>
        <v>2018-02-04</v>
      </c>
      <c r="I1529" t="s">
        <v>40</v>
      </c>
      <c r="J1529" t="str">
        <f>"2016-03-28"</f>
        <v>2016-03-28</v>
      </c>
      <c r="K1529" t="s">
        <v>26</v>
      </c>
      <c r="L1529">
        <v>-1.87179487</v>
      </c>
      <c r="M1529">
        <v>1528</v>
      </c>
      <c r="N1529" s="1">
        <v>2.7400000000000001E-2</v>
      </c>
      <c r="O1529" s="1">
        <v>-0.23080000000000001</v>
      </c>
      <c r="P1529" s="1">
        <v>0.16880000000000001</v>
      </c>
      <c r="Q1529" s="1">
        <v>4.4999999999999997E-3</v>
      </c>
      <c r="R1529" s="1">
        <v>2.9700000000000001E-2</v>
      </c>
      <c r="S1529" s="1">
        <v>0.1278</v>
      </c>
      <c r="T1529" s="1">
        <v>2.2000000000000001E-3</v>
      </c>
      <c r="U1529" s="1">
        <v>0.2</v>
      </c>
    </row>
    <row r="1530" spans="1:21" x14ac:dyDescent="0.25">
      <c r="A1530" t="s">
        <v>3221</v>
      </c>
      <c r="B1530" t="s">
        <v>3222</v>
      </c>
      <c r="C1530" t="s">
        <v>37</v>
      </c>
      <c r="D1530" t="s">
        <v>66</v>
      </c>
      <c r="E1530" t="s">
        <v>94</v>
      </c>
      <c r="F1530" t="str">
        <f t="shared" si="26"/>
        <v>2018-05-20</v>
      </c>
      <c r="G1530">
        <v>2.4500000000000002</v>
      </c>
      <c r="H1530" t="str">
        <f>"2018-03-27"</f>
        <v>2018-03-27</v>
      </c>
      <c r="I1530" t="s">
        <v>40</v>
      </c>
      <c r="J1530" t="str">
        <f>"2017-06-08"</f>
        <v>2017-06-08</v>
      </c>
      <c r="K1530" t="s">
        <v>26</v>
      </c>
      <c r="L1530">
        <v>-1.8743589700000001</v>
      </c>
      <c r="M1530">
        <v>1529</v>
      </c>
      <c r="N1530" s="1">
        <v>-3.5400000000000001E-2</v>
      </c>
      <c r="O1530" s="1">
        <v>-0.2462</v>
      </c>
      <c r="P1530" s="1">
        <v>0.28270000000000001</v>
      </c>
      <c r="Q1530" s="1">
        <v>-1.21E-2</v>
      </c>
      <c r="R1530" s="1">
        <v>8.2000000000000007E-3</v>
      </c>
      <c r="S1530" s="1">
        <v>-8.2400000000000001E-2</v>
      </c>
      <c r="T1530" s="1">
        <v>-0.20710000000000001</v>
      </c>
      <c r="U1530" s="1">
        <v>0.4244</v>
      </c>
    </row>
    <row r="1531" spans="1:21" x14ac:dyDescent="0.25">
      <c r="A1531" t="s">
        <v>3223</v>
      </c>
      <c r="B1531" t="s">
        <v>3224</v>
      </c>
      <c r="C1531" t="s">
        <v>30</v>
      </c>
      <c r="D1531" t="s">
        <v>48</v>
      </c>
      <c r="E1531" t="s">
        <v>387</v>
      </c>
      <c r="F1531" t="str">
        <f t="shared" si="26"/>
        <v>2018-05-20</v>
      </c>
      <c r="G1531">
        <v>9.6199999999999992</v>
      </c>
      <c r="H1531" t="str">
        <f>"2018-04-19"</f>
        <v>2018-04-19</v>
      </c>
      <c r="I1531" t="s">
        <v>40</v>
      </c>
      <c r="J1531" t="str">
        <f>"2016-12-04"</f>
        <v>2016-12-04</v>
      </c>
      <c r="K1531" t="s">
        <v>26</v>
      </c>
      <c r="L1531">
        <v>-1.8771392099999999</v>
      </c>
      <c r="M1531">
        <v>1530</v>
      </c>
      <c r="N1531" s="1">
        <v>-1.3299999999999999E-2</v>
      </c>
      <c r="O1531" s="1">
        <v>-0.26279999999999998</v>
      </c>
      <c r="P1531" s="1">
        <v>0.11210000000000001</v>
      </c>
      <c r="Q1531" s="1">
        <v>1.7999999999999999E-2</v>
      </c>
      <c r="R1531" s="1">
        <v>7.0099999999999996E-2</v>
      </c>
      <c r="S1531" s="1">
        <v>1.4800000000000001E-2</v>
      </c>
      <c r="T1531" s="1">
        <v>-0.14560000000000001</v>
      </c>
      <c r="U1531" s="1">
        <v>0.1439</v>
      </c>
    </row>
    <row r="1532" spans="1:21" x14ac:dyDescent="0.25">
      <c r="A1532" t="s">
        <v>3225</v>
      </c>
      <c r="B1532" t="s">
        <v>3226</v>
      </c>
      <c r="C1532" t="s">
        <v>37</v>
      </c>
      <c r="D1532" t="s">
        <v>38</v>
      </c>
      <c r="E1532" t="s">
        <v>39</v>
      </c>
      <c r="F1532" t="str">
        <f t="shared" si="26"/>
        <v>2018-05-20</v>
      </c>
      <c r="G1532">
        <v>30.89</v>
      </c>
      <c r="H1532" t="str">
        <f>"2018-02-20"</f>
        <v>2018-02-20</v>
      </c>
      <c r="I1532" t="s">
        <v>40</v>
      </c>
      <c r="J1532" t="str">
        <f>"2017-07-03"</f>
        <v>2017-07-03</v>
      </c>
      <c r="K1532" t="s">
        <v>26</v>
      </c>
      <c r="L1532">
        <v>-1.87928878</v>
      </c>
      <c r="M1532">
        <v>1531</v>
      </c>
      <c r="N1532" s="1">
        <v>0.17050000000000001</v>
      </c>
      <c r="O1532" s="1">
        <v>-0.2757</v>
      </c>
      <c r="P1532" s="1">
        <v>0.36620000000000003</v>
      </c>
      <c r="Q1532" s="1">
        <v>-3.1099999999999999E-2</v>
      </c>
      <c r="R1532" s="1">
        <v>-2.9499999999999998E-2</v>
      </c>
      <c r="S1532" s="1">
        <v>9.8100000000000007E-2</v>
      </c>
      <c r="T1532" s="1">
        <v>0.19040000000000001</v>
      </c>
      <c r="U1532" s="1">
        <v>0.95509999999999995</v>
      </c>
    </row>
    <row r="1533" spans="1:21" x14ac:dyDescent="0.25">
      <c r="A1533" t="s">
        <v>3227</v>
      </c>
      <c r="B1533" t="s">
        <v>3228</v>
      </c>
      <c r="C1533" t="s">
        <v>43</v>
      </c>
      <c r="D1533" t="s">
        <v>150</v>
      </c>
      <c r="E1533" t="s">
        <v>151</v>
      </c>
      <c r="F1533" t="str">
        <f t="shared" si="26"/>
        <v>2018-05-20</v>
      </c>
      <c r="G1533">
        <v>50.83</v>
      </c>
      <c r="H1533" t="str">
        <f>"2018-02-04"</f>
        <v>2018-02-04</v>
      </c>
      <c r="I1533" t="s">
        <v>40</v>
      </c>
      <c r="J1533" t="str">
        <f>"2016-10-02"</f>
        <v>2016-10-02</v>
      </c>
      <c r="K1533" t="s">
        <v>26</v>
      </c>
      <c r="L1533">
        <v>-1.87942404</v>
      </c>
      <c r="M1533">
        <v>1532</v>
      </c>
      <c r="N1533" s="1">
        <v>-0.1004</v>
      </c>
      <c r="O1533" s="1">
        <v>-0.27650000000000002</v>
      </c>
      <c r="P1533" s="1">
        <v>0.106</v>
      </c>
      <c r="Q1533" s="1">
        <v>1.66E-2</v>
      </c>
      <c r="R1533" s="1">
        <v>5.1900000000000002E-2</v>
      </c>
      <c r="S1533" s="1">
        <v>-4.9399999999999999E-2</v>
      </c>
      <c r="T1533" s="1">
        <v>-0.1178</v>
      </c>
      <c r="U1533" s="1">
        <v>0.2077</v>
      </c>
    </row>
    <row r="1534" spans="1:21" x14ac:dyDescent="0.25">
      <c r="A1534" t="s">
        <v>3229</v>
      </c>
      <c r="B1534" t="s">
        <v>3230</v>
      </c>
      <c r="C1534" t="s">
        <v>109</v>
      </c>
      <c r="D1534" t="s">
        <v>156</v>
      </c>
      <c r="E1534" t="s">
        <v>277</v>
      </c>
      <c r="F1534" t="str">
        <f t="shared" si="26"/>
        <v>2018-05-20</v>
      </c>
      <c r="G1534">
        <v>13.15</v>
      </c>
      <c r="H1534" t="str">
        <f>"2018-04-09"</f>
        <v>2018-04-09</v>
      </c>
      <c r="I1534" t="s">
        <v>40</v>
      </c>
      <c r="J1534" t="str">
        <f>"2016-06-27"</f>
        <v>2016-06-27</v>
      </c>
      <c r="K1534" t="s">
        <v>26</v>
      </c>
      <c r="L1534">
        <v>-1.8795787500000001</v>
      </c>
      <c r="M1534">
        <v>1533</v>
      </c>
      <c r="N1534" s="1">
        <v>3.8E-3</v>
      </c>
      <c r="O1534" s="1">
        <v>-0.27750000000000002</v>
      </c>
      <c r="P1534" s="1">
        <v>0.14849999999999999</v>
      </c>
      <c r="Q1534" s="1">
        <v>1.15E-2</v>
      </c>
      <c r="R1534" s="1">
        <v>-7.4999999999999997E-3</v>
      </c>
      <c r="S1534" s="1">
        <v>-5.7299999999999997E-2</v>
      </c>
      <c r="T1534" s="1">
        <v>-2.9499999999999998E-2</v>
      </c>
      <c r="U1534" s="1">
        <v>-4.0099999999999997E-2</v>
      </c>
    </row>
    <row r="1535" spans="1:21" x14ac:dyDescent="0.25">
      <c r="A1535" t="s">
        <v>3231</v>
      </c>
      <c r="B1535" t="s">
        <v>3232</v>
      </c>
      <c r="C1535" t="s">
        <v>43</v>
      </c>
      <c r="D1535" t="s">
        <v>193</v>
      </c>
      <c r="E1535" t="s">
        <v>194</v>
      </c>
      <c r="F1535" t="str">
        <f t="shared" si="26"/>
        <v>2018-05-20</v>
      </c>
      <c r="G1535">
        <v>12.97</v>
      </c>
      <c r="H1535" t="str">
        <f>"2018-03-22"</f>
        <v>2018-03-22</v>
      </c>
      <c r="I1535" t="s">
        <v>40</v>
      </c>
      <c r="J1535" t="str">
        <f>"2015-12-01"</f>
        <v>2015-12-01</v>
      </c>
      <c r="K1535" t="s">
        <v>26</v>
      </c>
      <c r="L1535">
        <v>-1.8797069200000001</v>
      </c>
      <c r="M1535">
        <v>1534</v>
      </c>
      <c r="N1535" s="1">
        <v>0.1076</v>
      </c>
      <c r="O1535" s="1">
        <v>-0.2782</v>
      </c>
      <c r="P1535" s="1">
        <v>0.19980000000000001</v>
      </c>
      <c r="Q1535" s="1">
        <v>0</v>
      </c>
      <c r="R1535" s="1">
        <v>2.3699999999999999E-2</v>
      </c>
      <c r="S1535" s="1">
        <v>0.10199999999999999</v>
      </c>
      <c r="T1535" s="1">
        <v>3.8399999999999997E-2</v>
      </c>
      <c r="U1535" s="1">
        <v>0.3075</v>
      </c>
    </row>
    <row r="1536" spans="1:21" x14ac:dyDescent="0.25">
      <c r="A1536" t="s">
        <v>3233</v>
      </c>
      <c r="B1536" t="s">
        <v>3234</v>
      </c>
      <c r="C1536" t="s">
        <v>23</v>
      </c>
      <c r="D1536" t="s">
        <v>173</v>
      </c>
      <c r="E1536" t="s">
        <v>1429</v>
      </c>
      <c r="F1536" t="str">
        <f t="shared" si="26"/>
        <v>2018-05-20</v>
      </c>
      <c r="G1536">
        <v>5.03</v>
      </c>
      <c r="H1536" t="str">
        <f>"2018-02-07"</f>
        <v>2018-02-07</v>
      </c>
      <c r="I1536" t="s">
        <v>40</v>
      </c>
      <c r="J1536" t="str">
        <f>"2017-11-28"</f>
        <v>2017-11-28</v>
      </c>
      <c r="K1536" t="s">
        <v>26</v>
      </c>
      <c r="L1536">
        <v>-1.8800667600000001</v>
      </c>
      <c r="M1536">
        <v>1535</v>
      </c>
      <c r="N1536" s="1">
        <v>4.1399999999999999E-2</v>
      </c>
      <c r="O1536" s="1">
        <v>-0.28039999999999998</v>
      </c>
      <c r="P1536" s="1">
        <v>0.17519999999999999</v>
      </c>
      <c r="Q1536" s="1">
        <v>0.01</v>
      </c>
      <c r="R1536" s="1">
        <v>-2E-3</v>
      </c>
      <c r="S1536" s="1">
        <v>8.1699999999999995E-2</v>
      </c>
      <c r="T1536" s="1">
        <v>3.2899999999999999E-2</v>
      </c>
      <c r="U1536" s="1">
        <v>-6.8500000000000005E-2</v>
      </c>
    </row>
    <row r="1537" spans="1:21" x14ac:dyDescent="0.25">
      <c r="A1537" t="s">
        <v>3235</v>
      </c>
      <c r="B1537" t="s">
        <v>3236</v>
      </c>
      <c r="C1537" t="s">
        <v>37</v>
      </c>
      <c r="D1537" t="s">
        <v>66</v>
      </c>
      <c r="E1537" t="s">
        <v>72</v>
      </c>
      <c r="F1537" t="str">
        <f t="shared" si="26"/>
        <v>2018-05-20</v>
      </c>
      <c r="G1537">
        <v>7.11</v>
      </c>
      <c r="H1537" t="str">
        <f>"2018-03-26"</f>
        <v>2018-03-26</v>
      </c>
      <c r="I1537" t="s">
        <v>40</v>
      </c>
      <c r="J1537" t="str">
        <f>"2017-02-02"</f>
        <v>2017-02-02</v>
      </c>
      <c r="K1537" t="s">
        <v>26</v>
      </c>
      <c r="L1537">
        <v>-1.8829051400000001</v>
      </c>
      <c r="M1537">
        <v>1536</v>
      </c>
      <c r="N1537" s="1">
        <v>0.1268</v>
      </c>
      <c r="O1537" s="1">
        <v>-0.2974</v>
      </c>
      <c r="P1537" s="1">
        <v>0.1449</v>
      </c>
      <c r="Q1537" s="1">
        <v>-1.3899999999999999E-2</v>
      </c>
      <c r="R1537" s="1">
        <v>3.3399999999999999E-2</v>
      </c>
      <c r="S1537" s="1">
        <v>-7.9000000000000001E-2</v>
      </c>
      <c r="T1537" s="1">
        <v>-0.16059999999999999</v>
      </c>
      <c r="U1537" s="1">
        <v>0.15049999999999999</v>
      </c>
    </row>
    <row r="1538" spans="1:21" x14ac:dyDescent="0.25">
      <c r="A1538" t="s">
        <v>3237</v>
      </c>
      <c r="B1538" t="s">
        <v>3238</v>
      </c>
      <c r="C1538" t="s">
        <v>43</v>
      </c>
      <c r="D1538" t="s">
        <v>119</v>
      </c>
      <c r="E1538" t="s">
        <v>120</v>
      </c>
      <c r="F1538" t="str">
        <f t="shared" si="26"/>
        <v>2018-05-20</v>
      </c>
      <c r="G1538">
        <v>24.71</v>
      </c>
      <c r="H1538" t="str">
        <f>"2018-01-30"</f>
        <v>2018-01-30</v>
      </c>
      <c r="I1538" t="s">
        <v>40</v>
      </c>
      <c r="J1538" t="str">
        <f>"2016-07-17"</f>
        <v>2016-07-17</v>
      </c>
      <c r="K1538" t="s">
        <v>26</v>
      </c>
      <c r="L1538">
        <v>-1.8848340800000001</v>
      </c>
      <c r="M1538">
        <v>1537</v>
      </c>
      <c r="N1538" s="1">
        <v>-0.13039999999999999</v>
      </c>
      <c r="O1538" s="1">
        <v>-0.309</v>
      </c>
      <c r="P1538" s="1">
        <v>0.18970000000000001</v>
      </c>
      <c r="Q1538" s="1">
        <v>1.77E-2</v>
      </c>
      <c r="R1538" s="1">
        <v>2.6200000000000001E-2</v>
      </c>
      <c r="S1538" s="1">
        <v>0.15629999999999999</v>
      </c>
      <c r="T1538" s="1">
        <v>-1.1599999999999999E-2</v>
      </c>
      <c r="U1538" s="1">
        <v>0.34949999999999998</v>
      </c>
    </row>
    <row r="1539" spans="1:21" x14ac:dyDescent="0.25">
      <c r="A1539" t="s">
        <v>3239</v>
      </c>
      <c r="B1539" t="s">
        <v>3240</v>
      </c>
      <c r="C1539" t="s">
        <v>114</v>
      </c>
      <c r="D1539" t="s">
        <v>254</v>
      </c>
      <c r="E1539" t="s">
        <v>3241</v>
      </c>
      <c r="F1539" t="str">
        <f t="shared" si="26"/>
        <v>2018-05-20</v>
      </c>
      <c r="G1539">
        <v>15.85</v>
      </c>
      <c r="H1539" t="str">
        <f>"2018-03-20"</f>
        <v>2018-03-20</v>
      </c>
      <c r="I1539" t="s">
        <v>40</v>
      </c>
      <c r="J1539" t="str">
        <f>"2017-05-02"</f>
        <v>2017-05-02</v>
      </c>
      <c r="K1539" t="s">
        <v>26</v>
      </c>
      <c r="L1539">
        <v>-1.8863799299999999</v>
      </c>
      <c r="M1539">
        <v>1538</v>
      </c>
      <c r="N1539" s="1">
        <v>0.23350000000000001</v>
      </c>
      <c r="O1539" s="1">
        <v>-0.31830000000000003</v>
      </c>
      <c r="P1539" s="1">
        <v>0.41520000000000001</v>
      </c>
      <c r="Q1539" s="1">
        <v>3.2599999999999997E-2</v>
      </c>
      <c r="R1539" s="1">
        <v>3.5900000000000001E-2</v>
      </c>
      <c r="S1539" s="1">
        <v>0.33760000000000001</v>
      </c>
      <c r="T1539" s="1">
        <v>1.2800000000000001E-2</v>
      </c>
      <c r="U1539" s="1">
        <v>0.94479999999999997</v>
      </c>
    </row>
    <row r="1540" spans="1:21" x14ac:dyDescent="0.25">
      <c r="A1540" t="s">
        <v>3242</v>
      </c>
      <c r="B1540" t="s">
        <v>3243</v>
      </c>
      <c r="C1540" t="s">
        <v>23</v>
      </c>
      <c r="D1540" t="s">
        <v>173</v>
      </c>
      <c r="E1540" t="s">
        <v>1429</v>
      </c>
      <c r="F1540" t="str">
        <f t="shared" si="26"/>
        <v>2018-05-20</v>
      </c>
      <c r="G1540">
        <v>11.15</v>
      </c>
      <c r="H1540" t="str">
        <f>"2018-03-08"</f>
        <v>2018-03-08</v>
      </c>
      <c r="I1540" t="s">
        <v>40</v>
      </c>
      <c r="J1540" t="str">
        <f>"2016-05-31"</f>
        <v>2016-05-31</v>
      </c>
      <c r="K1540" t="s">
        <v>26</v>
      </c>
      <c r="L1540">
        <v>-1.8877139999999999</v>
      </c>
      <c r="M1540">
        <v>1539</v>
      </c>
      <c r="N1540" s="1">
        <v>4.6899999999999997E-2</v>
      </c>
      <c r="O1540" s="1">
        <v>-0.32629999999999998</v>
      </c>
      <c r="P1540" s="1">
        <v>0.32740000000000002</v>
      </c>
      <c r="Q1540" s="1">
        <v>4.4999999999999997E-3</v>
      </c>
      <c r="R1540" s="1">
        <v>9.3100000000000002E-2</v>
      </c>
      <c r="S1540" s="1">
        <v>-2.1899999999999999E-2</v>
      </c>
      <c r="T1540" s="1">
        <v>-3.04E-2</v>
      </c>
      <c r="U1540" s="1">
        <v>0.26700000000000002</v>
      </c>
    </row>
    <row r="1541" spans="1:21" x14ac:dyDescent="0.25">
      <c r="A1541" t="s">
        <v>3244</v>
      </c>
      <c r="B1541" t="s">
        <v>3245</v>
      </c>
      <c r="C1541" t="s">
        <v>100</v>
      </c>
      <c r="D1541" t="s">
        <v>199</v>
      </c>
      <c r="E1541" t="s">
        <v>200</v>
      </c>
      <c r="F1541" t="str">
        <f t="shared" si="26"/>
        <v>2018-05-20</v>
      </c>
      <c r="G1541">
        <v>9.3000000000000007</v>
      </c>
      <c r="H1541" t="str">
        <f>"2018-02-12"</f>
        <v>2018-02-12</v>
      </c>
      <c r="I1541" t="s">
        <v>40</v>
      </c>
      <c r="J1541" t="str">
        <f>"2016-07-12"</f>
        <v>2016-07-12</v>
      </c>
      <c r="K1541" t="s">
        <v>26</v>
      </c>
      <c r="L1541">
        <v>-1.8990228</v>
      </c>
      <c r="M1541">
        <v>1540</v>
      </c>
      <c r="N1541" s="1">
        <v>3.3300000000000003E-2</v>
      </c>
      <c r="O1541" s="1">
        <v>-0.39410000000000001</v>
      </c>
      <c r="P1541" s="1">
        <v>0.2828</v>
      </c>
      <c r="Q1541" s="1">
        <v>-3.1300000000000001E-2</v>
      </c>
      <c r="R1541" s="1">
        <v>0.26529999999999998</v>
      </c>
      <c r="S1541" s="1">
        <v>0.1273</v>
      </c>
      <c r="T1541" s="1">
        <v>6.2899999999999998E-2</v>
      </c>
      <c r="U1541" s="1">
        <v>3.3300000000000003E-2</v>
      </c>
    </row>
    <row r="1542" spans="1:21" x14ac:dyDescent="0.25">
      <c r="A1542" t="s">
        <v>3246</v>
      </c>
      <c r="B1542" t="s">
        <v>3247</v>
      </c>
      <c r="C1542" t="s">
        <v>23</v>
      </c>
      <c r="D1542" t="s">
        <v>52</v>
      </c>
      <c r="E1542" t="s">
        <v>53</v>
      </c>
      <c r="F1542" t="str">
        <f t="shared" si="26"/>
        <v>2018-05-20</v>
      </c>
      <c r="G1542">
        <v>37.299999999999997</v>
      </c>
      <c r="H1542" t="str">
        <f>"2018-03-18"</f>
        <v>2018-03-18</v>
      </c>
      <c r="I1542" t="s">
        <v>40</v>
      </c>
      <c r="J1542" t="str">
        <f>"2017-08-09"</f>
        <v>2017-08-09</v>
      </c>
      <c r="K1542" t="s">
        <v>26</v>
      </c>
      <c r="L1542">
        <v>-1.92846183</v>
      </c>
      <c r="M1542">
        <v>1541</v>
      </c>
      <c r="N1542" s="1">
        <v>-0.18379999999999999</v>
      </c>
      <c r="O1542" s="1">
        <v>-0.57079999999999997</v>
      </c>
      <c r="P1542" s="1">
        <v>0.14949999999999999</v>
      </c>
      <c r="Q1542" s="1">
        <v>-1.5800000000000002E-2</v>
      </c>
      <c r="R1542" s="1">
        <v>-5.6899999999999999E-2</v>
      </c>
      <c r="S1542" s="1">
        <v>6.7000000000000002E-3</v>
      </c>
      <c r="T1542" s="1">
        <v>-0.42080000000000001</v>
      </c>
      <c r="U1542" s="1">
        <v>1.5287999999999999</v>
      </c>
    </row>
    <row r="1543" spans="1:21" x14ac:dyDescent="0.25">
      <c r="A1543" t="s">
        <v>3248</v>
      </c>
      <c r="B1543" t="s">
        <v>3249</v>
      </c>
      <c r="C1543" t="s">
        <v>114</v>
      </c>
      <c r="D1543" t="s">
        <v>809</v>
      </c>
      <c r="E1543" t="s">
        <v>1783</v>
      </c>
      <c r="F1543" t="str">
        <f t="shared" si="26"/>
        <v>2018-05-20</v>
      </c>
      <c r="G1543">
        <v>20.7</v>
      </c>
      <c r="H1543" t="str">
        <f>"2018-05-13"</f>
        <v>2018-05-13</v>
      </c>
      <c r="I1543" t="s">
        <v>57</v>
      </c>
      <c r="J1543" t="str">
        <f>"2017-12-31"</f>
        <v>2017-12-31</v>
      </c>
      <c r="K1543" t="s">
        <v>26</v>
      </c>
      <c r="L1543">
        <v>-2.8541842800000001</v>
      </c>
      <c r="M1543">
        <v>1542</v>
      </c>
      <c r="N1543" s="1">
        <v>4.07E-2</v>
      </c>
      <c r="O1543" s="1">
        <v>-0.12509999999999999</v>
      </c>
      <c r="P1543" s="1">
        <v>8.5500000000000007E-2</v>
      </c>
      <c r="Q1543" s="1">
        <v>6.7999999999999996E-3</v>
      </c>
      <c r="R1543" s="1">
        <v>5.1799999999999999E-2</v>
      </c>
      <c r="S1543" s="1">
        <v>3.3999999999999998E-3</v>
      </c>
      <c r="T1543" s="1">
        <v>-8.2000000000000003E-2</v>
      </c>
      <c r="U1543" s="1">
        <v>-8.0799999999999997E-2</v>
      </c>
    </row>
    <row r="1544" spans="1:21" x14ac:dyDescent="0.25">
      <c r="A1544" t="s">
        <v>3250</v>
      </c>
      <c r="B1544" t="s">
        <v>3251</v>
      </c>
      <c r="C1544" t="s">
        <v>30</v>
      </c>
      <c r="D1544" t="s">
        <v>347</v>
      </c>
      <c r="E1544" t="s">
        <v>523</v>
      </c>
      <c r="F1544" t="str">
        <f t="shared" si="26"/>
        <v>2018-05-20</v>
      </c>
      <c r="G1544">
        <v>16.37</v>
      </c>
      <c r="H1544" t="str">
        <f>"2018-05-20"</f>
        <v>2018-05-20</v>
      </c>
      <c r="I1544" t="s">
        <v>57</v>
      </c>
      <c r="J1544" t="str">
        <f>"2017-03-16"</f>
        <v>2017-03-16</v>
      </c>
      <c r="K1544" t="s">
        <v>34</v>
      </c>
      <c r="L1544">
        <v>-2.85433351</v>
      </c>
      <c r="M1544">
        <v>1543</v>
      </c>
      <c r="N1544" s="1">
        <v>-1.1999999999999999E-3</v>
      </c>
      <c r="O1544" s="1">
        <v>-0.126</v>
      </c>
      <c r="P1544" s="1">
        <v>3.2800000000000003E-2</v>
      </c>
      <c r="Q1544" s="1">
        <v>-1.1999999999999999E-3</v>
      </c>
      <c r="R1544" s="1">
        <v>5.9999999999999995E-4</v>
      </c>
      <c r="S1544" s="1">
        <v>-3.0000000000000001E-3</v>
      </c>
      <c r="T1544" s="1">
        <v>-1.8599999999999998E-2</v>
      </c>
      <c r="U1544" s="1">
        <v>-1.6799999999999999E-2</v>
      </c>
    </row>
    <row r="1545" spans="1:21" x14ac:dyDescent="0.25">
      <c r="A1545" t="s">
        <v>3252</v>
      </c>
      <c r="B1545" t="s">
        <v>3253</v>
      </c>
      <c r="C1545" t="s">
        <v>43</v>
      </c>
      <c r="D1545" t="s">
        <v>44</v>
      </c>
      <c r="E1545" t="s">
        <v>246</v>
      </c>
      <c r="F1545" t="str">
        <f t="shared" si="26"/>
        <v>2018-05-20</v>
      </c>
      <c r="G1545">
        <v>27.69</v>
      </c>
      <c r="H1545" t="str">
        <f>"2018-05-07"</f>
        <v>2018-05-07</v>
      </c>
      <c r="I1545" t="s">
        <v>57</v>
      </c>
      <c r="J1545" t="str">
        <f>"2017-12-06"</f>
        <v>2017-12-06</v>
      </c>
      <c r="K1545" t="s">
        <v>26</v>
      </c>
      <c r="L1545">
        <v>-2.8553291500000002</v>
      </c>
      <c r="M1545">
        <v>1544</v>
      </c>
      <c r="N1545" s="1">
        <v>-9.2999999999999992E-3</v>
      </c>
      <c r="O1545" s="1">
        <v>-0.13200000000000001</v>
      </c>
      <c r="P1545" s="1">
        <v>4.1000000000000002E-2</v>
      </c>
      <c r="Q1545" s="1">
        <v>8.3999999999999995E-3</v>
      </c>
      <c r="R1545" s="1">
        <v>3.0099999999999998E-2</v>
      </c>
      <c r="S1545" s="1">
        <v>-6.0699999999999997E-2</v>
      </c>
      <c r="T1545" s="1">
        <v>-9.4500000000000001E-2</v>
      </c>
      <c r="U1545" s="1">
        <v>-0.15939999999999999</v>
      </c>
    </row>
    <row r="1546" spans="1:21" x14ac:dyDescent="0.25">
      <c r="A1546" t="s">
        <v>3254</v>
      </c>
      <c r="B1546" t="s">
        <v>3255</v>
      </c>
      <c r="C1546" t="s">
        <v>30</v>
      </c>
      <c r="D1546" t="s">
        <v>31</v>
      </c>
      <c r="E1546" t="s">
        <v>31</v>
      </c>
      <c r="F1546" t="str">
        <f t="shared" si="26"/>
        <v>2018-05-20</v>
      </c>
      <c r="G1546">
        <v>17.3</v>
      </c>
      <c r="H1546" t="str">
        <f>"2018-01-21"</f>
        <v>2018-01-21</v>
      </c>
      <c r="I1546" t="s">
        <v>57</v>
      </c>
      <c r="J1546" t="str">
        <f>"2018-01-10"</f>
        <v>2018-01-10</v>
      </c>
      <c r="K1546" t="s">
        <v>40</v>
      </c>
      <c r="L1546">
        <v>-2.8554720100000002</v>
      </c>
      <c r="M1546">
        <v>1545</v>
      </c>
      <c r="N1546" s="1">
        <v>-2.81E-2</v>
      </c>
      <c r="O1546" s="1">
        <v>-0.1328</v>
      </c>
      <c r="P1546" s="1">
        <v>2.6700000000000002E-2</v>
      </c>
      <c r="Q1546" s="1">
        <v>-2.8999999999999998E-3</v>
      </c>
      <c r="R1546" s="1">
        <v>8.6999999999999994E-3</v>
      </c>
      <c r="S1546" s="1">
        <v>-1.14E-2</v>
      </c>
      <c r="T1546" s="1">
        <v>-2.2599999999999999E-2</v>
      </c>
      <c r="U1546" s="1">
        <v>-6.4899999999999999E-2</v>
      </c>
    </row>
    <row r="1547" spans="1:21" x14ac:dyDescent="0.25">
      <c r="A1547" t="s">
        <v>3256</v>
      </c>
      <c r="B1547" t="s">
        <v>3257</v>
      </c>
      <c r="C1547" t="s">
        <v>30</v>
      </c>
      <c r="D1547" t="s">
        <v>299</v>
      </c>
      <c r="E1547" t="s">
        <v>2120</v>
      </c>
      <c r="F1547" t="str">
        <f t="shared" si="26"/>
        <v>2018-05-20</v>
      </c>
      <c r="G1547">
        <v>16.16</v>
      </c>
      <c r="H1547" t="str">
        <f>"2018-04-18"</f>
        <v>2018-04-18</v>
      </c>
      <c r="I1547" t="s">
        <v>57</v>
      </c>
      <c r="J1547" t="str">
        <f>"2018-04-11"</f>
        <v>2018-04-11</v>
      </c>
      <c r="K1547" t="s">
        <v>40</v>
      </c>
      <c r="L1547">
        <v>-2.8555078699999998</v>
      </c>
      <c r="M1547">
        <v>1546</v>
      </c>
      <c r="N1547" s="1">
        <v>-3.7000000000000002E-3</v>
      </c>
      <c r="O1547" s="1">
        <v>-0.13300000000000001</v>
      </c>
      <c r="P1547" s="1">
        <v>5.4100000000000002E-2</v>
      </c>
      <c r="Q1547" s="1">
        <v>1.1900000000000001E-2</v>
      </c>
      <c r="R1547" s="1">
        <v>5.0000000000000001E-3</v>
      </c>
      <c r="S1547" s="1">
        <v>0</v>
      </c>
      <c r="T1547" s="1">
        <v>-5.9999999999999995E-4</v>
      </c>
      <c r="U1547" s="1">
        <v>1.44E-2</v>
      </c>
    </row>
    <row r="1548" spans="1:21" x14ac:dyDescent="0.25">
      <c r="A1548" t="s">
        <v>3258</v>
      </c>
      <c r="B1548" t="s">
        <v>3259</v>
      </c>
      <c r="C1548" t="s">
        <v>43</v>
      </c>
      <c r="D1548" t="s">
        <v>119</v>
      </c>
      <c r="E1548" t="s">
        <v>120</v>
      </c>
      <c r="F1548" t="str">
        <f t="shared" si="26"/>
        <v>2018-05-20</v>
      </c>
      <c r="G1548">
        <v>57.5</v>
      </c>
      <c r="H1548" t="str">
        <f>"2018-05-13"</f>
        <v>2018-05-13</v>
      </c>
      <c r="I1548" t="s">
        <v>57</v>
      </c>
      <c r="J1548" t="str">
        <f>"2018-05-02"</f>
        <v>2018-05-02</v>
      </c>
      <c r="K1548" t="s">
        <v>40</v>
      </c>
      <c r="L1548">
        <v>-2.8555639300000002</v>
      </c>
      <c r="M1548">
        <v>1547</v>
      </c>
      <c r="N1548" s="1">
        <v>2.9499999999999998E-2</v>
      </c>
      <c r="O1548" s="1">
        <v>-0.13339999999999999</v>
      </c>
      <c r="P1548" s="1">
        <v>3.9800000000000002E-2</v>
      </c>
      <c r="Q1548" s="1">
        <v>8.8000000000000005E-3</v>
      </c>
      <c r="R1548" s="1">
        <v>3.9800000000000002E-2</v>
      </c>
      <c r="S1548" s="1">
        <v>-2.0400000000000001E-2</v>
      </c>
      <c r="T1548" s="1">
        <v>-7.3300000000000004E-2</v>
      </c>
      <c r="U1548" s="1">
        <v>1.95E-2</v>
      </c>
    </row>
    <row r="1549" spans="1:21" x14ac:dyDescent="0.25">
      <c r="A1549" t="s">
        <v>3260</v>
      </c>
      <c r="B1549" t="s">
        <v>3261</v>
      </c>
      <c r="C1549" t="s">
        <v>518</v>
      </c>
      <c r="D1549" t="s">
        <v>519</v>
      </c>
      <c r="E1549" t="s">
        <v>1639</v>
      </c>
      <c r="F1549" t="str">
        <f t="shared" ref="F1549:F1612" si="27">"2018-05-20"</f>
        <v>2018-05-20</v>
      </c>
      <c r="G1549">
        <v>57.55</v>
      </c>
      <c r="H1549" t="str">
        <f>"2018-01-25"</f>
        <v>2018-01-25</v>
      </c>
      <c r="I1549" t="s">
        <v>57</v>
      </c>
      <c r="J1549" t="str">
        <f>"2018-01-02"</f>
        <v>2018-01-02</v>
      </c>
      <c r="K1549" t="s">
        <v>40</v>
      </c>
      <c r="L1549">
        <v>-2.8565195700000001</v>
      </c>
      <c r="M1549">
        <v>1548</v>
      </c>
      <c r="N1549" s="1">
        <v>-4.6399999999999997E-2</v>
      </c>
      <c r="O1549" s="1">
        <v>-0.1391</v>
      </c>
      <c r="P1549" s="1">
        <v>9.6199999999999994E-2</v>
      </c>
      <c r="Q1549" s="1">
        <v>6.1000000000000004E-3</v>
      </c>
      <c r="R1549" s="1">
        <v>6.1000000000000004E-3</v>
      </c>
      <c r="S1549" s="1">
        <v>0</v>
      </c>
      <c r="T1549" s="1">
        <v>4.07E-2</v>
      </c>
      <c r="U1549" s="1">
        <v>-9.5100000000000004E-2</v>
      </c>
    </row>
    <row r="1550" spans="1:21" x14ac:dyDescent="0.25">
      <c r="A1550" t="s">
        <v>3262</v>
      </c>
      <c r="B1550" t="s">
        <v>3263</v>
      </c>
      <c r="C1550" t="s">
        <v>87</v>
      </c>
      <c r="D1550" t="s">
        <v>144</v>
      </c>
      <c r="E1550" t="s">
        <v>145</v>
      </c>
      <c r="F1550" t="str">
        <f t="shared" si="27"/>
        <v>2018-05-20</v>
      </c>
      <c r="G1550">
        <v>6.84</v>
      </c>
      <c r="H1550" t="str">
        <f>"2018-05-10"</f>
        <v>2018-05-10</v>
      </c>
      <c r="I1550" t="s">
        <v>57</v>
      </c>
      <c r="J1550" t="str">
        <f>"2018-05-09"</f>
        <v>2018-05-09</v>
      </c>
      <c r="K1550" t="s">
        <v>27</v>
      </c>
      <c r="L1550">
        <v>-2.85660377</v>
      </c>
      <c r="M1550">
        <v>1549</v>
      </c>
      <c r="N1550" s="1">
        <v>8.3099999999999993E-2</v>
      </c>
      <c r="O1550" s="1">
        <v>-0.1396</v>
      </c>
      <c r="P1550" s="1">
        <v>8.3099999999999993E-2</v>
      </c>
      <c r="Q1550" s="1">
        <v>2.8999999999999998E-3</v>
      </c>
      <c r="R1550" s="1">
        <v>4.2700000000000002E-2</v>
      </c>
      <c r="S1550" s="1">
        <v>5.7200000000000001E-2</v>
      </c>
      <c r="T1550" s="1">
        <v>-0.122</v>
      </c>
      <c r="U1550" s="1">
        <v>-0.4078</v>
      </c>
    </row>
    <row r="1551" spans="1:21" x14ac:dyDescent="0.25">
      <c r="A1551" t="s">
        <v>3264</v>
      </c>
      <c r="B1551" t="s">
        <v>3265</v>
      </c>
      <c r="C1551" t="s">
        <v>109</v>
      </c>
      <c r="D1551" t="s">
        <v>156</v>
      </c>
      <c r="E1551" t="s">
        <v>277</v>
      </c>
      <c r="F1551" t="str">
        <f t="shared" si="27"/>
        <v>2018-05-20</v>
      </c>
      <c r="G1551">
        <v>5.56</v>
      </c>
      <c r="H1551" t="str">
        <f>"2018-05-03"</f>
        <v>2018-05-03</v>
      </c>
      <c r="I1551" t="s">
        <v>57</v>
      </c>
      <c r="J1551" t="str">
        <f>"2018-03-07"</f>
        <v>2018-03-07</v>
      </c>
      <c r="K1551" t="s">
        <v>26</v>
      </c>
      <c r="L1551">
        <v>-2.8569958799999999</v>
      </c>
      <c r="M1551">
        <v>1550</v>
      </c>
      <c r="N1551" s="1">
        <v>2.0199999999999999E-2</v>
      </c>
      <c r="O1551" s="1">
        <v>-0.14199999999999999</v>
      </c>
      <c r="P1551" s="1">
        <v>7.7499999999999999E-2</v>
      </c>
      <c r="Q1551" s="1">
        <v>-1.24E-2</v>
      </c>
      <c r="R1551" s="1">
        <v>1.09E-2</v>
      </c>
      <c r="S1551" s="1">
        <v>6.9199999999999998E-2</v>
      </c>
      <c r="T1551" s="1">
        <v>-8.1000000000000003E-2</v>
      </c>
      <c r="U1551" s="1">
        <v>-0.2</v>
      </c>
    </row>
    <row r="1552" spans="1:21" x14ac:dyDescent="0.25">
      <c r="A1552" t="s">
        <v>3266</v>
      </c>
      <c r="B1552" t="s">
        <v>3267</v>
      </c>
      <c r="C1552" t="s">
        <v>30</v>
      </c>
      <c r="D1552" t="s">
        <v>299</v>
      </c>
      <c r="E1552" t="s">
        <v>1087</v>
      </c>
      <c r="F1552" t="str">
        <f t="shared" si="27"/>
        <v>2018-05-20</v>
      </c>
      <c r="G1552">
        <v>117.41</v>
      </c>
      <c r="H1552" t="str">
        <f>"2018-03-11"</f>
        <v>2018-03-11</v>
      </c>
      <c r="I1552" t="s">
        <v>57</v>
      </c>
      <c r="J1552" t="str">
        <f>"2015-10-29"</f>
        <v>2015-10-29</v>
      </c>
      <c r="K1552" t="s">
        <v>26</v>
      </c>
      <c r="L1552">
        <v>-2.8576123600000001</v>
      </c>
      <c r="M1552">
        <v>1551</v>
      </c>
      <c r="N1552" s="1">
        <v>1.9699999999999999E-2</v>
      </c>
      <c r="O1552" s="1">
        <v>-0.1457</v>
      </c>
      <c r="P1552" s="1">
        <v>8.4099999999999994E-2</v>
      </c>
      <c r="Q1552" s="1">
        <v>1.01E-2</v>
      </c>
      <c r="R1552" s="1">
        <v>-2.8999999999999998E-3</v>
      </c>
      <c r="S1552" s="1">
        <v>1.8700000000000001E-2</v>
      </c>
      <c r="T1552" s="1">
        <v>3.9899999999999998E-2</v>
      </c>
      <c r="U1552" s="1">
        <v>-4.5600000000000002E-2</v>
      </c>
    </row>
    <row r="1553" spans="1:21" x14ac:dyDescent="0.25">
      <c r="A1553" t="s">
        <v>3268</v>
      </c>
      <c r="B1553" t="s">
        <v>3269</v>
      </c>
      <c r="C1553" t="s">
        <v>87</v>
      </c>
      <c r="D1553" t="s">
        <v>88</v>
      </c>
      <c r="E1553" t="s">
        <v>89</v>
      </c>
      <c r="F1553" t="str">
        <f t="shared" si="27"/>
        <v>2018-05-20</v>
      </c>
      <c r="G1553">
        <v>9.9700000000000006</v>
      </c>
      <c r="H1553" t="str">
        <f>"2018-03-27"</f>
        <v>2018-03-27</v>
      </c>
      <c r="I1553" t="s">
        <v>57</v>
      </c>
      <c r="J1553" t="str">
        <f>"2018-01-14"</f>
        <v>2018-01-14</v>
      </c>
      <c r="K1553" t="s">
        <v>26</v>
      </c>
      <c r="L1553">
        <v>-2.8580984900000002</v>
      </c>
      <c r="M1553">
        <v>1552</v>
      </c>
      <c r="N1553" s="1">
        <v>3.85E-2</v>
      </c>
      <c r="O1553" s="1">
        <v>-0.14860000000000001</v>
      </c>
      <c r="P1553" s="1">
        <v>9.5600000000000004E-2</v>
      </c>
      <c r="Q1553" s="1">
        <v>2.7799999999999998E-2</v>
      </c>
      <c r="R1553" s="1">
        <v>7.1999999999999995E-2</v>
      </c>
      <c r="S1553" s="1">
        <v>-6.3E-2</v>
      </c>
      <c r="T1553" s="1">
        <v>4.0000000000000001E-3</v>
      </c>
      <c r="U1553" s="1">
        <v>-0.2354</v>
      </c>
    </row>
    <row r="1554" spans="1:21" x14ac:dyDescent="0.25">
      <c r="A1554" t="s">
        <v>3270</v>
      </c>
      <c r="B1554" t="s">
        <v>3271</v>
      </c>
      <c r="C1554" t="s">
        <v>30</v>
      </c>
      <c r="D1554" t="s">
        <v>48</v>
      </c>
      <c r="E1554" t="s">
        <v>387</v>
      </c>
      <c r="F1554" t="str">
        <f t="shared" si="27"/>
        <v>2018-05-20</v>
      </c>
      <c r="G1554">
        <v>40.49</v>
      </c>
      <c r="H1554" t="str">
        <f>"2018-05-03"</f>
        <v>2018-05-03</v>
      </c>
      <c r="I1554" t="s">
        <v>57</v>
      </c>
      <c r="J1554" t="str">
        <f>"2017-05-08"</f>
        <v>2017-05-08</v>
      </c>
      <c r="K1554" t="s">
        <v>26</v>
      </c>
      <c r="L1554">
        <v>-2.85843647</v>
      </c>
      <c r="M1554">
        <v>1553</v>
      </c>
      <c r="N1554" s="1">
        <v>3.6299999999999999E-2</v>
      </c>
      <c r="O1554" s="1">
        <v>-0.15060000000000001</v>
      </c>
      <c r="P1554" s="1">
        <v>5.6399999999999999E-2</v>
      </c>
      <c r="Q1554" s="1">
        <v>6.1999999999999998E-3</v>
      </c>
      <c r="R1554" s="1">
        <v>2.3E-2</v>
      </c>
      <c r="S1554" s="1">
        <v>2.92E-2</v>
      </c>
      <c r="T1554" s="1">
        <v>-1.9099999999999999E-2</v>
      </c>
      <c r="U1554" s="1">
        <v>3.7900000000000003E-2</v>
      </c>
    </row>
    <row r="1555" spans="1:21" x14ac:dyDescent="0.25">
      <c r="A1555" t="s">
        <v>3272</v>
      </c>
      <c r="B1555" t="s">
        <v>3273</v>
      </c>
      <c r="C1555" t="s">
        <v>30</v>
      </c>
      <c r="D1555" t="s">
        <v>31</v>
      </c>
      <c r="E1555" t="s">
        <v>31</v>
      </c>
      <c r="F1555" t="str">
        <f t="shared" si="27"/>
        <v>2018-05-20</v>
      </c>
      <c r="G1555">
        <v>17.420000000000002</v>
      </c>
      <c r="H1555" t="str">
        <f>"2018-04-15"</f>
        <v>2018-04-15</v>
      </c>
      <c r="I1555" t="s">
        <v>57</v>
      </c>
      <c r="J1555" t="str">
        <f>"2014-12-17"</f>
        <v>2014-12-17</v>
      </c>
      <c r="K1555" t="s">
        <v>26</v>
      </c>
      <c r="L1555">
        <v>-2.85892452</v>
      </c>
      <c r="M1555">
        <v>1554</v>
      </c>
      <c r="N1555" s="1">
        <v>9.9000000000000008E-3</v>
      </c>
      <c r="O1555" s="1">
        <v>-0.1535</v>
      </c>
      <c r="P1555" s="1">
        <v>3.2000000000000001E-2</v>
      </c>
      <c r="Q1555" s="1">
        <v>-1.6999999999999999E-3</v>
      </c>
      <c r="R1555" s="1">
        <v>1.5699999999999999E-2</v>
      </c>
      <c r="S1555" s="1">
        <v>1.8100000000000002E-2</v>
      </c>
      <c r="T1555" s="1">
        <v>8.0999999999999996E-3</v>
      </c>
      <c r="U1555" s="1">
        <v>0</v>
      </c>
    </row>
    <row r="1556" spans="1:21" x14ac:dyDescent="0.25">
      <c r="A1556" t="s">
        <v>3274</v>
      </c>
      <c r="B1556" t="s">
        <v>3275</v>
      </c>
      <c r="C1556" t="s">
        <v>30</v>
      </c>
      <c r="D1556" t="s">
        <v>299</v>
      </c>
      <c r="E1556" t="s">
        <v>2120</v>
      </c>
      <c r="F1556" t="str">
        <f t="shared" si="27"/>
        <v>2018-05-20</v>
      </c>
      <c r="G1556">
        <v>10.72</v>
      </c>
      <c r="H1556" t="str">
        <f>"2017-10-26"</f>
        <v>2017-10-26</v>
      </c>
      <c r="I1556" t="s">
        <v>57</v>
      </c>
      <c r="J1556" t="str">
        <f>"2017-08-09"</f>
        <v>2017-08-09</v>
      </c>
      <c r="K1556" t="s">
        <v>40</v>
      </c>
      <c r="L1556">
        <v>-2.85920672</v>
      </c>
      <c r="M1556">
        <v>1555</v>
      </c>
      <c r="N1556" s="1">
        <v>-8.77E-2</v>
      </c>
      <c r="O1556" s="1">
        <v>-0.1552</v>
      </c>
      <c r="P1556" s="1">
        <v>8.1699999999999995E-2</v>
      </c>
      <c r="Q1556" s="1">
        <v>4.7000000000000002E-3</v>
      </c>
      <c r="R1556" s="1">
        <v>-9.1999999999999998E-3</v>
      </c>
      <c r="S1556" s="1">
        <v>7.4099999999999999E-2</v>
      </c>
      <c r="T1556" s="1">
        <v>4.7000000000000002E-3</v>
      </c>
      <c r="U1556" s="1">
        <v>-0.1191</v>
      </c>
    </row>
    <row r="1557" spans="1:21" x14ac:dyDescent="0.25">
      <c r="A1557" t="s">
        <v>3276</v>
      </c>
      <c r="B1557" t="s">
        <v>3277</v>
      </c>
      <c r="C1557" t="s">
        <v>30</v>
      </c>
      <c r="D1557" t="s">
        <v>299</v>
      </c>
      <c r="E1557" t="s">
        <v>2289</v>
      </c>
      <c r="F1557" t="str">
        <f t="shared" si="27"/>
        <v>2018-05-20</v>
      </c>
      <c r="G1557">
        <v>17.38</v>
      </c>
      <c r="H1557" t="str">
        <f>"2017-08-03"</f>
        <v>2017-08-03</v>
      </c>
      <c r="I1557" t="s">
        <v>57</v>
      </c>
      <c r="J1557" t="str">
        <f>"2017-07-26"</f>
        <v>2017-07-26</v>
      </c>
      <c r="K1557" t="s">
        <v>27</v>
      </c>
      <c r="L1557">
        <v>-2.8593168200000001</v>
      </c>
      <c r="M1557">
        <v>1556</v>
      </c>
      <c r="N1557" s="1">
        <v>-0.1353</v>
      </c>
      <c r="O1557" s="1">
        <v>-0.15590000000000001</v>
      </c>
      <c r="P1557" s="1">
        <v>6.5600000000000006E-2</v>
      </c>
      <c r="Q1557" s="1">
        <v>1.2800000000000001E-2</v>
      </c>
      <c r="R1557" s="1">
        <v>1.5800000000000002E-2</v>
      </c>
      <c r="S1557" s="1">
        <v>5.91E-2</v>
      </c>
      <c r="T1557" s="1">
        <v>-1.1900000000000001E-2</v>
      </c>
      <c r="U1557" s="1">
        <v>-0.1173</v>
      </c>
    </row>
    <row r="1558" spans="1:21" x14ac:dyDescent="0.25">
      <c r="A1558" t="s">
        <v>3278</v>
      </c>
      <c r="B1558" t="s">
        <v>3279</v>
      </c>
      <c r="C1558" t="s">
        <v>114</v>
      </c>
      <c r="D1558" t="s">
        <v>115</v>
      </c>
      <c r="E1558" t="s">
        <v>116</v>
      </c>
      <c r="F1558" t="str">
        <f t="shared" si="27"/>
        <v>2018-05-20</v>
      </c>
      <c r="G1558">
        <v>29.25</v>
      </c>
      <c r="H1558" t="str">
        <f>"2018-04-16"</f>
        <v>2018-04-16</v>
      </c>
      <c r="I1558" t="s">
        <v>57</v>
      </c>
      <c r="J1558" t="str">
        <f>"2018-02-18"</f>
        <v>2018-02-18</v>
      </c>
      <c r="K1558" t="s">
        <v>40</v>
      </c>
      <c r="L1558">
        <v>-2.8599137899999998</v>
      </c>
      <c r="M1558">
        <v>1557</v>
      </c>
      <c r="N1558" s="1">
        <v>-1.6999999999999999E-3</v>
      </c>
      <c r="O1558" s="1">
        <v>-0.1595</v>
      </c>
      <c r="P1558" s="1">
        <v>7.9299999999999995E-2</v>
      </c>
      <c r="Q1558" s="1">
        <v>6.5600000000000006E-2</v>
      </c>
      <c r="R1558" s="1">
        <v>3.7199999999999997E-2</v>
      </c>
      <c r="S1558" s="1">
        <v>1.5599999999999999E-2</v>
      </c>
      <c r="T1558" s="1">
        <v>-3.78E-2</v>
      </c>
      <c r="U1558" s="1">
        <v>-0.1522</v>
      </c>
    </row>
    <row r="1559" spans="1:21" x14ac:dyDescent="0.25">
      <c r="A1559" t="s">
        <v>3280</v>
      </c>
      <c r="B1559" t="s">
        <v>3281</v>
      </c>
      <c r="C1559" t="s">
        <v>30</v>
      </c>
      <c r="D1559" t="s">
        <v>299</v>
      </c>
      <c r="E1559" t="s">
        <v>300</v>
      </c>
      <c r="F1559" t="str">
        <f t="shared" si="27"/>
        <v>2018-05-20</v>
      </c>
      <c r="G1559">
        <v>22.3</v>
      </c>
      <c r="H1559" t="str">
        <f>"2018-03-26"</f>
        <v>2018-03-26</v>
      </c>
      <c r="I1559" t="s">
        <v>57</v>
      </c>
      <c r="J1559" t="str">
        <f>"2018-02-05"</f>
        <v>2018-02-05</v>
      </c>
      <c r="K1559" t="s">
        <v>40</v>
      </c>
      <c r="L1559">
        <v>-2.8605378400000001</v>
      </c>
      <c r="M1559">
        <v>1558</v>
      </c>
      <c r="N1559" s="1">
        <v>2.2000000000000001E-3</v>
      </c>
      <c r="O1559" s="1">
        <v>-0.16320000000000001</v>
      </c>
      <c r="P1559" s="1">
        <v>4.5499999999999999E-2</v>
      </c>
      <c r="Q1559" s="1">
        <v>1.09E-2</v>
      </c>
      <c r="R1559" s="1">
        <v>-9.2999999999999992E-3</v>
      </c>
      <c r="S1559" s="1">
        <v>4.1000000000000003E-3</v>
      </c>
      <c r="T1559" s="1">
        <v>3.15E-2</v>
      </c>
      <c r="U1559" s="1">
        <v>-7.8100000000000003E-2</v>
      </c>
    </row>
    <row r="1560" spans="1:21" x14ac:dyDescent="0.25">
      <c r="A1560" t="s">
        <v>3282</v>
      </c>
      <c r="B1560" t="s">
        <v>3283</v>
      </c>
      <c r="C1560" t="s">
        <v>43</v>
      </c>
      <c r="D1560" t="s">
        <v>150</v>
      </c>
      <c r="E1560" t="s">
        <v>408</v>
      </c>
      <c r="F1560" t="str">
        <f t="shared" si="27"/>
        <v>2018-05-20</v>
      </c>
      <c r="G1560">
        <v>15.35</v>
      </c>
      <c r="H1560" t="str">
        <f>"2018-05-21"</f>
        <v>2018-05-21</v>
      </c>
      <c r="I1560" t="s">
        <v>57</v>
      </c>
      <c r="J1560" t="str">
        <f>"2017-03-08"</f>
        <v>2017-03-08</v>
      </c>
      <c r="K1560" t="s">
        <v>26</v>
      </c>
      <c r="L1560">
        <v>-2.86096014</v>
      </c>
      <c r="M1560">
        <v>1559</v>
      </c>
      <c r="N1560" s="1">
        <v>0</v>
      </c>
      <c r="O1560" s="1">
        <v>-0.1658</v>
      </c>
      <c r="P1560" s="1">
        <v>6.6E-3</v>
      </c>
      <c r="Q1560" s="1">
        <v>-1.29E-2</v>
      </c>
      <c r="R1560" s="1">
        <v>-6.4999999999999997E-3</v>
      </c>
      <c r="S1560" s="1">
        <v>-4.9500000000000002E-2</v>
      </c>
      <c r="T1560" s="1">
        <v>-6.6900000000000001E-2</v>
      </c>
      <c r="U1560" s="1">
        <v>-3.7600000000000001E-2</v>
      </c>
    </row>
    <row r="1561" spans="1:21" x14ac:dyDescent="0.25">
      <c r="A1561" t="s">
        <v>3284</v>
      </c>
      <c r="B1561" t="s">
        <v>3285</v>
      </c>
      <c r="C1561" t="s">
        <v>518</v>
      </c>
      <c r="D1561" t="s">
        <v>519</v>
      </c>
      <c r="E1561" t="s">
        <v>1639</v>
      </c>
      <c r="F1561" t="str">
        <f t="shared" si="27"/>
        <v>2018-05-20</v>
      </c>
      <c r="G1561">
        <v>53.47</v>
      </c>
      <c r="H1561" t="str">
        <f>"2018-02-13"</f>
        <v>2018-02-13</v>
      </c>
      <c r="I1561" t="s">
        <v>57</v>
      </c>
      <c r="J1561" t="str">
        <f>"2017-11-14"</f>
        <v>2017-11-14</v>
      </c>
      <c r="K1561" t="s">
        <v>26</v>
      </c>
      <c r="L1561">
        <v>-2.8613186000000002</v>
      </c>
      <c r="M1561">
        <v>1560</v>
      </c>
      <c r="N1561" s="1">
        <v>3.1800000000000002E-2</v>
      </c>
      <c r="O1561" s="1">
        <v>-0.16789999999999999</v>
      </c>
      <c r="P1561" s="1">
        <v>6.2399999999999997E-2</v>
      </c>
      <c r="Q1561" s="1">
        <v>4.8999999999999998E-3</v>
      </c>
      <c r="R1561" s="1">
        <v>-4.0000000000000002E-4</v>
      </c>
      <c r="S1561" s="1">
        <v>-1.0500000000000001E-2</v>
      </c>
      <c r="T1561" s="1">
        <v>3.3399999999999999E-2</v>
      </c>
      <c r="U1561" s="1">
        <v>-0.11650000000000001</v>
      </c>
    </row>
    <row r="1562" spans="1:21" x14ac:dyDescent="0.25">
      <c r="A1562" t="s">
        <v>3286</v>
      </c>
      <c r="B1562" t="s">
        <v>3287</v>
      </c>
      <c r="C1562" t="s">
        <v>43</v>
      </c>
      <c r="D1562" t="s">
        <v>119</v>
      </c>
      <c r="E1562" t="s">
        <v>205</v>
      </c>
      <c r="F1562" t="str">
        <f t="shared" si="27"/>
        <v>2018-05-20</v>
      </c>
      <c r="G1562">
        <v>43.05</v>
      </c>
      <c r="H1562" t="str">
        <f>"2018-03-18"</f>
        <v>2018-03-18</v>
      </c>
      <c r="I1562" t="s">
        <v>57</v>
      </c>
      <c r="J1562" t="str">
        <f>"2017-12-24"</f>
        <v>2017-12-24</v>
      </c>
      <c r="K1562" t="s">
        <v>27</v>
      </c>
      <c r="L1562">
        <v>-2.8613526600000001</v>
      </c>
      <c r="M1562">
        <v>1561</v>
      </c>
      <c r="N1562" s="1">
        <v>-3.2599999999999997E-2</v>
      </c>
      <c r="O1562" s="1">
        <v>-0.1681</v>
      </c>
      <c r="P1562" s="1">
        <v>8.7099999999999997E-2</v>
      </c>
      <c r="Q1562" s="1">
        <v>2.5000000000000001E-2</v>
      </c>
      <c r="R1562" s="1">
        <v>-4.4400000000000002E-2</v>
      </c>
      <c r="S1562" s="1">
        <v>-6.2100000000000002E-2</v>
      </c>
      <c r="T1562" s="1">
        <v>1.1999999999999999E-3</v>
      </c>
      <c r="U1562" s="1">
        <v>-0.21149999999999999</v>
      </c>
    </row>
    <row r="1563" spans="1:21" x14ac:dyDescent="0.25">
      <c r="A1563" t="s">
        <v>3288</v>
      </c>
      <c r="B1563" t="s">
        <v>3289</v>
      </c>
      <c r="C1563" t="s">
        <v>30</v>
      </c>
      <c r="D1563" t="s">
        <v>299</v>
      </c>
      <c r="E1563" t="s">
        <v>2120</v>
      </c>
      <c r="F1563" t="str">
        <f t="shared" si="27"/>
        <v>2018-05-20</v>
      </c>
      <c r="G1563">
        <v>22.85</v>
      </c>
      <c r="H1563" t="str">
        <f>"2018-03-19"</f>
        <v>2018-03-19</v>
      </c>
      <c r="I1563" t="s">
        <v>57</v>
      </c>
      <c r="J1563" t="str">
        <f>"2018-02-08"</f>
        <v>2018-02-08</v>
      </c>
      <c r="K1563" t="s">
        <v>40</v>
      </c>
      <c r="L1563">
        <v>-2.8614143599999999</v>
      </c>
      <c r="M1563">
        <v>1562</v>
      </c>
      <c r="N1563" s="1">
        <v>7.4999999999999997E-3</v>
      </c>
      <c r="O1563" s="1">
        <v>-0.16850000000000001</v>
      </c>
      <c r="P1563" s="1">
        <v>6.6799999999999998E-2</v>
      </c>
      <c r="Q1563" s="1">
        <v>7.1000000000000004E-3</v>
      </c>
      <c r="R1563" s="1">
        <v>9.7000000000000003E-3</v>
      </c>
      <c r="S1563" s="1">
        <v>5.7000000000000002E-3</v>
      </c>
      <c r="T1563" s="1">
        <v>5.3E-3</v>
      </c>
      <c r="U1563" s="1">
        <v>-9.9299999999999999E-2</v>
      </c>
    </row>
    <row r="1564" spans="1:21" x14ac:dyDescent="0.25">
      <c r="A1564" t="s">
        <v>3290</v>
      </c>
      <c r="B1564" t="s">
        <v>3291</v>
      </c>
      <c r="C1564" t="s">
        <v>30</v>
      </c>
      <c r="D1564" t="s">
        <v>31</v>
      </c>
      <c r="E1564" t="s">
        <v>31</v>
      </c>
      <c r="F1564" t="str">
        <f t="shared" si="27"/>
        <v>2018-05-20</v>
      </c>
      <c r="G1564">
        <v>15.7</v>
      </c>
      <c r="H1564" t="str">
        <f>"2018-02-12"</f>
        <v>2018-02-12</v>
      </c>
      <c r="I1564" t="s">
        <v>57</v>
      </c>
      <c r="J1564" t="str">
        <f>"2016-12-04"</f>
        <v>2016-12-04</v>
      </c>
      <c r="K1564" t="s">
        <v>26</v>
      </c>
      <c r="L1564">
        <v>-2.8615520299999999</v>
      </c>
      <c r="M1564">
        <v>1563</v>
      </c>
      <c r="N1564" s="1">
        <v>-1.26E-2</v>
      </c>
      <c r="O1564" s="1">
        <v>-0.16930000000000001</v>
      </c>
      <c r="P1564" s="1">
        <v>4.3200000000000002E-2</v>
      </c>
      <c r="Q1564" s="1">
        <v>0</v>
      </c>
      <c r="R1564" s="1">
        <v>3.6299999999999999E-2</v>
      </c>
      <c r="S1564" s="1">
        <v>1.6199999999999999E-2</v>
      </c>
      <c r="T1564" s="1">
        <v>-2.7900000000000001E-2</v>
      </c>
      <c r="U1564" s="1">
        <v>-5.1400000000000001E-2</v>
      </c>
    </row>
    <row r="1565" spans="1:21" x14ac:dyDescent="0.25">
      <c r="A1565" t="s">
        <v>3292</v>
      </c>
      <c r="B1565" t="s">
        <v>3293</v>
      </c>
      <c r="C1565" t="s">
        <v>30</v>
      </c>
      <c r="D1565" t="s">
        <v>31</v>
      </c>
      <c r="E1565" t="s">
        <v>31</v>
      </c>
      <c r="F1565" t="str">
        <f t="shared" si="27"/>
        <v>2018-05-20</v>
      </c>
      <c r="G1565">
        <v>31.2</v>
      </c>
      <c r="H1565" t="str">
        <f>"2018-03-12"</f>
        <v>2018-03-12</v>
      </c>
      <c r="I1565" t="s">
        <v>57</v>
      </c>
      <c r="J1565" t="str">
        <f>"2018-01-02"</f>
        <v>2018-01-02</v>
      </c>
      <c r="K1565" t="s">
        <v>40</v>
      </c>
      <c r="L1565">
        <v>-2.8617021299999998</v>
      </c>
      <c r="M1565">
        <v>1564</v>
      </c>
      <c r="N1565" s="1">
        <v>-6.0199999999999997E-2</v>
      </c>
      <c r="O1565" s="1">
        <v>-0.17019999999999999</v>
      </c>
      <c r="P1565" s="1">
        <v>2.7300000000000001E-2</v>
      </c>
      <c r="Q1565" s="1">
        <v>2.2599999999999999E-2</v>
      </c>
      <c r="R1565" s="1">
        <v>2.63E-2</v>
      </c>
      <c r="S1565" s="1">
        <v>-0.04</v>
      </c>
      <c r="T1565" s="1">
        <v>-4.1799999999999997E-2</v>
      </c>
      <c r="U1565" s="1">
        <v>-7.7499999999999999E-2</v>
      </c>
    </row>
    <row r="1566" spans="1:21" x14ac:dyDescent="0.25">
      <c r="A1566" t="s">
        <v>3294</v>
      </c>
      <c r="B1566" t="s">
        <v>3295</v>
      </c>
      <c r="C1566" t="s">
        <v>30</v>
      </c>
      <c r="D1566" t="s">
        <v>347</v>
      </c>
      <c r="E1566" t="s">
        <v>523</v>
      </c>
      <c r="F1566" t="str">
        <f t="shared" si="27"/>
        <v>2018-05-20</v>
      </c>
      <c r="G1566">
        <v>25.77</v>
      </c>
      <c r="H1566" t="str">
        <f>"2018-03-27"</f>
        <v>2018-03-27</v>
      </c>
      <c r="I1566" t="s">
        <v>57</v>
      </c>
      <c r="J1566" t="str">
        <f>"2018-02-21"</f>
        <v>2018-02-21</v>
      </c>
      <c r="K1566" t="s">
        <v>40</v>
      </c>
      <c r="L1566">
        <v>-2.8617192500000002</v>
      </c>
      <c r="M1566">
        <v>1565</v>
      </c>
      <c r="N1566" s="1">
        <v>-3.6999999999999998E-2</v>
      </c>
      <c r="O1566" s="1">
        <v>-0.17030000000000001</v>
      </c>
      <c r="P1566" s="1">
        <v>2.8299999999999999E-2</v>
      </c>
      <c r="Q1566" s="1">
        <v>1.7000000000000001E-2</v>
      </c>
      <c r="R1566" s="1">
        <v>2.5899999999999999E-2</v>
      </c>
      <c r="S1566" s="1">
        <v>-1.4500000000000001E-2</v>
      </c>
      <c r="T1566" s="1">
        <v>-3.5900000000000001E-2</v>
      </c>
      <c r="U1566" s="1">
        <v>-3.4099999999999998E-2</v>
      </c>
    </row>
    <row r="1567" spans="1:21" x14ac:dyDescent="0.25">
      <c r="A1567" t="s">
        <v>3296</v>
      </c>
      <c r="B1567" t="s">
        <v>3297</v>
      </c>
      <c r="C1567" t="s">
        <v>114</v>
      </c>
      <c r="D1567" t="s">
        <v>268</v>
      </c>
      <c r="E1567" t="s">
        <v>268</v>
      </c>
      <c r="F1567" t="str">
        <f t="shared" si="27"/>
        <v>2018-05-20</v>
      </c>
      <c r="G1567">
        <v>19.09</v>
      </c>
      <c r="H1567" t="str">
        <f>"2018-04-19"</f>
        <v>2018-04-19</v>
      </c>
      <c r="I1567" t="s">
        <v>57</v>
      </c>
      <c r="J1567" t="str">
        <f>"2018-04-09"</f>
        <v>2018-04-09</v>
      </c>
      <c r="K1567" t="s">
        <v>40</v>
      </c>
      <c r="L1567">
        <v>-2.8617868500000001</v>
      </c>
      <c r="M1567">
        <v>1566</v>
      </c>
      <c r="N1567" s="1">
        <v>-3.8800000000000001E-2</v>
      </c>
      <c r="O1567" s="1">
        <v>-0.17069999999999999</v>
      </c>
      <c r="P1567" s="1">
        <v>1.38E-2</v>
      </c>
      <c r="Q1567" s="1">
        <v>1.6000000000000001E-3</v>
      </c>
      <c r="R1567" s="1">
        <v>-5.7000000000000002E-3</v>
      </c>
      <c r="S1567" s="1">
        <v>5.0000000000000001E-4</v>
      </c>
      <c r="T1567" s="1">
        <v>-7.1499999999999994E-2</v>
      </c>
      <c r="U1567" s="1">
        <v>-5.7599999999999998E-2</v>
      </c>
    </row>
    <row r="1568" spans="1:21" x14ac:dyDescent="0.25">
      <c r="A1568" t="s">
        <v>3298</v>
      </c>
      <c r="B1568" t="s">
        <v>3299</v>
      </c>
      <c r="C1568" t="s">
        <v>30</v>
      </c>
      <c r="D1568" t="s">
        <v>482</v>
      </c>
      <c r="E1568" t="s">
        <v>482</v>
      </c>
      <c r="F1568" t="str">
        <f t="shared" si="27"/>
        <v>2018-05-20</v>
      </c>
      <c r="G1568">
        <v>304.61</v>
      </c>
      <c r="H1568" t="str">
        <f>"2018-05-03"</f>
        <v>2018-05-03</v>
      </c>
      <c r="I1568" t="s">
        <v>57</v>
      </c>
      <c r="J1568" t="str">
        <f>"2016-11-15"</f>
        <v>2016-11-15</v>
      </c>
      <c r="K1568" t="s">
        <v>26</v>
      </c>
      <c r="L1568">
        <v>-2.86189246</v>
      </c>
      <c r="M1568">
        <v>1567</v>
      </c>
      <c r="N1568" s="1">
        <v>-1.9099999999999999E-2</v>
      </c>
      <c r="O1568" s="1">
        <v>-0.1714</v>
      </c>
      <c r="P1568" s="1">
        <v>4.5400000000000003E-2</v>
      </c>
      <c r="Q1568" s="1">
        <v>2.3E-3</v>
      </c>
      <c r="R1568" s="1">
        <v>4.5400000000000003E-2</v>
      </c>
      <c r="S1568" s="1">
        <v>-5.3999999999999999E-2</v>
      </c>
      <c r="T1568" s="1">
        <v>-5.0000000000000001E-4</v>
      </c>
      <c r="U1568" s="1">
        <v>-4.0000000000000002E-4</v>
      </c>
    </row>
    <row r="1569" spans="1:21" x14ac:dyDescent="0.25">
      <c r="A1569" t="s">
        <v>3300</v>
      </c>
      <c r="B1569" t="s">
        <v>3301</v>
      </c>
      <c r="C1569" t="s">
        <v>30</v>
      </c>
      <c r="D1569" t="s">
        <v>31</v>
      </c>
      <c r="E1569" t="s">
        <v>31</v>
      </c>
      <c r="F1569" t="str">
        <f t="shared" si="27"/>
        <v>2018-05-20</v>
      </c>
      <c r="G1569">
        <v>19.100000000000001</v>
      </c>
      <c r="H1569" t="str">
        <f>"2018-04-16"</f>
        <v>2018-04-16</v>
      </c>
      <c r="I1569" t="s">
        <v>57</v>
      </c>
      <c r="J1569" t="str">
        <f>"2018-04-11"</f>
        <v>2018-04-11</v>
      </c>
      <c r="K1569" t="s">
        <v>40</v>
      </c>
      <c r="L1569">
        <v>-2.86189443</v>
      </c>
      <c r="M1569">
        <v>1568</v>
      </c>
      <c r="N1569" s="1">
        <v>3.5200000000000002E-2</v>
      </c>
      <c r="O1569" s="1">
        <v>-0.1714</v>
      </c>
      <c r="P1569" s="1">
        <v>5.2299999999999999E-2</v>
      </c>
      <c r="Q1569" s="1">
        <v>1.8700000000000001E-2</v>
      </c>
      <c r="R1569" s="1">
        <v>2.1399999999999999E-2</v>
      </c>
      <c r="S1569" s="1">
        <v>2.5999999999999999E-3</v>
      </c>
      <c r="T1569" s="1">
        <v>-8.1699999999999995E-2</v>
      </c>
      <c r="U1569" s="1">
        <v>-6.3700000000000007E-2</v>
      </c>
    </row>
    <row r="1570" spans="1:21" x14ac:dyDescent="0.25">
      <c r="A1570" t="s">
        <v>3302</v>
      </c>
      <c r="B1570" t="s">
        <v>3303</v>
      </c>
      <c r="C1570" t="s">
        <v>83</v>
      </c>
      <c r="D1570" t="s">
        <v>84</v>
      </c>
      <c r="E1570" t="s">
        <v>84</v>
      </c>
      <c r="F1570" t="str">
        <f t="shared" si="27"/>
        <v>2018-05-20</v>
      </c>
      <c r="G1570">
        <v>15.2</v>
      </c>
      <c r="H1570" t="str">
        <f>"2018-02-07"</f>
        <v>2018-02-07</v>
      </c>
      <c r="I1570" t="s">
        <v>57</v>
      </c>
      <c r="J1570" t="str">
        <f>"2017-10-29"</f>
        <v>2017-10-29</v>
      </c>
      <c r="K1570" t="s">
        <v>27</v>
      </c>
      <c r="L1570">
        <v>-2.8626919599999998</v>
      </c>
      <c r="M1570">
        <v>1569</v>
      </c>
      <c r="N1570" s="1">
        <v>6.2899999999999998E-2</v>
      </c>
      <c r="O1570" s="1">
        <v>-0.1762</v>
      </c>
      <c r="P1570" s="1">
        <v>9.35E-2</v>
      </c>
      <c r="Q1570" s="1">
        <v>3.3E-3</v>
      </c>
      <c r="R1570" s="1">
        <v>5.9200000000000003E-2</v>
      </c>
      <c r="S1570" s="1">
        <v>3.3E-3</v>
      </c>
      <c r="T1570" s="1">
        <v>0.01</v>
      </c>
      <c r="U1570" s="1">
        <v>-0.1137</v>
      </c>
    </row>
    <row r="1571" spans="1:21" x14ac:dyDescent="0.25">
      <c r="A1571" t="s">
        <v>3304</v>
      </c>
      <c r="B1571" t="s">
        <v>3305</v>
      </c>
      <c r="C1571" t="s">
        <v>100</v>
      </c>
      <c r="D1571" t="s">
        <v>199</v>
      </c>
      <c r="E1571" t="s">
        <v>200</v>
      </c>
      <c r="F1571" t="str">
        <f t="shared" si="27"/>
        <v>2018-05-20</v>
      </c>
      <c r="G1571">
        <v>68.61</v>
      </c>
      <c r="H1571" t="str">
        <f>"2017-10-30"</f>
        <v>2017-10-30</v>
      </c>
      <c r="I1571" t="s">
        <v>57</v>
      </c>
      <c r="J1571" t="str">
        <f>"2017-07-31"</f>
        <v>2017-07-31</v>
      </c>
      <c r="K1571" t="s">
        <v>40</v>
      </c>
      <c r="L1571">
        <v>-2.8628074400000001</v>
      </c>
      <c r="M1571">
        <v>1570</v>
      </c>
      <c r="N1571" s="1">
        <v>-9.3100000000000002E-2</v>
      </c>
      <c r="O1571" s="1">
        <v>-0.17680000000000001</v>
      </c>
      <c r="P1571" s="1">
        <v>3.2000000000000001E-2</v>
      </c>
      <c r="Q1571" s="1">
        <v>-3.0999999999999999E-3</v>
      </c>
      <c r="R1571" s="1">
        <v>2.5000000000000001E-3</v>
      </c>
      <c r="S1571" s="1">
        <v>-2E-3</v>
      </c>
      <c r="T1571" s="1">
        <v>-6.7900000000000002E-2</v>
      </c>
      <c r="U1571" s="1">
        <v>-0.14430000000000001</v>
      </c>
    </row>
    <row r="1572" spans="1:21" x14ac:dyDescent="0.25">
      <c r="A1572" t="s">
        <v>3306</v>
      </c>
      <c r="B1572" t="s">
        <v>3307</v>
      </c>
      <c r="C1572" t="s">
        <v>43</v>
      </c>
      <c r="D1572" t="s">
        <v>44</v>
      </c>
      <c r="E1572" t="s">
        <v>246</v>
      </c>
      <c r="F1572" t="str">
        <f t="shared" si="27"/>
        <v>2018-05-20</v>
      </c>
      <c r="G1572">
        <v>19.37</v>
      </c>
      <c r="H1572" t="str">
        <f>"2018-03-29"</f>
        <v>2018-03-29</v>
      </c>
      <c r="I1572" t="s">
        <v>57</v>
      </c>
      <c r="J1572" t="str">
        <f>"2017-12-05"</f>
        <v>2017-12-05</v>
      </c>
      <c r="K1572" t="s">
        <v>26</v>
      </c>
      <c r="L1572">
        <v>-2.8633220399999999</v>
      </c>
      <c r="M1572">
        <v>1571</v>
      </c>
      <c r="N1572" s="1">
        <v>2.2700000000000001E-2</v>
      </c>
      <c r="O1572" s="1">
        <v>-0.1799</v>
      </c>
      <c r="P1572" s="1">
        <v>6.4899999999999999E-2</v>
      </c>
      <c r="Q1572" s="1">
        <v>7.3000000000000001E-3</v>
      </c>
      <c r="R1572" s="1">
        <v>5.04E-2</v>
      </c>
      <c r="S1572" s="1">
        <v>-4.4400000000000002E-2</v>
      </c>
      <c r="T1572" s="1">
        <v>-3.44E-2</v>
      </c>
      <c r="U1572" s="1">
        <v>-8.8900000000000007E-2</v>
      </c>
    </row>
    <row r="1573" spans="1:21" x14ac:dyDescent="0.25">
      <c r="A1573" t="s">
        <v>3308</v>
      </c>
      <c r="B1573" t="s">
        <v>3309</v>
      </c>
      <c r="C1573" t="s">
        <v>30</v>
      </c>
      <c r="D1573" t="s">
        <v>482</v>
      </c>
      <c r="E1573" t="s">
        <v>482</v>
      </c>
      <c r="F1573" t="str">
        <f t="shared" si="27"/>
        <v>2018-05-20</v>
      </c>
      <c r="G1573">
        <v>40.85</v>
      </c>
      <c r="H1573" t="str">
        <f>"2018-04-26"</f>
        <v>2018-04-26</v>
      </c>
      <c r="I1573" t="s">
        <v>57</v>
      </c>
      <c r="J1573" t="str">
        <f>"2015-10-29"</f>
        <v>2015-10-29</v>
      </c>
      <c r="K1573" t="s">
        <v>26</v>
      </c>
      <c r="L1573">
        <v>-2.8638333299999998</v>
      </c>
      <c r="M1573">
        <v>1572</v>
      </c>
      <c r="N1573" s="1">
        <v>-8.5000000000000006E-3</v>
      </c>
      <c r="O1573" s="1">
        <v>-0.183</v>
      </c>
      <c r="P1573" s="1">
        <v>5.28E-2</v>
      </c>
      <c r="Q1573" s="1">
        <v>4.8999999999999998E-3</v>
      </c>
      <c r="R1573" s="1">
        <v>3.5499999999999997E-2</v>
      </c>
      <c r="S1573" s="1">
        <v>-1.5699999999999999E-2</v>
      </c>
      <c r="T1573" s="1">
        <v>-1.9199999999999998E-2</v>
      </c>
      <c r="U1573" s="1">
        <v>1.7399999999999999E-2</v>
      </c>
    </row>
    <row r="1574" spans="1:21" x14ac:dyDescent="0.25">
      <c r="A1574" t="s">
        <v>3310</v>
      </c>
      <c r="B1574" t="s">
        <v>3311</v>
      </c>
      <c r="C1574" t="s">
        <v>87</v>
      </c>
      <c r="D1574" t="s">
        <v>88</v>
      </c>
      <c r="E1574" t="s">
        <v>89</v>
      </c>
      <c r="F1574" t="str">
        <f t="shared" si="27"/>
        <v>2018-05-20</v>
      </c>
      <c r="G1574">
        <v>100.6</v>
      </c>
      <c r="H1574" t="str">
        <f>"2018-01-18"</f>
        <v>2018-01-18</v>
      </c>
      <c r="I1574" t="s">
        <v>57</v>
      </c>
      <c r="J1574" t="str">
        <f>"2017-11-08"</f>
        <v>2017-11-08</v>
      </c>
      <c r="K1574" t="s">
        <v>26</v>
      </c>
      <c r="L1574">
        <v>-2.8644022100000002</v>
      </c>
      <c r="M1574">
        <v>1573</v>
      </c>
      <c r="N1574" s="1">
        <v>-9.3700000000000006E-2</v>
      </c>
      <c r="O1574" s="1">
        <v>-0.18640000000000001</v>
      </c>
      <c r="P1574" s="1">
        <v>3.0700000000000002E-2</v>
      </c>
      <c r="Q1574" s="1">
        <v>3.0000000000000001E-3</v>
      </c>
      <c r="R1574" s="1">
        <v>2.6499999999999999E-2</v>
      </c>
      <c r="S1574" s="1">
        <v>-7.2400000000000006E-2</v>
      </c>
      <c r="T1574" s="1">
        <v>-5.5E-2</v>
      </c>
      <c r="U1574" s="1">
        <v>-9.98E-2</v>
      </c>
    </row>
    <row r="1575" spans="1:21" x14ac:dyDescent="0.25">
      <c r="A1575" t="s">
        <v>3312</v>
      </c>
      <c r="B1575" t="s">
        <v>3313</v>
      </c>
      <c r="C1575" t="s">
        <v>83</v>
      </c>
      <c r="D1575" t="s">
        <v>84</v>
      </c>
      <c r="E1575" t="s">
        <v>84</v>
      </c>
      <c r="F1575" t="str">
        <f t="shared" si="27"/>
        <v>2018-05-20</v>
      </c>
      <c r="G1575">
        <v>9.67</v>
      </c>
      <c r="H1575" t="str">
        <f>"2018-04-22"</f>
        <v>2018-04-22</v>
      </c>
      <c r="I1575" t="s">
        <v>57</v>
      </c>
      <c r="J1575" t="str">
        <f>"2018-01-22"</f>
        <v>2018-01-22</v>
      </c>
      <c r="K1575" t="s">
        <v>26</v>
      </c>
      <c r="L1575">
        <v>-2.86467954</v>
      </c>
      <c r="M1575">
        <v>1574</v>
      </c>
      <c r="N1575" s="1">
        <v>4.0899999999999999E-2</v>
      </c>
      <c r="O1575" s="1">
        <v>-0.18809999999999999</v>
      </c>
      <c r="P1575" s="1">
        <v>9.2700000000000005E-2</v>
      </c>
      <c r="Q1575" s="1">
        <v>1.47E-2</v>
      </c>
      <c r="R1575" s="1">
        <v>2.76E-2</v>
      </c>
      <c r="S1575" s="1">
        <v>4.65E-2</v>
      </c>
      <c r="T1575" s="1">
        <v>-0.1079</v>
      </c>
      <c r="U1575" s="1">
        <v>2.0999999999999999E-3</v>
      </c>
    </row>
    <row r="1576" spans="1:21" x14ac:dyDescent="0.25">
      <c r="A1576" t="s">
        <v>3314</v>
      </c>
      <c r="B1576" t="s">
        <v>3315</v>
      </c>
      <c r="C1576" t="s">
        <v>37</v>
      </c>
      <c r="D1576" t="s">
        <v>38</v>
      </c>
      <c r="E1576" t="s">
        <v>39</v>
      </c>
      <c r="F1576" t="str">
        <f t="shared" si="27"/>
        <v>2018-05-20</v>
      </c>
      <c r="G1576">
        <v>11.7</v>
      </c>
      <c r="H1576" t="str">
        <f>"2018-04-08"</f>
        <v>2018-04-08</v>
      </c>
      <c r="I1576" t="s">
        <v>57</v>
      </c>
      <c r="J1576" t="str">
        <f>"2018-03-07"</f>
        <v>2018-03-07</v>
      </c>
      <c r="K1576" t="s">
        <v>26</v>
      </c>
      <c r="L1576">
        <v>-2.86514523</v>
      </c>
      <c r="M1576">
        <v>1575</v>
      </c>
      <c r="N1576" s="1">
        <v>-1.6E-2</v>
      </c>
      <c r="O1576" s="1">
        <v>-0.19089999999999999</v>
      </c>
      <c r="P1576" s="1">
        <v>0</v>
      </c>
      <c r="Q1576" s="1">
        <v>-4.5699999999999998E-2</v>
      </c>
      <c r="R1576" s="1">
        <v>-7.5800000000000006E-2</v>
      </c>
      <c r="S1576" s="1">
        <v>-5.3400000000000003E-2</v>
      </c>
      <c r="T1576" s="1">
        <v>-0.17610000000000001</v>
      </c>
      <c r="U1576" s="1">
        <v>-0.33479999999999999</v>
      </c>
    </row>
    <row r="1577" spans="1:21" x14ac:dyDescent="0.25">
      <c r="A1577" t="s">
        <v>3316</v>
      </c>
      <c r="B1577" t="s">
        <v>3317</v>
      </c>
      <c r="C1577" t="s">
        <v>30</v>
      </c>
      <c r="D1577" t="s">
        <v>31</v>
      </c>
      <c r="E1577" t="s">
        <v>31</v>
      </c>
      <c r="F1577" t="str">
        <f t="shared" si="27"/>
        <v>2018-05-20</v>
      </c>
      <c r="G1577">
        <v>18.75</v>
      </c>
      <c r="H1577" t="str">
        <f>"2018-05-02"</f>
        <v>2018-05-02</v>
      </c>
      <c r="I1577" t="s">
        <v>57</v>
      </c>
      <c r="J1577" t="str">
        <f>"2017-09-14"</f>
        <v>2017-09-14</v>
      </c>
      <c r="K1577" t="s">
        <v>26</v>
      </c>
      <c r="L1577">
        <v>-2.8653017200000002</v>
      </c>
      <c r="M1577">
        <v>1576</v>
      </c>
      <c r="N1577" s="1">
        <v>3.5900000000000001E-2</v>
      </c>
      <c r="O1577" s="1">
        <v>-0.1918</v>
      </c>
      <c r="P1577" s="1">
        <v>6.8400000000000002E-2</v>
      </c>
      <c r="Q1577" s="1">
        <v>3.0200000000000001E-2</v>
      </c>
      <c r="R1577" s="1">
        <v>6.8400000000000002E-2</v>
      </c>
      <c r="S1577" s="1">
        <v>-2.5999999999999999E-2</v>
      </c>
      <c r="T1577" s="1">
        <v>5.4000000000000003E-3</v>
      </c>
      <c r="U1577" s="1">
        <v>-1.83E-2</v>
      </c>
    </row>
    <row r="1578" spans="1:21" x14ac:dyDescent="0.25">
      <c r="A1578" t="s">
        <v>3318</v>
      </c>
      <c r="B1578" t="s">
        <v>3319</v>
      </c>
      <c r="C1578" t="s">
        <v>43</v>
      </c>
      <c r="D1578" t="s">
        <v>150</v>
      </c>
      <c r="E1578" t="s">
        <v>408</v>
      </c>
      <c r="F1578" t="str">
        <f t="shared" si="27"/>
        <v>2018-05-20</v>
      </c>
      <c r="G1578">
        <v>21.14</v>
      </c>
      <c r="H1578" t="str">
        <f>"2018-05-06"</f>
        <v>2018-05-06</v>
      </c>
      <c r="I1578" t="s">
        <v>57</v>
      </c>
      <c r="J1578" t="str">
        <f>"2016-03-24"</f>
        <v>2016-03-24</v>
      </c>
      <c r="K1578" t="s">
        <v>26</v>
      </c>
      <c r="L1578">
        <v>-2.8657266300000002</v>
      </c>
      <c r="M1578">
        <v>1577</v>
      </c>
      <c r="N1578" s="1">
        <v>7.6899999999999996E-2</v>
      </c>
      <c r="O1578" s="1">
        <v>-0.19439999999999999</v>
      </c>
      <c r="P1578" s="1">
        <v>8.3000000000000004E-2</v>
      </c>
      <c r="Q1578" s="1">
        <v>2.1700000000000001E-2</v>
      </c>
      <c r="R1578" s="1">
        <v>4.4999999999999998E-2</v>
      </c>
      <c r="S1578" s="1">
        <v>-1.17E-2</v>
      </c>
      <c r="T1578" s="1">
        <v>-8.1699999999999995E-2</v>
      </c>
      <c r="U1578" s="1">
        <v>-8.9999999999999998E-4</v>
      </c>
    </row>
    <row r="1579" spans="1:21" x14ac:dyDescent="0.25">
      <c r="A1579" t="s">
        <v>3320</v>
      </c>
      <c r="B1579" t="s">
        <v>3321</v>
      </c>
      <c r="C1579" t="s">
        <v>518</v>
      </c>
      <c r="D1579" t="s">
        <v>519</v>
      </c>
      <c r="E1579" t="s">
        <v>1639</v>
      </c>
      <c r="F1579" t="str">
        <f t="shared" si="27"/>
        <v>2018-05-20</v>
      </c>
      <c r="G1579">
        <v>40.049999999999997</v>
      </c>
      <c r="H1579" t="str">
        <f>"2018-02-15"</f>
        <v>2018-02-15</v>
      </c>
      <c r="I1579" t="s">
        <v>57</v>
      </c>
      <c r="J1579" t="str">
        <f>"2018-01-29"</f>
        <v>2018-01-29</v>
      </c>
      <c r="K1579" t="s">
        <v>40</v>
      </c>
      <c r="L1579">
        <v>-2.8657481900000001</v>
      </c>
      <c r="M1579">
        <v>1578</v>
      </c>
      <c r="N1579" s="1">
        <v>-2.2200000000000001E-2</v>
      </c>
      <c r="O1579" s="1">
        <v>-0.19450000000000001</v>
      </c>
      <c r="P1579" s="1">
        <v>2.4E-2</v>
      </c>
      <c r="Q1579" s="1">
        <v>6.7999999999999996E-3</v>
      </c>
      <c r="R1579" s="1">
        <v>-1.7899999999999999E-2</v>
      </c>
      <c r="S1579" s="1">
        <v>-7.1999999999999998E-3</v>
      </c>
      <c r="T1579" s="1">
        <v>-1.4E-2</v>
      </c>
      <c r="U1579" s="1">
        <v>-0.12670000000000001</v>
      </c>
    </row>
    <row r="1580" spans="1:21" x14ac:dyDescent="0.25">
      <c r="A1580" t="s">
        <v>3322</v>
      </c>
      <c r="B1580" t="s">
        <v>3323</v>
      </c>
      <c r="C1580" t="s">
        <v>30</v>
      </c>
      <c r="D1580" t="s">
        <v>299</v>
      </c>
      <c r="E1580" t="s">
        <v>300</v>
      </c>
      <c r="F1580" t="str">
        <f t="shared" si="27"/>
        <v>2018-05-20</v>
      </c>
      <c r="G1580">
        <v>10.29</v>
      </c>
      <c r="H1580" t="str">
        <f>"2018-01-24"</f>
        <v>2018-01-24</v>
      </c>
      <c r="I1580" t="s">
        <v>57</v>
      </c>
      <c r="J1580" t="str">
        <f>"2016-09-29"</f>
        <v>2016-09-29</v>
      </c>
      <c r="K1580" t="s">
        <v>34</v>
      </c>
      <c r="L1580">
        <v>-2.86591087</v>
      </c>
      <c r="M1580">
        <v>1579</v>
      </c>
      <c r="N1580" s="1">
        <v>-8.0399999999999999E-2</v>
      </c>
      <c r="O1580" s="1">
        <v>-0.19550000000000001</v>
      </c>
      <c r="P1580" s="1">
        <v>6.4100000000000004E-2</v>
      </c>
      <c r="Q1580" s="1">
        <v>-1.5299999999999999E-2</v>
      </c>
      <c r="R1580" s="1">
        <v>-2.8999999999999998E-3</v>
      </c>
      <c r="S1580" s="1">
        <v>3.9399999999999998E-2</v>
      </c>
      <c r="T1580" s="1">
        <v>1.0800000000000001E-2</v>
      </c>
      <c r="U1580" s="1">
        <v>-0.13600000000000001</v>
      </c>
    </row>
    <row r="1581" spans="1:21" x14ac:dyDescent="0.25">
      <c r="A1581" t="s">
        <v>3324</v>
      </c>
      <c r="B1581" t="s">
        <v>3325</v>
      </c>
      <c r="C1581" t="s">
        <v>43</v>
      </c>
      <c r="D1581" t="s">
        <v>119</v>
      </c>
      <c r="E1581" t="s">
        <v>205</v>
      </c>
      <c r="F1581" t="str">
        <f t="shared" si="27"/>
        <v>2018-05-20</v>
      </c>
      <c r="G1581">
        <v>15.76</v>
      </c>
      <c r="H1581" t="str">
        <f>"2018-05-15"</f>
        <v>2018-05-15</v>
      </c>
      <c r="I1581" t="s">
        <v>57</v>
      </c>
      <c r="J1581" t="str">
        <f>"2018-04-08"</f>
        <v>2018-04-08</v>
      </c>
      <c r="K1581" t="s">
        <v>40</v>
      </c>
      <c r="L1581">
        <v>-2.8662593300000001</v>
      </c>
      <c r="M1581">
        <v>1580</v>
      </c>
      <c r="N1581" s="1">
        <v>4.4999999999999997E-3</v>
      </c>
      <c r="O1581" s="1">
        <v>-0.1976</v>
      </c>
      <c r="P1581" s="1">
        <v>7.7200000000000005E-2</v>
      </c>
      <c r="Q1581" s="1">
        <v>-1.2999999999999999E-3</v>
      </c>
      <c r="R1581" s="1">
        <v>0</v>
      </c>
      <c r="S1581" s="1">
        <v>-6.6400000000000001E-2</v>
      </c>
      <c r="T1581" s="1">
        <v>-0.11310000000000001</v>
      </c>
      <c r="U1581" s="1">
        <v>-3.2500000000000001E-2</v>
      </c>
    </row>
    <row r="1582" spans="1:21" x14ac:dyDescent="0.25">
      <c r="A1582" t="s">
        <v>3326</v>
      </c>
      <c r="B1582" t="s">
        <v>3327</v>
      </c>
      <c r="C1582" t="s">
        <v>114</v>
      </c>
      <c r="D1582" t="s">
        <v>809</v>
      </c>
      <c r="E1582" t="s">
        <v>1783</v>
      </c>
      <c r="F1582" t="str">
        <f t="shared" si="27"/>
        <v>2018-05-20</v>
      </c>
      <c r="G1582">
        <v>16.55</v>
      </c>
      <c r="H1582" t="str">
        <f>"2018-04-16"</f>
        <v>2018-04-16</v>
      </c>
      <c r="I1582" t="s">
        <v>57</v>
      </c>
      <c r="J1582" t="str">
        <f>"2016-04-12"</f>
        <v>2016-04-12</v>
      </c>
      <c r="K1582" t="s">
        <v>26</v>
      </c>
      <c r="L1582">
        <v>-2.8668757999999999</v>
      </c>
      <c r="M1582">
        <v>1581</v>
      </c>
      <c r="N1582" s="1">
        <v>-5.91E-2</v>
      </c>
      <c r="O1582" s="1">
        <v>-0.20130000000000001</v>
      </c>
      <c r="P1582" s="1">
        <v>3.1800000000000002E-2</v>
      </c>
      <c r="Q1582" s="1">
        <v>2.0299999999999999E-2</v>
      </c>
      <c r="R1582" s="1">
        <v>3.0499999999999999E-2</v>
      </c>
      <c r="S1582" s="1">
        <v>-1.9E-2</v>
      </c>
      <c r="T1582" s="1">
        <v>-1.66E-2</v>
      </c>
      <c r="U1582" s="1">
        <v>-2.47E-2</v>
      </c>
    </row>
    <row r="1583" spans="1:21" x14ac:dyDescent="0.25">
      <c r="A1583" t="s">
        <v>3328</v>
      </c>
      <c r="B1583" t="s">
        <v>3329</v>
      </c>
      <c r="C1583" t="s">
        <v>114</v>
      </c>
      <c r="D1583" t="s">
        <v>225</v>
      </c>
      <c r="E1583" t="s">
        <v>226</v>
      </c>
      <c r="F1583" t="str">
        <f t="shared" si="27"/>
        <v>2018-05-20</v>
      </c>
      <c r="G1583">
        <v>18.55</v>
      </c>
      <c r="H1583" t="str">
        <f>"2018-04-11"</f>
        <v>2018-04-11</v>
      </c>
      <c r="I1583" t="s">
        <v>57</v>
      </c>
      <c r="J1583" t="str">
        <f>"2017-12-12"</f>
        <v>2017-12-12</v>
      </c>
      <c r="K1583" t="s">
        <v>40</v>
      </c>
      <c r="L1583">
        <v>-2.8669678699999999</v>
      </c>
      <c r="M1583">
        <v>1582</v>
      </c>
      <c r="N1583" s="1">
        <v>1.4800000000000001E-2</v>
      </c>
      <c r="O1583" s="1">
        <v>-0.20180000000000001</v>
      </c>
      <c r="P1583" s="1">
        <v>8.8599999999999998E-2</v>
      </c>
      <c r="Q1583" s="1">
        <v>-1.17E-2</v>
      </c>
      <c r="R1583" s="1">
        <v>-2.3699999999999999E-2</v>
      </c>
      <c r="S1583" s="1">
        <v>1.3100000000000001E-2</v>
      </c>
      <c r="T1583" s="1">
        <v>-3.5400000000000001E-2</v>
      </c>
      <c r="U1583" s="1">
        <v>-2.93E-2</v>
      </c>
    </row>
    <row r="1584" spans="1:21" x14ac:dyDescent="0.25">
      <c r="A1584" t="s">
        <v>3330</v>
      </c>
      <c r="B1584" t="s">
        <v>3331</v>
      </c>
      <c r="C1584" t="s">
        <v>30</v>
      </c>
      <c r="D1584" t="s">
        <v>299</v>
      </c>
      <c r="E1584" t="s">
        <v>2984</v>
      </c>
      <c r="F1584" t="str">
        <f t="shared" si="27"/>
        <v>2018-05-20</v>
      </c>
      <c r="G1584">
        <v>18.46</v>
      </c>
      <c r="H1584" t="str">
        <f>"2018-02-13"</f>
        <v>2018-02-13</v>
      </c>
      <c r="I1584" t="s">
        <v>57</v>
      </c>
      <c r="J1584" t="str">
        <f>"2016-03-20"</f>
        <v>2016-03-20</v>
      </c>
      <c r="K1584" t="s">
        <v>26</v>
      </c>
      <c r="L1584">
        <v>-2.8669837199999999</v>
      </c>
      <c r="M1584">
        <v>1583</v>
      </c>
      <c r="N1584" s="1">
        <v>4.5900000000000003E-2</v>
      </c>
      <c r="O1584" s="1">
        <v>-0.2019</v>
      </c>
      <c r="P1584" s="1">
        <v>9.69E-2</v>
      </c>
      <c r="Q1584" s="1">
        <v>1.04E-2</v>
      </c>
      <c r="R1584" s="1">
        <v>2.5600000000000001E-2</v>
      </c>
      <c r="S1584" s="1">
        <v>7.3899999999999993E-2</v>
      </c>
      <c r="T1584" s="1">
        <v>5.6099999999999997E-2</v>
      </c>
      <c r="U1584" s="1">
        <v>-9.1499999999999998E-2</v>
      </c>
    </row>
    <row r="1585" spans="1:21" x14ac:dyDescent="0.25">
      <c r="A1585" t="s">
        <v>3332</v>
      </c>
      <c r="B1585" t="s">
        <v>3333</v>
      </c>
      <c r="C1585" t="s">
        <v>43</v>
      </c>
      <c r="D1585" t="s">
        <v>169</v>
      </c>
      <c r="E1585" t="s">
        <v>1223</v>
      </c>
      <c r="F1585" t="str">
        <f t="shared" si="27"/>
        <v>2018-05-20</v>
      </c>
      <c r="G1585">
        <v>21.57</v>
      </c>
      <c r="H1585" t="str">
        <f>"2018-05-15"</f>
        <v>2018-05-15</v>
      </c>
      <c r="I1585" t="s">
        <v>57</v>
      </c>
      <c r="J1585" t="str">
        <f>"2018-04-09"</f>
        <v>2018-04-09</v>
      </c>
      <c r="K1585" t="s">
        <v>40</v>
      </c>
      <c r="L1585">
        <v>-2.8671961600000002</v>
      </c>
      <c r="M1585">
        <v>1584</v>
      </c>
      <c r="N1585" s="1">
        <v>-1.5100000000000001E-2</v>
      </c>
      <c r="O1585" s="1">
        <v>-0.20319999999999999</v>
      </c>
      <c r="P1585" s="1">
        <v>8.77E-2</v>
      </c>
      <c r="Q1585" s="1">
        <v>8.8999999999999999E-3</v>
      </c>
      <c r="R1585" s="1">
        <v>-1.0999999999999999E-2</v>
      </c>
      <c r="S1585" s="1">
        <v>2.4199999999999999E-2</v>
      </c>
      <c r="T1585" s="1">
        <v>-0.1447</v>
      </c>
      <c r="U1585" s="1">
        <v>-7.6200000000000004E-2</v>
      </c>
    </row>
    <row r="1586" spans="1:21" x14ac:dyDescent="0.25">
      <c r="A1586" t="s">
        <v>3334</v>
      </c>
      <c r="B1586" t="s">
        <v>3335</v>
      </c>
      <c r="C1586" t="s">
        <v>43</v>
      </c>
      <c r="D1586" t="s">
        <v>150</v>
      </c>
      <c r="E1586" t="s">
        <v>408</v>
      </c>
      <c r="F1586" t="str">
        <f t="shared" si="27"/>
        <v>2018-05-20</v>
      </c>
      <c r="G1586">
        <v>71.64</v>
      </c>
      <c r="H1586" t="str">
        <f>"2018-05-13"</f>
        <v>2018-05-13</v>
      </c>
      <c r="I1586" t="s">
        <v>57</v>
      </c>
      <c r="J1586" t="str">
        <f>"2018-05-03"</f>
        <v>2018-05-03</v>
      </c>
      <c r="K1586" t="s">
        <v>40</v>
      </c>
      <c r="L1586">
        <v>-2.8673480699999998</v>
      </c>
      <c r="M1586">
        <v>1585</v>
      </c>
      <c r="N1586" s="1">
        <v>4.3099999999999999E-2</v>
      </c>
      <c r="O1586" s="1">
        <v>-0.2041</v>
      </c>
      <c r="P1586" s="1">
        <v>7.1300000000000002E-2</v>
      </c>
      <c r="Q1586" s="1">
        <v>4.3099999999999999E-2</v>
      </c>
      <c r="R1586" s="1">
        <v>4.9099999999999998E-2</v>
      </c>
      <c r="S1586" s="1">
        <v>-4.3499999999999997E-2</v>
      </c>
      <c r="T1586" s="1">
        <v>-9.8000000000000004E-2</v>
      </c>
      <c r="U1586" s="1">
        <v>-2.81E-2</v>
      </c>
    </row>
    <row r="1587" spans="1:21" x14ac:dyDescent="0.25">
      <c r="A1587" t="s">
        <v>3336</v>
      </c>
      <c r="B1587" t="s">
        <v>3337</v>
      </c>
      <c r="C1587" t="s">
        <v>30</v>
      </c>
      <c r="D1587" t="s">
        <v>299</v>
      </c>
      <c r="E1587" t="s">
        <v>2289</v>
      </c>
      <c r="F1587" t="str">
        <f t="shared" si="27"/>
        <v>2018-05-20</v>
      </c>
      <c r="G1587">
        <v>11.67</v>
      </c>
      <c r="H1587" t="str">
        <f>"2018-02-15"</f>
        <v>2018-02-15</v>
      </c>
      <c r="I1587" t="s">
        <v>57</v>
      </c>
      <c r="J1587" t="str">
        <f>"2017-11-22"</f>
        <v>2017-11-22</v>
      </c>
      <c r="K1587" t="s">
        <v>26</v>
      </c>
      <c r="L1587">
        <v>-2.8688469300000001</v>
      </c>
      <c r="M1587">
        <v>1586</v>
      </c>
      <c r="N1587" s="1">
        <v>-6.0000000000000001E-3</v>
      </c>
      <c r="O1587" s="1">
        <v>-0.21310000000000001</v>
      </c>
      <c r="P1587" s="1">
        <v>3.6400000000000002E-2</v>
      </c>
      <c r="Q1587" s="1">
        <v>2.3699999999999999E-2</v>
      </c>
      <c r="R1587" s="1">
        <v>2.1899999999999999E-2</v>
      </c>
      <c r="S1587" s="1">
        <v>1.66E-2</v>
      </c>
      <c r="T1587" s="1">
        <v>-4.58E-2</v>
      </c>
      <c r="U1587" s="1">
        <v>-8.8999999999999996E-2</v>
      </c>
    </row>
    <row r="1588" spans="1:21" x14ac:dyDescent="0.25">
      <c r="A1588" t="s">
        <v>3338</v>
      </c>
      <c r="B1588" t="s">
        <v>3339</v>
      </c>
      <c r="C1588" t="s">
        <v>30</v>
      </c>
      <c r="D1588" t="s">
        <v>299</v>
      </c>
      <c r="E1588" t="s">
        <v>2289</v>
      </c>
      <c r="F1588" t="str">
        <f t="shared" si="27"/>
        <v>2018-05-20</v>
      </c>
      <c r="G1588">
        <v>20.53</v>
      </c>
      <c r="H1588" t="str">
        <f>"2018-03-04"</f>
        <v>2018-03-04</v>
      </c>
      <c r="I1588" t="s">
        <v>57</v>
      </c>
      <c r="J1588" t="str">
        <f>"2017-12-12"</f>
        <v>2017-12-12</v>
      </c>
      <c r="K1588" t="s">
        <v>26</v>
      </c>
      <c r="L1588">
        <v>-2.86885141</v>
      </c>
      <c r="M1588">
        <v>1587</v>
      </c>
      <c r="N1588" s="1">
        <v>-6.9800000000000001E-2</v>
      </c>
      <c r="O1588" s="1">
        <v>-0.21310000000000001</v>
      </c>
      <c r="P1588" s="1">
        <v>3.5299999999999998E-2</v>
      </c>
      <c r="Q1588" s="1">
        <v>1.6299999999999999E-2</v>
      </c>
      <c r="R1588" s="1">
        <v>-8.6999999999999994E-3</v>
      </c>
      <c r="S1588" s="1">
        <v>3.5299999999999998E-2</v>
      </c>
      <c r="T1588" s="1">
        <v>-7.9000000000000001E-2</v>
      </c>
      <c r="U1588" s="1">
        <v>-0.1583</v>
      </c>
    </row>
    <row r="1589" spans="1:21" x14ac:dyDescent="0.25">
      <c r="A1589" t="s">
        <v>3340</v>
      </c>
      <c r="B1589" t="s">
        <v>3341</v>
      </c>
      <c r="C1589" t="s">
        <v>109</v>
      </c>
      <c r="D1589" t="s">
        <v>156</v>
      </c>
      <c r="E1589" t="s">
        <v>284</v>
      </c>
      <c r="F1589" t="str">
        <f t="shared" si="27"/>
        <v>2018-05-20</v>
      </c>
      <c r="G1589">
        <v>11.6</v>
      </c>
      <c r="H1589" t="str">
        <f>"2018-05-07"</f>
        <v>2018-05-07</v>
      </c>
      <c r="I1589" t="s">
        <v>57</v>
      </c>
      <c r="J1589" t="str">
        <f>"2018-02-25"</f>
        <v>2018-02-25</v>
      </c>
      <c r="K1589" t="s">
        <v>26</v>
      </c>
      <c r="L1589">
        <v>-2.8689265499999999</v>
      </c>
      <c r="M1589">
        <v>1588</v>
      </c>
      <c r="N1589" s="1">
        <v>-2.93E-2</v>
      </c>
      <c r="O1589" s="1">
        <v>-0.21360000000000001</v>
      </c>
      <c r="P1589" s="1">
        <v>4.3E-3</v>
      </c>
      <c r="Q1589" s="1">
        <v>-8.5000000000000006E-3</v>
      </c>
      <c r="R1589" s="1">
        <v>0</v>
      </c>
      <c r="S1589" s="1">
        <v>-0.1343</v>
      </c>
      <c r="T1589" s="1">
        <v>-0.19439999999999999</v>
      </c>
      <c r="U1589" s="1">
        <v>-0.16850000000000001</v>
      </c>
    </row>
    <row r="1590" spans="1:21" x14ac:dyDescent="0.25">
      <c r="A1590" t="s">
        <v>3342</v>
      </c>
      <c r="B1590" t="s">
        <v>3343</v>
      </c>
      <c r="C1590" t="s">
        <v>114</v>
      </c>
      <c r="D1590" t="s">
        <v>809</v>
      </c>
      <c r="E1590" t="s">
        <v>810</v>
      </c>
      <c r="F1590" t="str">
        <f t="shared" si="27"/>
        <v>2018-05-20</v>
      </c>
      <c r="G1590">
        <v>22.31</v>
      </c>
      <c r="H1590" t="str">
        <f>"2018-05-17"</f>
        <v>2018-05-17</v>
      </c>
      <c r="I1590" t="s">
        <v>57</v>
      </c>
      <c r="J1590" t="str">
        <f>"2016-07-14"</f>
        <v>2016-07-14</v>
      </c>
      <c r="K1590" t="s">
        <v>26</v>
      </c>
      <c r="L1590">
        <v>-2.86911885</v>
      </c>
      <c r="M1590">
        <v>1589</v>
      </c>
      <c r="N1590" s="1">
        <v>2.01E-2</v>
      </c>
      <c r="O1590" s="1">
        <v>-0.2147</v>
      </c>
      <c r="P1590" s="1">
        <v>5.5800000000000002E-2</v>
      </c>
      <c r="Q1590" s="1">
        <v>1.04E-2</v>
      </c>
      <c r="R1590" s="1">
        <v>0</v>
      </c>
      <c r="S1590" s="1">
        <v>-4.1300000000000003E-2</v>
      </c>
      <c r="T1590" s="1">
        <v>-7.3499999999999996E-2</v>
      </c>
      <c r="U1590" s="1">
        <v>-5.2299999999999999E-2</v>
      </c>
    </row>
    <row r="1591" spans="1:21" x14ac:dyDescent="0.25">
      <c r="A1591" t="s">
        <v>3344</v>
      </c>
      <c r="B1591" t="s">
        <v>3345</v>
      </c>
      <c r="C1591" t="s">
        <v>30</v>
      </c>
      <c r="D1591" t="s">
        <v>299</v>
      </c>
      <c r="E1591" t="s">
        <v>2984</v>
      </c>
      <c r="F1591" t="str">
        <f t="shared" si="27"/>
        <v>2018-05-20</v>
      </c>
      <c r="G1591">
        <v>8.2799999999999994</v>
      </c>
      <c r="H1591" t="str">
        <f>"2018-02-07"</f>
        <v>2018-02-07</v>
      </c>
      <c r="I1591" t="s">
        <v>57</v>
      </c>
      <c r="J1591" t="str">
        <f>"2017-10-22"</f>
        <v>2017-10-22</v>
      </c>
      <c r="K1591" t="s">
        <v>26</v>
      </c>
      <c r="L1591">
        <v>-2.8696883899999999</v>
      </c>
      <c r="M1591">
        <v>1590</v>
      </c>
      <c r="N1591" s="1">
        <v>-3.5999999999999999E-3</v>
      </c>
      <c r="O1591" s="1">
        <v>-0.21809999999999999</v>
      </c>
      <c r="P1591" s="1">
        <v>8.2400000000000001E-2</v>
      </c>
      <c r="Q1591" s="1">
        <v>1.47E-2</v>
      </c>
      <c r="R1591" s="1">
        <v>1.35E-2</v>
      </c>
      <c r="S1591" s="1">
        <v>8.09E-2</v>
      </c>
      <c r="T1591" s="1">
        <v>-6.0000000000000001E-3</v>
      </c>
      <c r="U1591" s="1">
        <v>-0.12839999999999999</v>
      </c>
    </row>
    <row r="1592" spans="1:21" x14ac:dyDescent="0.25">
      <c r="A1592" t="s">
        <v>3346</v>
      </c>
      <c r="B1592" t="s">
        <v>3347</v>
      </c>
      <c r="C1592" t="s">
        <v>43</v>
      </c>
      <c r="D1592" t="s">
        <v>44</v>
      </c>
      <c r="E1592" t="s">
        <v>246</v>
      </c>
      <c r="F1592" t="str">
        <f t="shared" si="27"/>
        <v>2018-05-20</v>
      </c>
      <c r="G1592">
        <v>17.14</v>
      </c>
      <c r="H1592" t="str">
        <f>"2018-02-05"</f>
        <v>2018-02-05</v>
      </c>
      <c r="I1592" t="s">
        <v>57</v>
      </c>
      <c r="J1592" t="str">
        <f>"2018-01-24"</f>
        <v>2018-01-24</v>
      </c>
      <c r="K1592" t="s">
        <v>27</v>
      </c>
      <c r="L1592">
        <v>-2.8701515199999998</v>
      </c>
      <c r="M1592">
        <v>1591</v>
      </c>
      <c r="N1592" s="1">
        <v>-0.1426</v>
      </c>
      <c r="O1592" s="1">
        <v>-0.22090000000000001</v>
      </c>
      <c r="P1592" s="1">
        <v>3.44E-2</v>
      </c>
      <c r="Q1592" s="1">
        <v>1.06E-2</v>
      </c>
      <c r="R1592" s="1">
        <v>2.0199999999999999E-2</v>
      </c>
      <c r="S1592" s="1">
        <v>-6.1899999999999997E-2</v>
      </c>
      <c r="T1592" s="1">
        <v>-0.1532</v>
      </c>
      <c r="U1592" s="1">
        <v>-0.25829999999999997</v>
      </c>
    </row>
    <row r="1593" spans="1:21" x14ac:dyDescent="0.25">
      <c r="A1593" t="s">
        <v>3348</v>
      </c>
      <c r="B1593" t="s">
        <v>3349</v>
      </c>
      <c r="C1593" t="s">
        <v>23</v>
      </c>
      <c r="D1593" t="s">
        <v>24</v>
      </c>
      <c r="E1593" t="s">
        <v>494</v>
      </c>
      <c r="F1593" t="str">
        <f t="shared" si="27"/>
        <v>2018-05-20</v>
      </c>
      <c r="G1593">
        <v>82.65</v>
      </c>
      <c r="H1593" t="str">
        <f>"2017-09-05"</f>
        <v>2017-09-05</v>
      </c>
      <c r="I1593" t="s">
        <v>57</v>
      </c>
      <c r="J1593" t="str">
        <f>"2017-06-15"</f>
        <v>2017-06-15</v>
      </c>
      <c r="K1593" t="s">
        <v>26</v>
      </c>
      <c r="L1593">
        <v>-2.8704748499999999</v>
      </c>
      <c r="M1593">
        <v>1592</v>
      </c>
      <c r="N1593" s="1">
        <v>-0.1208</v>
      </c>
      <c r="O1593" s="1">
        <v>-0.2228</v>
      </c>
      <c r="P1593" s="1">
        <v>2.4299999999999999E-2</v>
      </c>
      <c r="Q1593" s="1">
        <v>2.3900000000000001E-2</v>
      </c>
      <c r="R1593" s="1">
        <v>-7.4800000000000005E-2</v>
      </c>
      <c r="S1593" s="1">
        <v>-7.0900000000000005E-2</v>
      </c>
      <c r="T1593" s="1">
        <v>-8.2299999999999998E-2</v>
      </c>
      <c r="U1593" s="1">
        <v>-0.19409999999999999</v>
      </c>
    </row>
    <row r="1594" spans="1:21" x14ac:dyDescent="0.25">
      <c r="A1594" t="s">
        <v>3350</v>
      </c>
      <c r="B1594" t="s">
        <v>3351</v>
      </c>
      <c r="C1594" t="s">
        <v>30</v>
      </c>
      <c r="D1594" t="s">
        <v>299</v>
      </c>
      <c r="E1594" t="s">
        <v>2120</v>
      </c>
      <c r="F1594" t="str">
        <f t="shared" si="27"/>
        <v>2018-05-20</v>
      </c>
      <c r="G1594">
        <v>4.8899999999999997</v>
      </c>
      <c r="H1594" t="str">
        <f>"2018-02-05"</f>
        <v>2018-02-05</v>
      </c>
      <c r="I1594" t="s">
        <v>57</v>
      </c>
      <c r="J1594" t="str">
        <f>"2016-07-24"</f>
        <v>2016-07-24</v>
      </c>
      <c r="K1594" t="s">
        <v>26</v>
      </c>
      <c r="L1594">
        <v>-2.8710442999999999</v>
      </c>
      <c r="M1594">
        <v>1593</v>
      </c>
      <c r="N1594" s="1">
        <v>4.9399999999999999E-2</v>
      </c>
      <c r="O1594" s="1">
        <v>-0.2263</v>
      </c>
      <c r="P1594" s="1">
        <v>7.2400000000000006E-2</v>
      </c>
      <c r="Q1594" s="1">
        <v>8.2000000000000007E-3</v>
      </c>
      <c r="R1594" s="1">
        <v>1.8800000000000001E-2</v>
      </c>
      <c r="S1594" s="1">
        <v>4.0399999999999998E-2</v>
      </c>
      <c r="T1594" s="1">
        <v>1.66E-2</v>
      </c>
      <c r="U1594" s="1">
        <v>-0.16120000000000001</v>
      </c>
    </row>
    <row r="1595" spans="1:21" x14ac:dyDescent="0.25">
      <c r="A1595" t="s">
        <v>3352</v>
      </c>
      <c r="B1595" t="s">
        <v>3353</v>
      </c>
      <c r="C1595" t="s">
        <v>43</v>
      </c>
      <c r="D1595" t="s">
        <v>193</v>
      </c>
      <c r="E1595" t="s">
        <v>239</v>
      </c>
      <c r="F1595" t="str">
        <f t="shared" si="27"/>
        <v>2018-05-20</v>
      </c>
      <c r="G1595">
        <v>29.27</v>
      </c>
      <c r="H1595" t="str">
        <f>"2018-05-01"</f>
        <v>2018-05-01</v>
      </c>
      <c r="I1595" t="s">
        <v>57</v>
      </c>
      <c r="J1595" t="str">
        <f>"2018-04-19"</f>
        <v>2018-04-19</v>
      </c>
      <c r="K1595" t="s">
        <v>40</v>
      </c>
      <c r="L1595">
        <v>-2.87148753</v>
      </c>
      <c r="M1595">
        <v>1594</v>
      </c>
      <c r="N1595" s="1">
        <v>2.06E-2</v>
      </c>
      <c r="O1595" s="1">
        <v>-0.22889999999999999</v>
      </c>
      <c r="P1595" s="1">
        <v>6.4399999999999999E-2</v>
      </c>
      <c r="Q1595" s="1">
        <v>8.6E-3</v>
      </c>
      <c r="R1595" s="1">
        <v>2.1600000000000001E-2</v>
      </c>
      <c r="S1595" s="1">
        <v>-2.69E-2</v>
      </c>
      <c r="T1595" s="1">
        <v>-0.1221</v>
      </c>
      <c r="U1595" s="1">
        <v>-5.1499999999999997E-2</v>
      </c>
    </row>
    <row r="1596" spans="1:21" x14ac:dyDescent="0.25">
      <c r="A1596" t="s">
        <v>3354</v>
      </c>
      <c r="B1596" t="s">
        <v>3355</v>
      </c>
      <c r="C1596" t="s">
        <v>43</v>
      </c>
      <c r="D1596" t="s">
        <v>193</v>
      </c>
      <c r="E1596" t="s">
        <v>239</v>
      </c>
      <c r="F1596" t="str">
        <f t="shared" si="27"/>
        <v>2018-05-20</v>
      </c>
      <c r="G1596">
        <v>30.07</v>
      </c>
      <c r="H1596" t="str">
        <f>"2018-03-27"</f>
        <v>2018-03-27</v>
      </c>
      <c r="I1596" t="s">
        <v>57</v>
      </c>
      <c r="J1596" t="str">
        <f>"2018-02-20"</f>
        <v>2018-02-20</v>
      </c>
      <c r="K1596" t="s">
        <v>40</v>
      </c>
      <c r="L1596">
        <v>-2.87152867</v>
      </c>
      <c r="M1596">
        <v>1595</v>
      </c>
      <c r="N1596" s="1">
        <v>-1.12E-2</v>
      </c>
      <c r="O1596" s="1">
        <v>-0.22919999999999999</v>
      </c>
      <c r="P1596" s="1">
        <v>2.4500000000000001E-2</v>
      </c>
      <c r="Q1596" s="1">
        <v>-2E-3</v>
      </c>
      <c r="R1596" s="1">
        <v>9.7000000000000003E-3</v>
      </c>
      <c r="S1596" s="1">
        <v>-4.87E-2</v>
      </c>
      <c r="T1596" s="1">
        <v>-5.7700000000000001E-2</v>
      </c>
      <c r="U1596" s="1">
        <v>-0.10290000000000001</v>
      </c>
    </row>
    <row r="1597" spans="1:21" x14ac:dyDescent="0.25">
      <c r="A1597" t="s">
        <v>3356</v>
      </c>
      <c r="B1597" t="s">
        <v>3357</v>
      </c>
      <c r="C1597" t="s">
        <v>114</v>
      </c>
      <c r="D1597" t="s">
        <v>809</v>
      </c>
      <c r="E1597" t="s">
        <v>1783</v>
      </c>
      <c r="F1597" t="str">
        <f t="shared" si="27"/>
        <v>2018-05-20</v>
      </c>
      <c r="G1597">
        <v>39.6</v>
      </c>
      <c r="H1597" t="str">
        <f>"2018-03-22"</f>
        <v>2018-03-22</v>
      </c>
      <c r="I1597" t="s">
        <v>57</v>
      </c>
      <c r="J1597" t="str">
        <f>"2016-11-09"</f>
        <v>2016-11-09</v>
      </c>
      <c r="K1597" t="s">
        <v>26</v>
      </c>
      <c r="L1597">
        <v>-2.8725868700000001</v>
      </c>
      <c r="M1597">
        <v>1596</v>
      </c>
      <c r="N1597" s="1">
        <v>3.2599999999999997E-2</v>
      </c>
      <c r="O1597" s="1">
        <v>-0.23549999999999999</v>
      </c>
      <c r="P1597" s="1">
        <v>9.7000000000000003E-2</v>
      </c>
      <c r="Q1597" s="1">
        <v>8.8999999999999999E-3</v>
      </c>
      <c r="R1597" s="1">
        <v>4.9000000000000002E-2</v>
      </c>
      <c r="S1597" s="1">
        <v>3.5299999999999998E-2</v>
      </c>
      <c r="T1597" s="1">
        <v>2.3300000000000001E-2</v>
      </c>
      <c r="U1597" s="1">
        <v>-5.8299999999999998E-2</v>
      </c>
    </row>
    <row r="1598" spans="1:21" x14ac:dyDescent="0.25">
      <c r="A1598" t="s">
        <v>3358</v>
      </c>
      <c r="B1598" t="s">
        <v>3359</v>
      </c>
      <c r="C1598" t="s">
        <v>30</v>
      </c>
      <c r="D1598" t="s">
        <v>299</v>
      </c>
      <c r="E1598" t="s">
        <v>2289</v>
      </c>
      <c r="F1598" t="str">
        <f t="shared" si="27"/>
        <v>2018-05-20</v>
      </c>
      <c r="G1598">
        <v>49.31</v>
      </c>
      <c r="H1598" t="str">
        <f>"2018-02-01"</f>
        <v>2018-02-01</v>
      </c>
      <c r="I1598" t="s">
        <v>57</v>
      </c>
      <c r="J1598" t="str">
        <f>"2018-01-18"</f>
        <v>2018-01-18</v>
      </c>
      <c r="K1598" t="s">
        <v>40</v>
      </c>
      <c r="L1598">
        <v>-2.87266295</v>
      </c>
      <c r="M1598">
        <v>1597</v>
      </c>
      <c r="N1598" s="1">
        <v>-9.5200000000000007E-2</v>
      </c>
      <c r="O1598" s="1">
        <v>-0.23599999999999999</v>
      </c>
      <c r="P1598" s="1">
        <v>3.8100000000000002E-2</v>
      </c>
      <c r="Q1598" s="1">
        <v>3.5099999999999999E-2</v>
      </c>
      <c r="R1598" s="1">
        <v>3.0300000000000001E-2</v>
      </c>
      <c r="S1598" s="1">
        <v>1.6299999999999999E-2</v>
      </c>
      <c r="T1598" s="1">
        <v>-4.0500000000000001E-2</v>
      </c>
      <c r="U1598" s="1">
        <v>-0.1585</v>
      </c>
    </row>
    <row r="1599" spans="1:21" x14ac:dyDescent="0.25">
      <c r="A1599" t="s">
        <v>3360</v>
      </c>
      <c r="B1599" t="s">
        <v>3361</v>
      </c>
      <c r="C1599" t="s">
        <v>114</v>
      </c>
      <c r="D1599" t="s">
        <v>809</v>
      </c>
      <c r="E1599" t="s">
        <v>1542</v>
      </c>
      <c r="F1599" t="str">
        <f t="shared" si="27"/>
        <v>2018-05-20</v>
      </c>
      <c r="G1599">
        <v>38.44</v>
      </c>
      <c r="H1599" t="str">
        <f>"2018-04-29"</f>
        <v>2018-04-29</v>
      </c>
      <c r="I1599" t="s">
        <v>57</v>
      </c>
      <c r="J1599" t="str">
        <f>"2018-03-21"</f>
        <v>2018-03-21</v>
      </c>
      <c r="K1599" t="s">
        <v>40</v>
      </c>
      <c r="L1599">
        <v>-2.8727068</v>
      </c>
      <c r="M1599">
        <v>1598</v>
      </c>
      <c r="N1599" s="1">
        <v>-3.8999999999999998E-3</v>
      </c>
      <c r="O1599" s="1">
        <v>-0.23619999999999999</v>
      </c>
      <c r="P1599" s="1">
        <v>8.2199999999999995E-2</v>
      </c>
      <c r="Q1599" s="1">
        <v>2.5100000000000001E-2</v>
      </c>
      <c r="R1599" s="1">
        <v>3.8899999999999997E-2</v>
      </c>
      <c r="S1599" s="1">
        <v>-5.9499999999999997E-2</v>
      </c>
      <c r="T1599" s="1">
        <v>-1.49E-2</v>
      </c>
      <c r="U1599" s="1">
        <v>8.7099999999999997E-2</v>
      </c>
    </row>
    <row r="1600" spans="1:21" x14ac:dyDescent="0.25">
      <c r="A1600" t="s">
        <v>3362</v>
      </c>
      <c r="B1600" t="s">
        <v>3363</v>
      </c>
      <c r="C1600" t="s">
        <v>23</v>
      </c>
      <c r="D1600" t="s">
        <v>173</v>
      </c>
      <c r="E1600" t="s">
        <v>1429</v>
      </c>
      <c r="F1600" t="str">
        <f t="shared" si="27"/>
        <v>2018-05-20</v>
      </c>
      <c r="G1600">
        <v>39.6</v>
      </c>
      <c r="H1600" t="str">
        <f>"2017-09-03"</f>
        <v>2017-09-03</v>
      </c>
      <c r="I1600" t="s">
        <v>57</v>
      </c>
      <c r="J1600" t="str">
        <f>"2017-07-12"</f>
        <v>2017-07-12</v>
      </c>
      <c r="K1600" t="s">
        <v>40</v>
      </c>
      <c r="L1600">
        <v>-2.8727097399999999</v>
      </c>
      <c r="M1600">
        <v>1599</v>
      </c>
      <c r="N1600" s="1">
        <v>-5.1499999999999997E-2</v>
      </c>
      <c r="O1600" s="1">
        <v>-0.23630000000000001</v>
      </c>
      <c r="P1600" s="1">
        <v>8.4900000000000003E-2</v>
      </c>
      <c r="Q1600" s="1">
        <v>1.54E-2</v>
      </c>
      <c r="R1600" s="1">
        <v>3.39E-2</v>
      </c>
      <c r="S1600" s="1">
        <v>7.6E-3</v>
      </c>
      <c r="T1600" s="1">
        <v>-3.8E-3</v>
      </c>
      <c r="U1600" s="1">
        <v>-0.18429999999999999</v>
      </c>
    </row>
    <row r="1601" spans="1:21" x14ac:dyDescent="0.25">
      <c r="A1601" t="s">
        <v>3364</v>
      </c>
      <c r="B1601" t="s">
        <v>3365</v>
      </c>
      <c r="C1601" t="s">
        <v>114</v>
      </c>
      <c r="D1601" t="s">
        <v>809</v>
      </c>
      <c r="E1601" t="s">
        <v>810</v>
      </c>
      <c r="F1601" t="str">
        <f t="shared" si="27"/>
        <v>2018-05-20</v>
      </c>
      <c r="G1601">
        <v>10.25</v>
      </c>
      <c r="H1601" t="str">
        <f>"2018-04-29"</f>
        <v>2018-04-29</v>
      </c>
      <c r="I1601" t="s">
        <v>57</v>
      </c>
      <c r="J1601" t="str">
        <f>"2017-11-14"</f>
        <v>2017-11-14</v>
      </c>
      <c r="K1601" t="s">
        <v>26</v>
      </c>
      <c r="L1601">
        <v>-2.8727972199999998</v>
      </c>
      <c r="M1601">
        <v>1600</v>
      </c>
      <c r="N1601" s="1">
        <v>2E-3</v>
      </c>
      <c r="O1601" s="1">
        <v>-0.23680000000000001</v>
      </c>
      <c r="P1601" s="1">
        <v>6.2199999999999998E-2</v>
      </c>
      <c r="Q1601" s="1">
        <v>1.2800000000000001E-2</v>
      </c>
      <c r="R1601" s="1">
        <v>6.2199999999999998E-2</v>
      </c>
      <c r="S1601" s="1">
        <v>-2.01E-2</v>
      </c>
      <c r="T1601" s="1">
        <v>-0.14080000000000001</v>
      </c>
      <c r="U1601" s="1">
        <v>-9.2100000000000001E-2</v>
      </c>
    </row>
    <row r="1602" spans="1:21" x14ac:dyDescent="0.25">
      <c r="A1602" t="s">
        <v>3366</v>
      </c>
      <c r="B1602" t="s">
        <v>3367</v>
      </c>
      <c r="C1602" t="s">
        <v>30</v>
      </c>
      <c r="D1602" t="s">
        <v>31</v>
      </c>
      <c r="E1602" t="s">
        <v>31</v>
      </c>
      <c r="F1602" t="str">
        <f t="shared" si="27"/>
        <v>2018-05-20</v>
      </c>
      <c r="G1602">
        <v>18.899999999999999</v>
      </c>
      <c r="H1602" t="str">
        <f>"2018-03-18"</f>
        <v>2018-03-18</v>
      </c>
      <c r="I1602" t="s">
        <v>57</v>
      </c>
      <c r="J1602" t="str">
        <f>"2015-04-06"</f>
        <v>2015-04-06</v>
      </c>
      <c r="K1602" t="s">
        <v>26</v>
      </c>
      <c r="L1602">
        <v>-2.8729838700000001</v>
      </c>
      <c r="M1602">
        <v>1601</v>
      </c>
      <c r="N1602" s="1">
        <v>-5.0299999999999997E-2</v>
      </c>
      <c r="O1602" s="1">
        <v>-0.2379</v>
      </c>
      <c r="P1602" s="1">
        <v>3.2800000000000003E-2</v>
      </c>
      <c r="Q1602" s="1">
        <v>0</v>
      </c>
      <c r="R1602" s="1">
        <v>5.3E-3</v>
      </c>
      <c r="S1602" s="1">
        <v>1.0699999999999999E-2</v>
      </c>
      <c r="T1602" s="1">
        <v>-2.5999999999999999E-3</v>
      </c>
      <c r="U1602" s="1">
        <v>-5.9700000000000003E-2</v>
      </c>
    </row>
    <row r="1603" spans="1:21" x14ac:dyDescent="0.25">
      <c r="A1603" t="s">
        <v>3368</v>
      </c>
      <c r="B1603" t="s">
        <v>3369</v>
      </c>
      <c r="C1603" t="s">
        <v>23</v>
      </c>
      <c r="D1603" t="s">
        <v>173</v>
      </c>
      <c r="E1603" t="s">
        <v>1429</v>
      </c>
      <c r="F1603" t="str">
        <f t="shared" si="27"/>
        <v>2018-05-20</v>
      </c>
      <c r="G1603">
        <v>3.8</v>
      </c>
      <c r="H1603" t="str">
        <f>"2018-05-20"</f>
        <v>2018-05-20</v>
      </c>
      <c r="I1603" t="s">
        <v>57</v>
      </c>
      <c r="J1603" t="str">
        <f>"2015-12-24"</f>
        <v>2015-12-24</v>
      </c>
      <c r="K1603" t="s">
        <v>26</v>
      </c>
      <c r="L1603">
        <v>-2.8733333299999999</v>
      </c>
      <c r="M1603">
        <v>1602</v>
      </c>
      <c r="N1603" s="1">
        <v>1.3299999999999999E-2</v>
      </c>
      <c r="O1603" s="1">
        <v>-0.24</v>
      </c>
      <c r="P1603" s="1">
        <v>1.3299999999999999E-2</v>
      </c>
      <c r="Q1603" s="1">
        <v>1.3299999999999999E-2</v>
      </c>
      <c r="R1603" s="1">
        <v>-1.2999999999999999E-2</v>
      </c>
      <c r="S1603" s="1">
        <v>-9.5200000000000007E-2</v>
      </c>
      <c r="T1603" s="1">
        <v>-0.1739</v>
      </c>
      <c r="U1603" s="1">
        <v>-3.7999999999999999E-2</v>
      </c>
    </row>
    <row r="1604" spans="1:21" x14ac:dyDescent="0.25">
      <c r="A1604" t="s">
        <v>3370</v>
      </c>
      <c r="B1604" t="s">
        <v>3371</v>
      </c>
      <c r="C1604" t="s">
        <v>30</v>
      </c>
      <c r="D1604" t="s">
        <v>347</v>
      </c>
      <c r="E1604" t="s">
        <v>523</v>
      </c>
      <c r="F1604" t="str">
        <f t="shared" si="27"/>
        <v>2018-05-20</v>
      </c>
      <c r="G1604">
        <v>13.74</v>
      </c>
      <c r="H1604" t="str">
        <f>"2018-04-04"</f>
        <v>2018-04-04</v>
      </c>
      <c r="I1604" t="s">
        <v>57</v>
      </c>
      <c r="J1604" t="str">
        <f>"2018-03-15"</f>
        <v>2018-03-15</v>
      </c>
      <c r="K1604" t="s">
        <v>40</v>
      </c>
      <c r="L1604">
        <v>-2.8742449200000002</v>
      </c>
      <c r="M1604">
        <v>1603</v>
      </c>
      <c r="N1604" s="1">
        <v>-0.12039999999999999</v>
      </c>
      <c r="O1604" s="1">
        <v>-0.2455</v>
      </c>
      <c r="P1604" s="1">
        <v>2.92E-2</v>
      </c>
      <c r="Q1604" s="1">
        <v>-2.8999999999999998E-3</v>
      </c>
      <c r="R1604" s="1">
        <v>-2.2000000000000001E-3</v>
      </c>
      <c r="S1604" s="1">
        <v>-9.0700000000000003E-2</v>
      </c>
      <c r="T1604" s="1">
        <v>-0.1293</v>
      </c>
      <c r="U1604" s="1">
        <v>-0.1124</v>
      </c>
    </row>
    <row r="1605" spans="1:21" x14ac:dyDescent="0.25">
      <c r="A1605" t="s">
        <v>3372</v>
      </c>
      <c r="B1605" t="s">
        <v>3373</v>
      </c>
      <c r="C1605" t="s">
        <v>30</v>
      </c>
      <c r="D1605" t="s">
        <v>299</v>
      </c>
      <c r="E1605" t="s">
        <v>2289</v>
      </c>
      <c r="F1605" t="str">
        <f t="shared" si="27"/>
        <v>2018-05-20</v>
      </c>
      <c r="G1605">
        <v>15.09</v>
      </c>
      <c r="H1605" t="str">
        <f>"2018-01-21"</f>
        <v>2018-01-21</v>
      </c>
      <c r="I1605" t="s">
        <v>57</v>
      </c>
      <c r="J1605" t="str">
        <f>"2017-12-18"</f>
        <v>2017-12-18</v>
      </c>
      <c r="K1605" t="s">
        <v>27</v>
      </c>
      <c r="L1605">
        <v>-2.87425</v>
      </c>
      <c r="M1605">
        <v>1604</v>
      </c>
      <c r="N1605" s="1">
        <v>-0.1593</v>
      </c>
      <c r="O1605" s="1">
        <v>-0.2455</v>
      </c>
      <c r="P1605" s="1">
        <v>6.4199999999999993E-2</v>
      </c>
      <c r="Q1605" s="1">
        <v>2.3699999999999999E-2</v>
      </c>
      <c r="R1605" s="1">
        <v>2.3699999999999999E-2</v>
      </c>
      <c r="S1605" s="1">
        <v>5.3800000000000001E-2</v>
      </c>
      <c r="T1605" s="1">
        <v>-2.3900000000000001E-2</v>
      </c>
      <c r="U1605" s="1">
        <v>-0.19259999999999999</v>
      </c>
    </row>
    <row r="1606" spans="1:21" x14ac:dyDescent="0.25">
      <c r="A1606" t="s">
        <v>3374</v>
      </c>
      <c r="B1606" t="s">
        <v>3375</v>
      </c>
      <c r="C1606" t="s">
        <v>114</v>
      </c>
      <c r="D1606" t="s">
        <v>115</v>
      </c>
      <c r="E1606" t="s">
        <v>116</v>
      </c>
      <c r="F1606" t="str">
        <f t="shared" si="27"/>
        <v>2018-05-20</v>
      </c>
      <c r="G1606">
        <v>28.15</v>
      </c>
      <c r="H1606" t="str">
        <f>"2018-02-04"</f>
        <v>2018-02-04</v>
      </c>
      <c r="I1606" t="s">
        <v>57</v>
      </c>
      <c r="J1606" t="str">
        <f>"2018-01-14"</f>
        <v>2018-01-14</v>
      </c>
      <c r="K1606" t="s">
        <v>40</v>
      </c>
      <c r="L1606">
        <v>-2.8743194600000002</v>
      </c>
      <c r="M1606">
        <v>1605</v>
      </c>
      <c r="N1606" s="1">
        <v>-0.1704</v>
      </c>
      <c r="O1606" s="1">
        <v>-0.24590000000000001</v>
      </c>
      <c r="P1606" s="1">
        <v>1.44E-2</v>
      </c>
      <c r="Q1606" s="1">
        <v>-1.4E-2</v>
      </c>
      <c r="R1606" s="1">
        <v>1.0800000000000001E-2</v>
      </c>
      <c r="S1606" s="1">
        <v>-2.0899999999999998E-2</v>
      </c>
      <c r="T1606" s="1">
        <v>-0.1547</v>
      </c>
      <c r="U1606" s="1">
        <v>-0.189</v>
      </c>
    </row>
    <row r="1607" spans="1:21" x14ac:dyDescent="0.25">
      <c r="A1607" t="s">
        <v>3376</v>
      </c>
      <c r="B1607" t="s">
        <v>3377</v>
      </c>
      <c r="C1607" t="s">
        <v>518</v>
      </c>
      <c r="D1607" t="s">
        <v>519</v>
      </c>
      <c r="E1607" t="s">
        <v>520</v>
      </c>
      <c r="F1607" t="str">
        <f t="shared" si="27"/>
        <v>2018-05-20</v>
      </c>
      <c r="G1607">
        <v>52.82</v>
      </c>
      <c r="H1607" t="str">
        <f>"2018-05-02"</f>
        <v>2018-05-02</v>
      </c>
      <c r="I1607" t="s">
        <v>57</v>
      </c>
      <c r="J1607" t="str">
        <f>"2016-03-13"</f>
        <v>2016-03-13</v>
      </c>
      <c r="K1607" t="s">
        <v>26</v>
      </c>
      <c r="L1607">
        <v>-2.8743816600000001</v>
      </c>
      <c r="M1607">
        <v>1606</v>
      </c>
      <c r="N1607" s="1">
        <v>-9.1700000000000004E-2</v>
      </c>
      <c r="O1607" s="1">
        <v>-0.24629999999999999</v>
      </c>
      <c r="P1607" s="1">
        <v>8.9999999999999993E-3</v>
      </c>
      <c r="Q1607" s="1">
        <v>2.3E-3</v>
      </c>
      <c r="R1607" s="1">
        <v>8.9999999999999998E-4</v>
      </c>
      <c r="S1607" s="1">
        <v>-9.7100000000000006E-2</v>
      </c>
      <c r="T1607" s="1">
        <v>-0.16769999999999999</v>
      </c>
      <c r="U1607" s="1">
        <v>-8.2799999999999999E-2</v>
      </c>
    </row>
    <row r="1608" spans="1:21" x14ac:dyDescent="0.25">
      <c r="A1608" t="s">
        <v>3378</v>
      </c>
      <c r="B1608" t="s">
        <v>3379</v>
      </c>
      <c r="C1608" t="s">
        <v>43</v>
      </c>
      <c r="D1608" t="s">
        <v>169</v>
      </c>
      <c r="E1608" t="s">
        <v>170</v>
      </c>
      <c r="F1608" t="str">
        <f t="shared" si="27"/>
        <v>2018-05-20</v>
      </c>
      <c r="G1608">
        <v>18.86</v>
      </c>
      <c r="H1608" t="str">
        <f>"2018-04-19"</f>
        <v>2018-04-19</v>
      </c>
      <c r="I1608" t="s">
        <v>57</v>
      </c>
      <c r="J1608" t="str">
        <f>"2016-07-28"</f>
        <v>2016-07-28</v>
      </c>
      <c r="K1608" t="s">
        <v>26</v>
      </c>
      <c r="L1608">
        <v>-2.8748673</v>
      </c>
      <c r="M1608">
        <v>1607</v>
      </c>
      <c r="N1608" s="1">
        <v>1.0699999999999999E-2</v>
      </c>
      <c r="O1608" s="1">
        <v>-0.2492</v>
      </c>
      <c r="P1608" s="1">
        <v>7.2800000000000004E-2</v>
      </c>
      <c r="Q1608" s="1">
        <v>1.29E-2</v>
      </c>
      <c r="R1608" s="1">
        <v>4.4299999999999999E-2</v>
      </c>
      <c r="S1608" s="1">
        <v>4.7199999999999999E-2</v>
      </c>
      <c r="T1608" s="1">
        <v>-5.9400000000000001E-2</v>
      </c>
      <c r="U1608" s="1">
        <v>-2.18E-2</v>
      </c>
    </row>
    <row r="1609" spans="1:21" x14ac:dyDescent="0.25">
      <c r="A1609" t="s">
        <v>3380</v>
      </c>
      <c r="B1609" t="s">
        <v>3381</v>
      </c>
      <c r="C1609" t="s">
        <v>100</v>
      </c>
      <c r="D1609" t="s">
        <v>217</v>
      </c>
      <c r="E1609" t="s">
        <v>762</v>
      </c>
      <c r="F1609" t="str">
        <f t="shared" si="27"/>
        <v>2018-05-20</v>
      </c>
      <c r="G1609">
        <v>4.46</v>
      </c>
      <c r="H1609" t="str">
        <f>"2018-03-29"</f>
        <v>2018-03-29</v>
      </c>
      <c r="I1609" t="s">
        <v>57</v>
      </c>
      <c r="J1609" t="str">
        <f>"2018-02-18"</f>
        <v>2018-02-18</v>
      </c>
      <c r="K1609" t="s">
        <v>26</v>
      </c>
      <c r="L1609">
        <v>-2.87527964</v>
      </c>
      <c r="M1609">
        <v>1608</v>
      </c>
      <c r="N1609" s="1">
        <v>-1.55E-2</v>
      </c>
      <c r="O1609" s="1">
        <v>-0.25169999999999998</v>
      </c>
      <c r="P1609" s="1">
        <v>4.2099999999999999E-2</v>
      </c>
      <c r="Q1609" s="1">
        <v>-5.11E-2</v>
      </c>
      <c r="R1609" s="1">
        <v>1.3599999999999999E-2</v>
      </c>
      <c r="S1609" s="1">
        <v>-4.7E-2</v>
      </c>
      <c r="T1609" s="1">
        <v>-0.21060000000000001</v>
      </c>
      <c r="U1609" s="1">
        <v>-0.19639999999999999</v>
      </c>
    </row>
    <row r="1610" spans="1:21" x14ac:dyDescent="0.25">
      <c r="A1610" t="s">
        <v>3382</v>
      </c>
      <c r="B1610" t="s">
        <v>3383</v>
      </c>
      <c r="C1610" t="s">
        <v>23</v>
      </c>
      <c r="D1610" t="s">
        <v>24</v>
      </c>
      <c r="E1610" t="s">
        <v>164</v>
      </c>
      <c r="F1610" t="str">
        <f t="shared" si="27"/>
        <v>2018-05-20</v>
      </c>
      <c r="G1610">
        <v>17.27</v>
      </c>
      <c r="H1610" t="str">
        <f>"2018-05-20"</f>
        <v>2018-05-20</v>
      </c>
      <c r="I1610" t="s">
        <v>57</v>
      </c>
      <c r="J1610" t="str">
        <f>"2017-07-27"</f>
        <v>2017-07-27</v>
      </c>
      <c r="K1610" t="s">
        <v>26</v>
      </c>
      <c r="L1610">
        <v>-2.8755046100000001</v>
      </c>
      <c r="M1610">
        <v>1609</v>
      </c>
      <c r="N1610" s="1">
        <v>4.1000000000000003E-3</v>
      </c>
      <c r="O1610" s="1">
        <v>-0.253</v>
      </c>
      <c r="P1610" s="1">
        <v>1.5900000000000001E-2</v>
      </c>
      <c r="Q1610" s="1">
        <v>4.1000000000000003E-3</v>
      </c>
      <c r="R1610" s="1">
        <v>1.1999999999999999E-3</v>
      </c>
      <c r="S1610" s="1">
        <v>-3.7900000000000003E-2</v>
      </c>
      <c r="T1610" s="1">
        <v>-0.14630000000000001</v>
      </c>
      <c r="U1610" s="1">
        <v>-5.7999999999999996E-3</v>
      </c>
    </row>
    <row r="1611" spans="1:21" x14ac:dyDescent="0.25">
      <c r="A1611" t="s">
        <v>3384</v>
      </c>
      <c r="B1611" t="s">
        <v>3385</v>
      </c>
      <c r="C1611" t="s">
        <v>43</v>
      </c>
      <c r="D1611" t="s">
        <v>44</v>
      </c>
      <c r="E1611" t="s">
        <v>246</v>
      </c>
      <c r="F1611" t="str">
        <f t="shared" si="27"/>
        <v>2018-05-20</v>
      </c>
      <c r="G1611">
        <v>6.77</v>
      </c>
      <c r="H1611" t="str">
        <f>"2018-04-02"</f>
        <v>2018-04-02</v>
      </c>
      <c r="I1611" t="s">
        <v>57</v>
      </c>
      <c r="J1611" t="str">
        <f>"2018-03-18"</f>
        <v>2018-03-18</v>
      </c>
      <c r="K1611" t="s">
        <v>27</v>
      </c>
      <c r="L1611">
        <v>-2.8757342100000001</v>
      </c>
      <c r="M1611">
        <v>1610</v>
      </c>
      <c r="N1611" s="1">
        <v>-0.16209999999999999</v>
      </c>
      <c r="O1611" s="1">
        <v>-0.25440000000000002</v>
      </c>
      <c r="P1611" s="1">
        <v>6.7799999999999999E-2</v>
      </c>
      <c r="Q1611" s="1">
        <v>0</v>
      </c>
      <c r="R1611" s="1">
        <v>3.5200000000000002E-2</v>
      </c>
      <c r="S1611" s="1">
        <v>-0.2681</v>
      </c>
      <c r="T1611" s="1">
        <v>-6.4899999999999999E-2</v>
      </c>
      <c r="U1611" s="1">
        <v>-0.43959999999999999</v>
      </c>
    </row>
    <row r="1612" spans="1:21" x14ac:dyDescent="0.25">
      <c r="A1612" t="s">
        <v>3386</v>
      </c>
      <c r="B1612" t="s">
        <v>3387</v>
      </c>
      <c r="C1612" t="s">
        <v>30</v>
      </c>
      <c r="D1612" t="s">
        <v>299</v>
      </c>
      <c r="E1612" t="s">
        <v>2120</v>
      </c>
      <c r="F1612" t="str">
        <f t="shared" si="27"/>
        <v>2018-05-20</v>
      </c>
      <c r="G1612">
        <v>18.72</v>
      </c>
      <c r="H1612" t="str">
        <f>"2018-03-20"</f>
        <v>2018-03-20</v>
      </c>
      <c r="I1612" t="s">
        <v>57</v>
      </c>
      <c r="J1612" t="str">
        <f>"2018-01-17"</f>
        <v>2018-01-17</v>
      </c>
      <c r="K1612" t="s">
        <v>40</v>
      </c>
      <c r="L1612">
        <v>-2.8762886600000002</v>
      </c>
      <c r="M1612">
        <v>1611</v>
      </c>
      <c r="N1612" s="1">
        <v>5.8999999999999999E-3</v>
      </c>
      <c r="O1612" s="1">
        <v>-0.25769999999999998</v>
      </c>
      <c r="P1612" s="1">
        <v>6.3600000000000004E-2</v>
      </c>
      <c r="Q1612" s="1">
        <v>-2.0999999999999999E-3</v>
      </c>
      <c r="R1612" s="1">
        <v>-1.84E-2</v>
      </c>
      <c r="S1612" s="1">
        <v>-2.75E-2</v>
      </c>
      <c r="T1612" s="1">
        <v>1.1000000000000001E-3</v>
      </c>
      <c r="U1612" s="1">
        <v>-0.14949999999999999</v>
      </c>
    </row>
    <row r="1613" spans="1:21" x14ac:dyDescent="0.25">
      <c r="A1613" t="s">
        <v>3388</v>
      </c>
      <c r="B1613" t="s">
        <v>3389</v>
      </c>
      <c r="C1613" t="s">
        <v>109</v>
      </c>
      <c r="D1613" t="s">
        <v>156</v>
      </c>
      <c r="E1613" t="s">
        <v>157</v>
      </c>
      <c r="F1613" t="str">
        <f t="shared" ref="F1613:F1676" si="28">"2018-05-20"</f>
        <v>2018-05-20</v>
      </c>
      <c r="G1613">
        <v>81.83</v>
      </c>
      <c r="H1613" t="str">
        <f>"2018-05-17"</f>
        <v>2018-05-17</v>
      </c>
      <c r="I1613" t="s">
        <v>57</v>
      </c>
      <c r="J1613" t="str">
        <f>"2016-09-19"</f>
        <v>2016-09-19</v>
      </c>
      <c r="K1613" t="s">
        <v>26</v>
      </c>
      <c r="L1613">
        <v>-2.87634116</v>
      </c>
      <c r="M1613">
        <v>1612</v>
      </c>
      <c r="N1613" s="1">
        <v>-6.1000000000000004E-3</v>
      </c>
      <c r="O1613" s="1">
        <v>-0.25800000000000001</v>
      </c>
      <c r="P1613" s="1">
        <v>7.7299999999999994E-2</v>
      </c>
      <c r="Q1613" s="1">
        <v>-1.6999999999999999E-3</v>
      </c>
      <c r="R1613" s="1">
        <v>4.3E-3</v>
      </c>
      <c r="S1613" s="1">
        <v>1.3899999999999999E-2</v>
      </c>
      <c r="T1613" s="1">
        <v>-0.2198</v>
      </c>
      <c r="U1613" s="1">
        <v>-0.1227</v>
      </c>
    </row>
    <row r="1614" spans="1:21" x14ac:dyDescent="0.25">
      <c r="A1614" t="s">
        <v>3390</v>
      </c>
      <c r="B1614" t="s">
        <v>3391</v>
      </c>
      <c r="C1614" t="s">
        <v>43</v>
      </c>
      <c r="D1614" t="s">
        <v>119</v>
      </c>
      <c r="E1614" t="s">
        <v>205</v>
      </c>
      <c r="F1614" t="str">
        <f t="shared" si="28"/>
        <v>2018-05-20</v>
      </c>
      <c r="G1614">
        <v>17.329999999999998</v>
      </c>
      <c r="H1614" t="str">
        <f>"2018-04-25"</f>
        <v>2018-04-25</v>
      </c>
      <c r="I1614" t="s">
        <v>57</v>
      </c>
      <c r="J1614" t="str">
        <f>"2017-08-10"</f>
        <v>2017-08-10</v>
      </c>
      <c r="K1614" t="s">
        <v>26</v>
      </c>
      <c r="L1614">
        <v>-2.87646136</v>
      </c>
      <c r="M1614">
        <v>1613</v>
      </c>
      <c r="N1614" s="1">
        <v>-8.6499999999999994E-2</v>
      </c>
      <c r="O1614" s="1">
        <v>-0.25879999999999997</v>
      </c>
      <c r="P1614" s="1">
        <v>4.1500000000000002E-2</v>
      </c>
      <c r="Q1614" s="1">
        <v>-9.7000000000000003E-3</v>
      </c>
      <c r="R1614" s="1">
        <v>-4.0000000000000001E-3</v>
      </c>
      <c r="S1614" s="1">
        <v>-8.7400000000000005E-2</v>
      </c>
      <c r="T1614" s="1">
        <v>-0.2455</v>
      </c>
      <c r="U1614" s="1">
        <v>-9.7000000000000003E-3</v>
      </c>
    </row>
    <row r="1615" spans="1:21" x14ac:dyDescent="0.25">
      <c r="A1615" t="s">
        <v>3392</v>
      </c>
      <c r="B1615" t="s">
        <v>3393</v>
      </c>
      <c r="C1615" t="s">
        <v>43</v>
      </c>
      <c r="D1615" t="s">
        <v>193</v>
      </c>
      <c r="E1615" t="s">
        <v>239</v>
      </c>
      <c r="F1615" t="str">
        <f t="shared" si="28"/>
        <v>2018-05-20</v>
      </c>
      <c r="G1615">
        <v>17.8</v>
      </c>
      <c r="H1615" t="str">
        <f>"2018-03-22"</f>
        <v>2018-03-22</v>
      </c>
      <c r="I1615" t="s">
        <v>57</v>
      </c>
      <c r="J1615" t="str">
        <f>"2016-12-20"</f>
        <v>2016-12-20</v>
      </c>
      <c r="K1615" t="s">
        <v>26</v>
      </c>
      <c r="L1615">
        <v>-2.8766458799999999</v>
      </c>
      <c r="M1615">
        <v>1614</v>
      </c>
      <c r="N1615" s="1">
        <v>1.14E-2</v>
      </c>
      <c r="O1615" s="1">
        <v>-0.25990000000000002</v>
      </c>
      <c r="P1615" s="1">
        <v>6.59E-2</v>
      </c>
      <c r="Q1615" s="1">
        <v>-2.8E-3</v>
      </c>
      <c r="R1615" s="1">
        <v>2.5899999999999999E-2</v>
      </c>
      <c r="S1615" s="1">
        <v>2.3E-2</v>
      </c>
      <c r="T1615" s="1">
        <v>-3.5200000000000002E-2</v>
      </c>
      <c r="U1615" s="1">
        <v>-9.64E-2</v>
      </c>
    </row>
    <row r="1616" spans="1:21" x14ac:dyDescent="0.25">
      <c r="A1616" t="s">
        <v>3394</v>
      </c>
      <c r="B1616" t="s">
        <v>3395</v>
      </c>
      <c r="C1616" t="s">
        <v>114</v>
      </c>
      <c r="D1616" t="s">
        <v>646</v>
      </c>
      <c r="E1616" t="s">
        <v>647</v>
      </c>
      <c r="F1616" t="str">
        <f t="shared" si="28"/>
        <v>2018-05-20</v>
      </c>
      <c r="G1616">
        <v>47.75</v>
      </c>
      <c r="H1616" t="str">
        <f>"2018-03-27"</f>
        <v>2018-03-27</v>
      </c>
      <c r="I1616" t="s">
        <v>57</v>
      </c>
      <c r="J1616" t="str">
        <f>"2018-02-05"</f>
        <v>2018-02-05</v>
      </c>
      <c r="K1616" t="s">
        <v>40</v>
      </c>
      <c r="L1616">
        <v>-2.87697738</v>
      </c>
      <c r="M1616">
        <v>1615</v>
      </c>
      <c r="N1616" s="1">
        <v>-9.9199999999999997E-2</v>
      </c>
      <c r="O1616" s="1">
        <v>-0.26190000000000002</v>
      </c>
      <c r="P1616" s="1">
        <v>6.8500000000000005E-2</v>
      </c>
      <c r="Q1616" s="1">
        <v>5.7000000000000002E-3</v>
      </c>
      <c r="R1616" s="1">
        <v>2.47E-2</v>
      </c>
      <c r="S1616" s="1">
        <v>-5.9499999999999997E-2</v>
      </c>
      <c r="T1616" s="1">
        <v>-0.15590000000000001</v>
      </c>
      <c r="U1616" s="1">
        <v>-0.1444</v>
      </c>
    </row>
    <row r="1617" spans="1:21" x14ac:dyDescent="0.25">
      <c r="A1617" t="s">
        <v>3396</v>
      </c>
      <c r="B1617" t="s">
        <v>3397</v>
      </c>
      <c r="C1617" t="s">
        <v>43</v>
      </c>
      <c r="D1617" t="s">
        <v>44</v>
      </c>
      <c r="E1617" t="s">
        <v>246</v>
      </c>
      <c r="F1617" t="str">
        <f t="shared" si="28"/>
        <v>2018-05-20</v>
      </c>
      <c r="G1617">
        <v>10.49</v>
      </c>
      <c r="H1617" t="str">
        <f>"2018-03-15"</f>
        <v>2018-03-15</v>
      </c>
      <c r="I1617" t="s">
        <v>57</v>
      </c>
      <c r="J1617" t="str">
        <f>"2018-02-27"</f>
        <v>2018-02-27</v>
      </c>
      <c r="K1617" t="s">
        <v>40</v>
      </c>
      <c r="L1617">
        <v>-2.87730994</v>
      </c>
      <c r="M1617">
        <v>1616</v>
      </c>
      <c r="N1617" s="1">
        <v>-3.6700000000000003E-2</v>
      </c>
      <c r="O1617" s="1">
        <v>-0.26390000000000002</v>
      </c>
      <c r="P1617" s="1">
        <v>5.4300000000000001E-2</v>
      </c>
      <c r="Q1617" s="1">
        <v>2.8999999999999998E-3</v>
      </c>
      <c r="R1617" s="1">
        <v>6.7000000000000002E-3</v>
      </c>
      <c r="S1617" s="1">
        <v>-5.1499999999999997E-2</v>
      </c>
      <c r="T1617" s="1">
        <v>4.5900000000000003E-2</v>
      </c>
      <c r="U1617" s="1">
        <v>-0.24529999999999999</v>
      </c>
    </row>
    <row r="1618" spans="1:21" x14ac:dyDescent="0.25">
      <c r="A1618" t="s">
        <v>3398</v>
      </c>
      <c r="B1618" t="s">
        <v>3399</v>
      </c>
      <c r="C1618" t="s">
        <v>43</v>
      </c>
      <c r="D1618" t="s">
        <v>44</v>
      </c>
      <c r="E1618" t="s">
        <v>246</v>
      </c>
      <c r="F1618" t="str">
        <f t="shared" si="28"/>
        <v>2018-05-20</v>
      </c>
      <c r="G1618">
        <v>8.74</v>
      </c>
      <c r="H1618" t="str">
        <f>"2018-02-25"</f>
        <v>2018-02-25</v>
      </c>
      <c r="I1618" t="s">
        <v>57</v>
      </c>
      <c r="J1618" t="str">
        <f>"2017-09-11"</f>
        <v>2017-09-11</v>
      </c>
      <c r="K1618" t="s">
        <v>26</v>
      </c>
      <c r="L1618">
        <v>-2.8774880899999999</v>
      </c>
      <c r="M1618">
        <v>1617</v>
      </c>
      <c r="N1618" s="1">
        <v>-2.8899999999999999E-2</v>
      </c>
      <c r="O1618" s="1">
        <v>-0.26490000000000002</v>
      </c>
      <c r="P1618" s="1">
        <v>3.3999999999999998E-3</v>
      </c>
      <c r="Q1618" s="1">
        <v>3.3999999999999998E-3</v>
      </c>
      <c r="R1618" s="1">
        <v>-1.0200000000000001E-2</v>
      </c>
      <c r="S1618" s="1">
        <v>-0.14399999999999999</v>
      </c>
      <c r="T1618" s="1">
        <v>-2.6700000000000002E-2</v>
      </c>
      <c r="U1618" s="1">
        <v>-0.20619999999999999</v>
      </c>
    </row>
    <row r="1619" spans="1:21" x14ac:dyDescent="0.25">
      <c r="A1619" t="s">
        <v>3400</v>
      </c>
      <c r="B1619" t="s">
        <v>3401</v>
      </c>
      <c r="C1619" t="s">
        <v>30</v>
      </c>
      <c r="D1619" t="s">
        <v>299</v>
      </c>
      <c r="E1619" t="s">
        <v>300</v>
      </c>
      <c r="F1619" t="str">
        <f t="shared" si="28"/>
        <v>2018-05-20</v>
      </c>
      <c r="G1619">
        <v>26.76</v>
      </c>
      <c r="H1619" t="str">
        <f>"2018-03-04"</f>
        <v>2018-03-04</v>
      </c>
      <c r="I1619" t="s">
        <v>57</v>
      </c>
      <c r="J1619" t="str">
        <f>"2017-10-08"</f>
        <v>2017-10-08</v>
      </c>
      <c r="K1619" t="s">
        <v>40</v>
      </c>
      <c r="L1619">
        <v>-2.8778082199999999</v>
      </c>
      <c r="M1619">
        <v>1618</v>
      </c>
      <c r="N1619" s="1">
        <v>-5.1999999999999998E-3</v>
      </c>
      <c r="O1619" s="1">
        <v>-0.26679999999999998</v>
      </c>
      <c r="P1619" s="1">
        <v>1.7100000000000001E-2</v>
      </c>
      <c r="Q1619" s="1">
        <v>1.6299999999999999E-2</v>
      </c>
      <c r="R1619" s="1">
        <v>-2.9000000000000001E-2</v>
      </c>
      <c r="S1619" s="1">
        <v>0</v>
      </c>
      <c r="T1619" s="1">
        <v>-2.6200000000000001E-2</v>
      </c>
      <c r="U1619" s="1">
        <v>-0.2059</v>
      </c>
    </row>
    <row r="1620" spans="1:21" x14ac:dyDescent="0.25">
      <c r="A1620" t="s">
        <v>3402</v>
      </c>
      <c r="B1620" t="s">
        <v>3403</v>
      </c>
      <c r="C1620" t="s">
        <v>109</v>
      </c>
      <c r="D1620" t="s">
        <v>110</v>
      </c>
      <c r="E1620" t="s">
        <v>732</v>
      </c>
      <c r="F1620" t="str">
        <f t="shared" si="28"/>
        <v>2018-05-20</v>
      </c>
      <c r="G1620">
        <v>18.95</v>
      </c>
      <c r="H1620" t="str">
        <f>"2018-03-29"</f>
        <v>2018-03-29</v>
      </c>
      <c r="I1620" t="s">
        <v>57</v>
      </c>
      <c r="J1620" t="str">
        <f>"2017-05-07"</f>
        <v>2017-05-07</v>
      </c>
      <c r="K1620" t="s">
        <v>26</v>
      </c>
      <c r="L1620">
        <v>-2.8782915899999999</v>
      </c>
      <c r="M1620">
        <v>1619</v>
      </c>
      <c r="N1620" s="1">
        <v>4.7E-2</v>
      </c>
      <c r="O1620" s="1">
        <v>-0.2697</v>
      </c>
      <c r="P1620" s="1">
        <v>9.2200000000000004E-2</v>
      </c>
      <c r="Q1620" s="1">
        <v>-2.5999999999999999E-3</v>
      </c>
      <c r="R1620" s="1">
        <v>2.7099999999999999E-2</v>
      </c>
      <c r="S1620" s="1">
        <v>3.8399999999999997E-2</v>
      </c>
      <c r="T1620" s="1">
        <v>1.34E-2</v>
      </c>
      <c r="U1620" s="1">
        <v>-0.1103</v>
      </c>
    </row>
    <row r="1621" spans="1:21" x14ac:dyDescent="0.25">
      <c r="A1621" t="s">
        <v>3404</v>
      </c>
      <c r="B1621" t="s">
        <v>3405</v>
      </c>
      <c r="C1621" t="s">
        <v>43</v>
      </c>
      <c r="D1621" t="s">
        <v>1342</v>
      </c>
      <c r="E1621" t="s">
        <v>1746</v>
      </c>
      <c r="F1621" t="str">
        <f t="shared" si="28"/>
        <v>2018-05-20</v>
      </c>
      <c r="G1621">
        <v>63.75</v>
      </c>
      <c r="H1621" t="str">
        <f>"2018-04-03"</f>
        <v>2018-04-03</v>
      </c>
      <c r="I1621" t="s">
        <v>57</v>
      </c>
      <c r="J1621" t="str">
        <f>"2018-02-06"</f>
        <v>2018-02-06</v>
      </c>
      <c r="K1621" t="s">
        <v>40</v>
      </c>
      <c r="L1621">
        <v>-2.87857143</v>
      </c>
      <c r="M1621">
        <v>1620</v>
      </c>
      <c r="N1621" s="1">
        <v>-2.8899999999999999E-2</v>
      </c>
      <c r="O1621" s="1">
        <v>-0.27139999999999997</v>
      </c>
      <c r="P1621" s="1">
        <v>1.1900000000000001E-2</v>
      </c>
      <c r="Q1621" s="1">
        <v>0</v>
      </c>
      <c r="R1621" s="1">
        <v>0</v>
      </c>
      <c r="S1621" s="1">
        <v>-5.3499999999999999E-2</v>
      </c>
      <c r="T1621" s="1">
        <v>-2.1499999999999998E-2</v>
      </c>
      <c r="U1621" s="1">
        <v>-0.1905</v>
      </c>
    </row>
    <row r="1622" spans="1:21" x14ac:dyDescent="0.25">
      <c r="A1622" t="s">
        <v>3406</v>
      </c>
      <c r="B1622" t="s">
        <v>3407</v>
      </c>
      <c r="C1622" t="s">
        <v>87</v>
      </c>
      <c r="D1622" t="s">
        <v>664</v>
      </c>
      <c r="E1622" t="s">
        <v>1116</v>
      </c>
      <c r="F1622" t="str">
        <f t="shared" si="28"/>
        <v>2018-05-20</v>
      </c>
      <c r="G1622">
        <v>76.959999999999994</v>
      </c>
      <c r="H1622" t="str">
        <f>"2017-11-05"</f>
        <v>2017-11-05</v>
      </c>
      <c r="I1622" t="s">
        <v>57</v>
      </c>
      <c r="J1622" t="str">
        <f>"2017-09-05"</f>
        <v>2017-09-05</v>
      </c>
      <c r="K1622" t="s">
        <v>40</v>
      </c>
      <c r="L1622">
        <v>-2.8790735700000001</v>
      </c>
      <c r="M1622">
        <v>1621</v>
      </c>
      <c r="N1622" s="1">
        <v>-0.1079</v>
      </c>
      <c r="O1622" s="1">
        <v>-0.27439999999999998</v>
      </c>
      <c r="P1622" s="1">
        <v>7.22E-2</v>
      </c>
      <c r="Q1622" s="1">
        <v>5.7999999999999996E-3</v>
      </c>
      <c r="R1622" s="1">
        <v>4.7100000000000003E-2</v>
      </c>
      <c r="S1622" s="1">
        <v>2.23E-2</v>
      </c>
      <c r="T1622" s="1">
        <v>-7.7399999999999997E-2</v>
      </c>
      <c r="U1622" s="1">
        <v>-0.20219999999999999</v>
      </c>
    </row>
    <row r="1623" spans="1:21" x14ac:dyDescent="0.25">
      <c r="A1623" t="s">
        <v>3408</v>
      </c>
      <c r="B1623" t="s">
        <v>3409</v>
      </c>
      <c r="C1623" t="s">
        <v>30</v>
      </c>
      <c r="D1623" t="s">
        <v>299</v>
      </c>
      <c r="E1623" t="s">
        <v>2120</v>
      </c>
      <c r="F1623" t="str">
        <f t="shared" si="28"/>
        <v>2018-05-20</v>
      </c>
      <c r="G1623">
        <v>11.29</v>
      </c>
      <c r="H1623" t="str">
        <f>"2017-12-18"</f>
        <v>2017-12-18</v>
      </c>
      <c r="I1623" t="s">
        <v>57</v>
      </c>
      <c r="J1623" t="str">
        <f>"2017-11-02"</f>
        <v>2017-11-02</v>
      </c>
      <c r="K1623" t="s">
        <v>40</v>
      </c>
      <c r="L1623">
        <v>-2.87976571</v>
      </c>
      <c r="M1623">
        <v>1622</v>
      </c>
      <c r="N1623" s="1">
        <v>-0.1124</v>
      </c>
      <c r="O1623" s="1">
        <v>-0.27860000000000001</v>
      </c>
      <c r="P1623" s="1">
        <v>8.6599999999999996E-2</v>
      </c>
      <c r="Q1623" s="1">
        <v>1.35E-2</v>
      </c>
      <c r="R1623" s="1">
        <v>2.7000000000000001E-3</v>
      </c>
      <c r="S1623" s="1">
        <v>1.7999999999999999E-2</v>
      </c>
      <c r="T1623" s="1">
        <v>1.26E-2</v>
      </c>
      <c r="U1623" s="1">
        <v>-0.21759999999999999</v>
      </c>
    </row>
    <row r="1624" spans="1:21" x14ac:dyDescent="0.25">
      <c r="A1624" t="s">
        <v>3410</v>
      </c>
      <c r="B1624" t="s">
        <v>3411</v>
      </c>
      <c r="C1624" t="s">
        <v>37</v>
      </c>
      <c r="D1624" t="s">
        <v>38</v>
      </c>
      <c r="E1624" t="s">
        <v>97</v>
      </c>
      <c r="F1624" t="str">
        <f t="shared" si="28"/>
        <v>2018-05-20</v>
      </c>
      <c r="G1624">
        <v>29.01</v>
      </c>
      <c r="H1624" t="str">
        <f>"2018-05-08"</f>
        <v>2018-05-08</v>
      </c>
      <c r="I1624" t="s">
        <v>57</v>
      </c>
      <c r="J1624" t="str">
        <f>"2018-01-09"</f>
        <v>2018-01-09</v>
      </c>
      <c r="K1624" t="s">
        <v>27</v>
      </c>
      <c r="L1624">
        <v>-2.87978618</v>
      </c>
      <c r="M1624">
        <v>1623</v>
      </c>
      <c r="N1624" s="1">
        <v>-9.4E-2</v>
      </c>
      <c r="O1624" s="1">
        <v>-0.2787</v>
      </c>
      <c r="P1624" s="1">
        <v>0</v>
      </c>
      <c r="Q1624" s="1">
        <v>-7.5800000000000006E-2</v>
      </c>
      <c r="R1624" s="1">
        <v>-0.13270000000000001</v>
      </c>
      <c r="S1624" s="1">
        <v>-0.12139999999999999</v>
      </c>
      <c r="T1624" s="1">
        <v>-0.2787</v>
      </c>
      <c r="U1624" s="1">
        <v>-0.221</v>
      </c>
    </row>
    <row r="1625" spans="1:21" x14ac:dyDescent="0.25">
      <c r="A1625" t="s">
        <v>3412</v>
      </c>
      <c r="B1625" t="s">
        <v>3413</v>
      </c>
      <c r="C1625" t="s">
        <v>109</v>
      </c>
      <c r="D1625" t="s">
        <v>110</v>
      </c>
      <c r="E1625" t="s">
        <v>251</v>
      </c>
      <c r="F1625" t="str">
        <f t="shared" si="28"/>
        <v>2018-05-20</v>
      </c>
      <c r="G1625">
        <v>27.65</v>
      </c>
      <c r="H1625" t="str">
        <f>"2017-11-12"</f>
        <v>2017-11-12</v>
      </c>
      <c r="I1625" t="s">
        <v>57</v>
      </c>
      <c r="J1625" t="str">
        <f>"2016-08-10"</f>
        <v>2016-08-10</v>
      </c>
      <c r="K1625" t="s">
        <v>26</v>
      </c>
      <c r="L1625">
        <v>-2.8798348499999999</v>
      </c>
      <c r="M1625">
        <v>1624</v>
      </c>
      <c r="N1625" s="1">
        <v>-3.2399999999999998E-2</v>
      </c>
      <c r="O1625" s="1">
        <v>-0.27900000000000003</v>
      </c>
      <c r="P1625" s="1">
        <v>8.43E-2</v>
      </c>
      <c r="Q1625" s="1">
        <v>3.5999999999999999E-3</v>
      </c>
      <c r="R1625" s="1">
        <v>2.2200000000000001E-2</v>
      </c>
      <c r="S1625" s="1">
        <v>0</v>
      </c>
      <c r="T1625" s="1">
        <v>1.84E-2</v>
      </c>
      <c r="U1625" s="1">
        <v>-0.2351</v>
      </c>
    </row>
    <row r="1626" spans="1:21" x14ac:dyDescent="0.25">
      <c r="A1626" t="s">
        <v>3414</v>
      </c>
      <c r="B1626" t="s">
        <v>3415</v>
      </c>
      <c r="C1626" t="s">
        <v>30</v>
      </c>
      <c r="D1626" t="s">
        <v>299</v>
      </c>
      <c r="E1626" t="s">
        <v>300</v>
      </c>
      <c r="F1626" t="str">
        <f t="shared" si="28"/>
        <v>2018-05-20</v>
      </c>
      <c r="G1626">
        <v>60.44</v>
      </c>
      <c r="H1626" t="str">
        <f>"2018-03-08"</f>
        <v>2018-03-08</v>
      </c>
      <c r="I1626" t="s">
        <v>57</v>
      </c>
      <c r="J1626" t="str">
        <f>"2018-01-07"</f>
        <v>2018-01-07</v>
      </c>
      <c r="K1626" t="s">
        <v>40</v>
      </c>
      <c r="L1626">
        <v>-2.8804068200000001</v>
      </c>
      <c r="M1626">
        <v>1625</v>
      </c>
      <c r="N1626" s="1">
        <v>1.34E-2</v>
      </c>
      <c r="O1626" s="1">
        <v>-0.28239999999999998</v>
      </c>
      <c r="P1626" s="1">
        <v>9.1800000000000007E-2</v>
      </c>
      <c r="Q1626" s="1">
        <v>2.4199999999999999E-2</v>
      </c>
      <c r="R1626" s="1">
        <v>-3.0999999999999999E-3</v>
      </c>
      <c r="S1626" s="1">
        <v>1.6E-2</v>
      </c>
      <c r="T1626" s="1">
        <v>4.1000000000000002E-2</v>
      </c>
      <c r="U1626" s="1">
        <v>-0.16109999999999999</v>
      </c>
    </row>
    <row r="1627" spans="1:21" x14ac:dyDescent="0.25">
      <c r="A1627" t="s">
        <v>3416</v>
      </c>
      <c r="B1627" t="s">
        <v>3417</v>
      </c>
      <c r="C1627" t="s">
        <v>114</v>
      </c>
      <c r="D1627" t="s">
        <v>803</v>
      </c>
      <c r="E1627" t="s">
        <v>1516</v>
      </c>
      <c r="F1627" t="str">
        <f t="shared" si="28"/>
        <v>2018-05-20</v>
      </c>
      <c r="G1627">
        <v>89.9</v>
      </c>
      <c r="H1627" t="str">
        <f>"2018-05-06"</f>
        <v>2018-05-06</v>
      </c>
      <c r="I1627" t="s">
        <v>57</v>
      </c>
      <c r="J1627" t="str">
        <f>"2018-02-28"</f>
        <v>2018-02-28</v>
      </c>
      <c r="K1627" t="s">
        <v>40</v>
      </c>
      <c r="L1627">
        <v>-2.88146097</v>
      </c>
      <c r="M1627">
        <v>1626</v>
      </c>
      <c r="N1627" s="1">
        <v>3.6600000000000001E-2</v>
      </c>
      <c r="O1627" s="1">
        <v>-0.2888</v>
      </c>
      <c r="P1627" s="1">
        <v>5.4300000000000001E-2</v>
      </c>
      <c r="Q1627" s="1">
        <v>7.7999999999999996E-3</v>
      </c>
      <c r="R1627" s="1">
        <v>2.7900000000000001E-2</v>
      </c>
      <c r="S1627" s="1">
        <v>2.1899999999999999E-2</v>
      </c>
      <c r="T1627" s="1">
        <v>-0.1123</v>
      </c>
      <c r="U1627" s="1">
        <v>1.4800000000000001E-2</v>
      </c>
    </row>
    <row r="1628" spans="1:21" x14ac:dyDescent="0.25">
      <c r="A1628" t="s">
        <v>3418</v>
      </c>
      <c r="B1628" t="s">
        <v>3419</v>
      </c>
      <c r="C1628" t="s">
        <v>109</v>
      </c>
      <c r="D1628" t="s">
        <v>110</v>
      </c>
      <c r="E1628" t="s">
        <v>111</v>
      </c>
      <c r="F1628" t="str">
        <f t="shared" si="28"/>
        <v>2018-05-20</v>
      </c>
      <c r="G1628">
        <v>14</v>
      </c>
      <c r="H1628" t="str">
        <f>"2017-12-12"</f>
        <v>2017-12-12</v>
      </c>
      <c r="I1628" t="s">
        <v>57</v>
      </c>
      <c r="J1628" t="str">
        <f>"2017-10-02"</f>
        <v>2017-10-02</v>
      </c>
      <c r="K1628" t="s">
        <v>26</v>
      </c>
      <c r="L1628">
        <v>-2.8824517200000002</v>
      </c>
      <c r="M1628">
        <v>1627</v>
      </c>
      <c r="N1628" s="1">
        <v>-0.1195</v>
      </c>
      <c r="O1628" s="1">
        <v>-0.29470000000000002</v>
      </c>
      <c r="P1628" s="1">
        <v>6.4600000000000005E-2</v>
      </c>
      <c r="Q1628" s="1">
        <v>-1.7500000000000002E-2</v>
      </c>
      <c r="R1628" s="1">
        <v>2.1899999999999999E-2</v>
      </c>
      <c r="S1628" s="1">
        <v>-3.78E-2</v>
      </c>
      <c r="T1628" s="1">
        <v>2.9399999999999999E-2</v>
      </c>
      <c r="U1628" s="1">
        <v>-0.1411</v>
      </c>
    </row>
    <row r="1629" spans="1:21" x14ac:dyDescent="0.25">
      <c r="A1629" t="s">
        <v>3420</v>
      </c>
      <c r="B1629" t="s">
        <v>3421</v>
      </c>
      <c r="C1629" t="s">
        <v>114</v>
      </c>
      <c r="D1629" t="s">
        <v>115</v>
      </c>
      <c r="E1629" t="s">
        <v>116</v>
      </c>
      <c r="F1629" t="str">
        <f t="shared" si="28"/>
        <v>2018-05-20</v>
      </c>
      <c r="G1629">
        <v>9.15</v>
      </c>
      <c r="H1629" t="str">
        <f>"2018-04-26"</f>
        <v>2018-04-26</v>
      </c>
      <c r="I1629" t="s">
        <v>57</v>
      </c>
      <c r="J1629" t="str">
        <f>"2017-11-20"</f>
        <v>2017-11-20</v>
      </c>
      <c r="K1629" t="s">
        <v>26</v>
      </c>
      <c r="L1629">
        <v>-2.8826923099999999</v>
      </c>
      <c r="M1629">
        <v>1628</v>
      </c>
      <c r="N1629" s="1">
        <v>-3.1699999999999999E-2</v>
      </c>
      <c r="O1629" s="1">
        <v>-0.29620000000000002</v>
      </c>
      <c r="P1629" s="1">
        <v>3.9800000000000002E-2</v>
      </c>
      <c r="Q1629" s="1">
        <v>-3.1699999999999999E-2</v>
      </c>
      <c r="R1629" s="1">
        <v>3.9800000000000002E-2</v>
      </c>
      <c r="S1629" s="1">
        <v>-2.1399999999999999E-2</v>
      </c>
      <c r="T1629" s="1">
        <v>-0.23749999999999999</v>
      </c>
      <c r="U1629" s="1">
        <v>-0.2009</v>
      </c>
    </row>
    <row r="1630" spans="1:21" x14ac:dyDescent="0.25">
      <c r="A1630" t="s">
        <v>3422</v>
      </c>
      <c r="B1630" t="s">
        <v>3423</v>
      </c>
      <c r="C1630" t="s">
        <v>30</v>
      </c>
      <c r="D1630" t="s">
        <v>299</v>
      </c>
      <c r="E1630" t="s">
        <v>2120</v>
      </c>
      <c r="F1630" t="str">
        <f t="shared" si="28"/>
        <v>2018-05-20</v>
      </c>
      <c r="G1630">
        <v>7.33</v>
      </c>
      <c r="H1630" t="str">
        <f>"2017-12-28"</f>
        <v>2017-12-28</v>
      </c>
      <c r="I1630" t="s">
        <v>57</v>
      </c>
      <c r="J1630" t="str">
        <f>"2017-10-09"</f>
        <v>2017-10-09</v>
      </c>
      <c r="K1630" t="s">
        <v>26</v>
      </c>
      <c r="L1630">
        <v>-2.88286993</v>
      </c>
      <c r="M1630">
        <v>1629</v>
      </c>
      <c r="N1630" s="1">
        <v>-0.221</v>
      </c>
      <c r="O1630" s="1">
        <v>-0.29720000000000002</v>
      </c>
      <c r="P1630" s="1">
        <v>4.7100000000000003E-2</v>
      </c>
      <c r="Q1630" s="1">
        <v>1.38E-2</v>
      </c>
      <c r="R1630" s="1">
        <v>2.3699999999999999E-2</v>
      </c>
      <c r="S1630" s="1">
        <v>-1.35E-2</v>
      </c>
      <c r="T1630" s="1">
        <v>-4.1799999999999997E-2</v>
      </c>
      <c r="U1630" s="1">
        <v>-0.28560000000000002</v>
      </c>
    </row>
    <row r="1631" spans="1:21" x14ac:dyDescent="0.25">
      <c r="A1631" t="s">
        <v>3424</v>
      </c>
      <c r="B1631" t="s">
        <v>3425</v>
      </c>
      <c r="C1631" t="s">
        <v>43</v>
      </c>
      <c r="D1631" t="s">
        <v>150</v>
      </c>
      <c r="E1631" t="s">
        <v>151</v>
      </c>
      <c r="F1631" t="str">
        <f t="shared" si="28"/>
        <v>2018-05-20</v>
      </c>
      <c r="G1631">
        <v>42.05</v>
      </c>
      <c r="H1631" t="str">
        <f>"2018-02-07"</f>
        <v>2018-02-07</v>
      </c>
      <c r="I1631" t="s">
        <v>57</v>
      </c>
      <c r="J1631" t="str">
        <f>"2018-01-31"</f>
        <v>2018-01-31</v>
      </c>
      <c r="K1631" t="s">
        <v>40</v>
      </c>
      <c r="L1631">
        <v>-2.8830970300000001</v>
      </c>
      <c r="M1631">
        <v>1630</v>
      </c>
      <c r="N1631" s="1">
        <v>-7.17E-2</v>
      </c>
      <c r="O1631" s="1">
        <v>-0.29859999999999998</v>
      </c>
      <c r="P1631" s="1">
        <v>4.4699999999999997E-2</v>
      </c>
      <c r="Q1631" s="1">
        <v>4.7999999999999996E-3</v>
      </c>
      <c r="R1631" s="1">
        <v>2.4400000000000002E-2</v>
      </c>
      <c r="S1631" s="1">
        <v>-0.1157</v>
      </c>
      <c r="T1631" s="1">
        <v>-0.1285</v>
      </c>
      <c r="U1631" s="1">
        <v>-0.12939999999999999</v>
      </c>
    </row>
    <row r="1632" spans="1:21" x14ac:dyDescent="0.25">
      <c r="A1632" t="s">
        <v>3426</v>
      </c>
      <c r="B1632" t="s">
        <v>3427</v>
      </c>
      <c r="C1632" t="s">
        <v>114</v>
      </c>
      <c r="D1632" t="s">
        <v>254</v>
      </c>
      <c r="E1632" t="s">
        <v>255</v>
      </c>
      <c r="F1632" t="str">
        <f t="shared" si="28"/>
        <v>2018-05-20</v>
      </c>
      <c r="G1632">
        <v>13.91</v>
      </c>
      <c r="H1632" t="str">
        <f>"2018-05-01"</f>
        <v>2018-05-01</v>
      </c>
      <c r="I1632" t="s">
        <v>57</v>
      </c>
      <c r="J1632" t="str">
        <f>"2018-02-18"</f>
        <v>2018-02-18</v>
      </c>
      <c r="K1632" t="s">
        <v>27</v>
      </c>
      <c r="L1632">
        <v>-2.8837345399999998</v>
      </c>
      <c r="M1632">
        <v>1631</v>
      </c>
      <c r="N1632" s="1">
        <v>-4.4600000000000001E-2</v>
      </c>
      <c r="O1632" s="1">
        <v>-0.3024</v>
      </c>
      <c r="P1632" s="1">
        <v>6.6699999999999995E-2</v>
      </c>
      <c r="Q1632" s="1">
        <v>2.2000000000000001E-3</v>
      </c>
      <c r="R1632" s="1">
        <v>1.4E-3</v>
      </c>
      <c r="S1632" s="1">
        <v>-0.188</v>
      </c>
      <c r="T1632" s="1">
        <v>-0.23780000000000001</v>
      </c>
      <c r="U1632" s="1">
        <v>-0.35870000000000002</v>
      </c>
    </row>
    <row r="1633" spans="1:21" x14ac:dyDescent="0.25">
      <c r="A1633" t="s">
        <v>3428</v>
      </c>
      <c r="B1633" t="s">
        <v>3429</v>
      </c>
      <c r="C1633" t="s">
        <v>83</v>
      </c>
      <c r="D1633" t="s">
        <v>342</v>
      </c>
      <c r="E1633" t="s">
        <v>342</v>
      </c>
      <c r="F1633" t="str">
        <f t="shared" si="28"/>
        <v>2018-05-20</v>
      </c>
      <c r="G1633">
        <v>5.32</v>
      </c>
      <c r="H1633" t="str">
        <f>"2018-02-14"</f>
        <v>2018-02-14</v>
      </c>
      <c r="I1633" t="s">
        <v>57</v>
      </c>
      <c r="J1633" t="str">
        <f>"2018-01-14"</f>
        <v>2018-01-14</v>
      </c>
      <c r="K1633" t="s">
        <v>27</v>
      </c>
      <c r="L1633">
        <v>-2.8837412599999999</v>
      </c>
      <c r="M1633">
        <v>1632</v>
      </c>
      <c r="N1633" s="1">
        <v>-0.1948</v>
      </c>
      <c r="O1633" s="1">
        <v>-0.3024</v>
      </c>
      <c r="P1633" s="1">
        <v>3.1E-2</v>
      </c>
      <c r="Q1633" s="1">
        <v>9.4999999999999998E-3</v>
      </c>
      <c r="R1633" s="1">
        <v>1.14E-2</v>
      </c>
      <c r="S1633" s="1">
        <v>-1.4800000000000001E-2</v>
      </c>
      <c r="T1633" s="1">
        <v>-0.31090000000000001</v>
      </c>
      <c r="U1633" s="1">
        <v>-0.53359999999999996</v>
      </c>
    </row>
    <row r="1634" spans="1:21" x14ac:dyDescent="0.25">
      <c r="A1634" t="s">
        <v>3430</v>
      </c>
      <c r="B1634" t="s">
        <v>3431</v>
      </c>
      <c r="C1634" t="s">
        <v>23</v>
      </c>
      <c r="D1634" t="s">
        <v>173</v>
      </c>
      <c r="E1634" t="s">
        <v>174</v>
      </c>
      <c r="F1634" t="str">
        <f t="shared" si="28"/>
        <v>2018-05-20</v>
      </c>
      <c r="G1634">
        <v>50.05</v>
      </c>
      <c r="H1634" t="str">
        <f>"2018-04-22"</f>
        <v>2018-04-22</v>
      </c>
      <c r="I1634" t="s">
        <v>57</v>
      </c>
      <c r="J1634" t="str">
        <f>"2018-03-25"</f>
        <v>2018-03-25</v>
      </c>
      <c r="K1634" t="s">
        <v>40</v>
      </c>
      <c r="L1634">
        <v>-2.8838208000000001</v>
      </c>
      <c r="M1634">
        <v>1633</v>
      </c>
      <c r="N1634" s="1">
        <v>-2.7199999999999998E-2</v>
      </c>
      <c r="O1634" s="1">
        <v>-0.3029</v>
      </c>
      <c r="P1634" s="1">
        <v>1.9300000000000001E-2</v>
      </c>
      <c r="Q1634" s="1">
        <v>-1.4800000000000001E-2</v>
      </c>
      <c r="R1634" s="1">
        <v>9.1000000000000004E-3</v>
      </c>
      <c r="S1634" s="1">
        <v>-2.3400000000000001E-2</v>
      </c>
      <c r="T1634" s="1">
        <v>-0.15529999999999999</v>
      </c>
      <c r="U1634" s="1">
        <v>-6.7100000000000007E-2</v>
      </c>
    </row>
    <row r="1635" spans="1:21" x14ac:dyDescent="0.25">
      <c r="A1635" t="s">
        <v>3432</v>
      </c>
      <c r="B1635" t="s">
        <v>3433</v>
      </c>
      <c r="C1635" t="s">
        <v>43</v>
      </c>
      <c r="D1635" t="s">
        <v>193</v>
      </c>
      <c r="E1635" t="s">
        <v>194</v>
      </c>
      <c r="F1635" t="str">
        <f t="shared" si="28"/>
        <v>2018-05-20</v>
      </c>
      <c r="G1635">
        <v>20.5</v>
      </c>
      <c r="H1635" t="str">
        <f>"2017-12-20"</f>
        <v>2017-12-20</v>
      </c>
      <c r="I1635" t="s">
        <v>57</v>
      </c>
      <c r="J1635" t="str">
        <f>"2017-10-05"</f>
        <v>2017-10-05</v>
      </c>
      <c r="K1635" t="s">
        <v>26</v>
      </c>
      <c r="L1635">
        <v>-2.88476672</v>
      </c>
      <c r="M1635">
        <v>1634</v>
      </c>
      <c r="N1635" s="1">
        <v>-0.21149999999999999</v>
      </c>
      <c r="O1635" s="1">
        <v>-0.30859999999999999</v>
      </c>
      <c r="P1635" s="1">
        <v>3.5400000000000001E-2</v>
      </c>
      <c r="Q1635" s="1">
        <v>4.8999999999999998E-3</v>
      </c>
      <c r="R1635" s="1">
        <v>-9.7000000000000003E-3</v>
      </c>
      <c r="S1635" s="1">
        <v>-5.7500000000000002E-2</v>
      </c>
      <c r="T1635" s="1">
        <v>-8.8900000000000007E-2</v>
      </c>
      <c r="U1635" s="1">
        <v>-0.21609999999999999</v>
      </c>
    </row>
    <row r="1636" spans="1:21" x14ac:dyDescent="0.25">
      <c r="A1636" t="s">
        <v>3434</v>
      </c>
      <c r="B1636" t="s">
        <v>3435</v>
      </c>
      <c r="C1636" t="s">
        <v>43</v>
      </c>
      <c r="D1636" t="s">
        <v>44</v>
      </c>
      <c r="E1636" t="s">
        <v>246</v>
      </c>
      <c r="F1636" t="str">
        <f t="shared" si="28"/>
        <v>2018-05-20</v>
      </c>
      <c r="G1636">
        <v>30.02</v>
      </c>
      <c r="H1636" t="str">
        <f>"2018-01-07"</f>
        <v>2018-01-07</v>
      </c>
      <c r="I1636" t="s">
        <v>57</v>
      </c>
      <c r="J1636" t="str">
        <f>"2017-12-12"</f>
        <v>2017-12-12</v>
      </c>
      <c r="K1636" t="s">
        <v>27</v>
      </c>
      <c r="L1636">
        <v>-2.8858468300000002</v>
      </c>
      <c r="M1636">
        <v>1635</v>
      </c>
      <c r="N1636" s="1">
        <v>-0.23069999999999999</v>
      </c>
      <c r="O1636" s="1">
        <v>-0.31509999999999999</v>
      </c>
      <c r="P1636" s="1">
        <v>9.7999999999999997E-3</v>
      </c>
      <c r="Q1636" s="1">
        <v>9.7999999999999997E-3</v>
      </c>
      <c r="R1636" s="1">
        <v>-8.8999999999999999E-3</v>
      </c>
      <c r="S1636" s="1">
        <v>-6.0400000000000002E-2</v>
      </c>
      <c r="T1636" s="1">
        <v>-0.19109999999999999</v>
      </c>
      <c r="U1636" s="1">
        <v>-0.28060000000000002</v>
      </c>
    </row>
    <row r="1637" spans="1:21" x14ac:dyDescent="0.25">
      <c r="A1637" t="s">
        <v>3436</v>
      </c>
      <c r="B1637" t="s">
        <v>3437</v>
      </c>
      <c r="C1637" t="s">
        <v>114</v>
      </c>
      <c r="D1637" t="s">
        <v>809</v>
      </c>
      <c r="E1637" t="s">
        <v>1783</v>
      </c>
      <c r="F1637" t="str">
        <f t="shared" si="28"/>
        <v>2018-05-20</v>
      </c>
      <c r="G1637">
        <v>28.25</v>
      </c>
      <c r="H1637" t="str">
        <f>"2018-05-01"</f>
        <v>2018-05-01</v>
      </c>
      <c r="I1637" t="s">
        <v>57</v>
      </c>
      <c r="J1637" t="str">
        <f>"2017-04-25"</f>
        <v>2017-04-25</v>
      </c>
      <c r="K1637" t="s">
        <v>26</v>
      </c>
      <c r="L1637">
        <v>-2.8859967700000002</v>
      </c>
      <c r="M1637">
        <v>1636</v>
      </c>
      <c r="N1637" s="1">
        <v>-2.2499999999999999E-2</v>
      </c>
      <c r="O1637" s="1">
        <v>-0.316</v>
      </c>
      <c r="P1637" s="1">
        <v>2.5399999999999999E-2</v>
      </c>
      <c r="Q1637" s="1">
        <v>3.5999999999999999E-3</v>
      </c>
      <c r="R1637" s="1">
        <v>1.0699999999999999E-2</v>
      </c>
      <c r="S1637" s="1">
        <v>-3.9100000000000003E-2</v>
      </c>
      <c r="T1637" s="1">
        <v>-0.1555</v>
      </c>
      <c r="U1637" s="1">
        <v>7.1000000000000004E-3</v>
      </c>
    </row>
    <row r="1638" spans="1:21" x14ac:dyDescent="0.25">
      <c r="A1638" t="s">
        <v>3438</v>
      </c>
      <c r="B1638" t="s">
        <v>3439</v>
      </c>
      <c r="C1638" t="s">
        <v>109</v>
      </c>
      <c r="D1638" t="s">
        <v>156</v>
      </c>
      <c r="E1638" t="s">
        <v>277</v>
      </c>
      <c r="F1638" t="str">
        <f t="shared" si="28"/>
        <v>2018-05-20</v>
      </c>
      <c r="G1638">
        <v>64.27</v>
      </c>
      <c r="H1638" t="str">
        <f>"2018-03-12"</f>
        <v>2018-03-12</v>
      </c>
      <c r="I1638" t="s">
        <v>57</v>
      </c>
      <c r="J1638" t="str">
        <f>"2018-01-10"</f>
        <v>2018-01-10</v>
      </c>
      <c r="K1638" t="s">
        <v>40</v>
      </c>
      <c r="L1638">
        <v>-2.8863483599999999</v>
      </c>
      <c r="M1638">
        <v>1637</v>
      </c>
      <c r="N1638" s="1">
        <v>-9.5200000000000007E-2</v>
      </c>
      <c r="O1638" s="1">
        <v>-0.31809999999999999</v>
      </c>
      <c r="P1638" s="1">
        <v>7.9299999999999995E-2</v>
      </c>
      <c r="Q1638" s="1">
        <v>9.7000000000000003E-3</v>
      </c>
      <c r="R1638" s="1">
        <v>-1.4999999999999999E-2</v>
      </c>
      <c r="S1638" s="1">
        <v>4.1300000000000003E-2</v>
      </c>
      <c r="T1638" s="1">
        <v>-4.8000000000000001E-2</v>
      </c>
      <c r="U1638" s="1">
        <v>-0.17180000000000001</v>
      </c>
    </row>
    <row r="1639" spans="1:21" x14ac:dyDescent="0.25">
      <c r="A1639" t="s">
        <v>3440</v>
      </c>
      <c r="B1639" t="s">
        <v>3441</v>
      </c>
      <c r="C1639" t="s">
        <v>37</v>
      </c>
      <c r="D1639" t="s">
        <v>38</v>
      </c>
      <c r="E1639" t="s">
        <v>39</v>
      </c>
      <c r="F1639" t="str">
        <f t="shared" si="28"/>
        <v>2018-05-20</v>
      </c>
      <c r="G1639">
        <v>2.2999999999999998</v>
      </c>
      <c r="H1639" t="str">
        <f>"2017-07-18"</f>
        <v>2017-07-18</v>
      </c>
      <c r="I1639" t="s">
        <v>57</v>
      </c>
      <c r="J1639" t="str">
        <f>"2017-05-23"</f>
        <v>2017-05-23</v>
      </c>
      <c r="K1639" t="s">
        <v>26</v>
      </c>
      <c r="L1639">
        <v>-2.8865877700000002</v>
      </c>
      <c r="M1639">
        <v>1638</v>
      </c>
      <c r="N1639" s="1">
        <v>-0.20960000000000001</v>
      </c>
      <c r="O1639" s="1">
        <v>-0.31950000000000001</v>
      </c>
      <c r="P1639" s="1">
        <v>7.4800000000000005E-2</v>
      </c>
      <c r="Q1639" s="1">
        <v>-2.9499999999999998E-2</v>
      </c>
      <c r="R1639" s="1">
        <v>5.0200000000000002E-2</v>
      </c>
      <c r="S1639" s="1">
        <v>-4.3E-3</v>
      </c>
      <c r="T1639" s="1">
        <v>-0.16669999999999999</v>
      </c>
      <c r="U1639" s="1">
        <v>-0.30299999999999999</v>
      </c>
    </row>
    <row r="1640" spans="1:21" x14ac:dyDescent="0.25">
      <c r="A1640" t="s">
        <v>3442</v>
      </c>
      <c r="B1640" t="s">
        <v>3443</v>
      </c>
      <c r="C1640" t="s">
        <v>109</v>
      </c>
      <c r="D1640" t="s">
        <v>156</v>
      </c>
      <c r="E1640" t="s">
        <v>277</v>
      </c>
      <c r="F1640" t="str">
        <f t="shared" si="28"/>
        <v>2018-05-20</v>
      </c>
      <c r="G1640">
        <v>18.940000000000001</v>
      </c>
      <c r="H1640" t="str">
        <f>"2018-04-30"</f>
        <v>2018-04-30</v>
      </c>
      <c r="I1640" t="s">
        <v>57</v>
      </c>
      <c r="J1640" t="str">
        <f>"2018-04-09"</f>
        <v>2018-04-09</v>
      </c>
      <c r="K1640" t="s">
        <v>40</v>
      </c>
      <c r="L1640">
        <v>-2.8872618999999999</v>
      </c>
      <c r="M1640">
        <v>1639</v>
      </c>
      <c r="N1640" s="1">
        <v>-0.15179999999999999</v>
      </c>
      <c r="O1640" s="1">
        <v>-0.3236</v>
      </c>
      <c r="P1640" s="1">
        <v>1.4999999999999999E-2</v>
      </c>
      <c r="Q1640" s="1">
        <v>-6.3E-3</v>
      </c>
      <c r="R1640" s="1">
        <v>1.4999999999999999E-2</v>
      </c>
      <c r="S1640" s="1">
        <v>-0.17899999999999999</v>
      </c>
      <c r="T1640" s="1">
        <v>-0.20419999999999999</v>
      </c>
      <c r="U1640" s="1">
        <v>-0.40310000000000001</v>
      </c>
    </row>
    <row r="1641" spans="1:21" x14ac:dyDescent="0.25">
      <c r="A1641" t="s">
        <v>3444</v>
      </c>
      <c r="B1641" t="s">
        <v>3445</v>
      </c>
      <c r="C1641" t="s">
        <v>109</v>
      </c>
      <c r="D1641" t="s">
        <v>110</v>
      </c>
      <c r="E1641" t="s">
        <v>111</v>
      </c>
      <c r="F1641" t="str">
        <f t="shared" si="28"/>
        <v>2018-05-20</v>
      </c>
      <c r="G1641">
        <v>130.18</v>
      </c>
      <c r="H1641" t="str">
        <f>"2017-08-21"</f>
        <v>2017-08-21</v>
      </c>
      <c r="I1641" t="s">
        <v>57</v>
      </c>
      <c r="J1641" t="str">
        <f>"2017-07-31"</f>
        <v>2017-07-31</v>
      </c>
      <c r="K1641" t="s">
        <v>40</v>
      </c>
      <c r="L1641">
        <v>-2.8872958999999998</v>
      </c>
      <c r="M1641">
        <v>1640</v>
      </c>
      <c r="N1641" s="1">
        <v>3.9699999999999999E-2</v>
      </c>
      <c r="O1641" s="1">
        <v>-0.32379999999999998</v>
      </c>
      <c r="P1641" s="1">
        <v>5.0900000000000001E-2</v>
      </c>
      <c r="Q1641" s="1">
        <v>-4.7000000000000002E-3</v>
      </c>
      <c r="R1641" s="1">
        <v>2.4E-2</v>
      </c>
      <c r="S1641" s="1">
        <v>-1.0200000000000001E-2</v>
      </c>
      <c r="T1641" s="1">
        <v>-5.45E-2</v>
      </c>
      <c r="U1641" s="1">
        <v>-0.29720000000000002</v>
      </c>
    </row>
    <row r="1642" spans="1:21" x14ac:dyDescent="0.25">
      <c r="A1642" t="s">
        <v>3446</v>
      </c>
      <c r="B1642" t="s">
        <v>3447</v>
      </c>
      <c r="C1642" t="s">
        <v>30</v>
      </c>
      <c r="D1642" t="s">
        <v>299</v>
      </c>
      <c r="E1642" t="s">
        <v>300</v>
      </c>
      <c r="F1642" t="str">
        <f t="shared" si="28"/>
        <v>2018-05-20</v>
      </c>
      <c r="G1642">
        <v>14.72</v>
      </c>
      <c r="H1642" t="str">
        <f>"2017-09-06"</f>
        <v>2017-09-06</v>
      </c>
      <c r="I1642" t="s">
        <v>57</v>
      </c>
      <c r="J1642" t="str">
        <f>"2017-02-28"</f>
        <v>2017-02-28</v>
      </c>
      <c r="K1642" t="s">
        <v>26</v>
      </c>
      <c r="L1642">
        <v>-2.8874617699999998</v>
      </c>
      <c r="M1642">
        <v>1641</v>
      </c>
      <c r="N1642" s="1">
        <v>-0.21579999999999999</v>
      </c>
      <c r="O1642" s="1">
        <v>-0.32479999999999998</v>
      </c>
      <c r="P1642" s="1">
        <v>2.4400000000000002E-2</v>
      </c>
      <c r="Q1642" s="1">
        <v>1.24E-2</v>
      </c>
      <c r="R1642" s="1">
        <v>-2.4500000000000001E-2</v>
      </c>
      <c r="S1642" s="1">
        <v>1.5900000000000001E-2</v>
      </c>
      <c r="T1642" s="1">
        <v>-3.2199999999999999E-2</v>
      </c>
      <c r="U1642" s="1">
        <v>-0.28270000000000001</v>
      </c>
    </row>
    <row r="1643" spans="1:21" x14ac:dyDescent="0.25">
      <c r="A1643" t="s">
        <v>3448</v>
      </c>
      <c r="B1643" t="s">
        <v>3449</v>
      </c>
      <c r="C1643" t="s">
        <v>43</v>
      </c>
      <c r="D1643" t="s">
        <v>119</v>
      </c>
      <c r="E1643" t="s">
        <v>205</v>
      </c>
      <c r="F1643" t="str">
        <f t="shared" si="28"/>
        <v>2018-05-20</v>
      </c>
      <c r="G1643">
        <v>5.7</v>
      </c>
      <c r="H1643" t="str">
        <f>"2018-05-20"</f>
        <v>2018-05-20</v>
      </c>
      <c r="I1643" t="s">
        <v>57</v>
      </c>
      <c r="J1643" t="str">
        <f>"2018-05-08"</f>
        <v>2018-05-08</v>
      </c>
      <c r="K1643" t="s">
        <v>40</v>
      </c>
      <c r="L1643">
        <v>-2.8877068600000002</v>
      </c>
      <c r="M1643">
        <v>1642</v>
      </c>
      <c r="N1643" s="1">
        <v>1.7899999999999999E-2</v>
      </c>
      <c r="O1643" s="1">
        <v>-0.32619999999999999</v>
      </c>
      <c r="P1643" s="1">
        <v>4.7800000000000002E-2</v>
      </c>
      <c r="Q1643" s="1">
        <v>1.7899999999999999E-2</v>
      </c>
      <c r="R1643" s="1">
        <v>2.7E-2</v>
      </c>
      <c r="S1643" s="1">
        <v>-9.5200000000000007E-2</v>
      </c>
      <c r="T1643" s="1">
        <v>-0.31080000000000002</v>
      </c>
      <c r="U1643" s="1">
        <v>-0.3448</v>
      </c>
    </row>
    <row r="1644" spans="1:21" x14ac:dyDescent="0.25">
      <c r="A1644" t="s">
        <v>3450</v>
      </c>
      <c r="B1644" t="s">
        <v>3451</v>
      </c>
      <c r="C1644" t="s">
        <v>87</v>
      </c>
      <c r="D1644" t="s">
        <v>664</v>
      </c>
      <c r="E1644" t="s">
        <v>665</v>
      </c>
      <c r="F1644" t="str">
        <f t="shared" si="28"/>
        <v>2018-05-20</v>
      </c>
      <c r="G1644">
        <v>17.649999999999999</v>
      </c>
      <c r="H1644" t="str">
        <f>"2018-02-27"</f>
        <v>2018-02-27</v>
      </c>
      <c r="I1644" t="s">
        <v>57</v>
      </c>
      <c r="J1644" t="str">
        <f>"2017-05-16"</f>
        <v>2017-05-16</v>
      </c>
      <c r="K1644" t="s">
        <v>26</v>
      </c>
      <c r="L1644">
        <v>-2.88823455</v>
      </c>
      <c r="M1644">
        <v>1643</v>
      </c>
      <c r="N1644" s="1">
        <v>-7.3999999999999996E-2</v>
      </c>
      <c r="O1644" s="1">
        <v>-0.32940000000000003</v>
      </c>
      <c r="P1644" s="1">
        <v>4.1300000000000003E-2</v>
      </c>
      <c r="Q1644" s="1">
        <v>3.3999999999999998E-3</v>
      </c>
      <c r="R1644" s="1">
        <v>-3.2300000000000002E-2</v>
      </c>
      <c r="S1644" s="1">
        <v>-1.34E-2</v>
      </c>
      <c r="T1644" s="1">
        <v>-6.3200000000000006E-2</v>
      </c>
      <c r="U1644" s="1">
        <v>-0.20530000000000001</v>
      </c>
    </row>
    <row r="1645" spans="1:21" x14ac:dyDescent="0.25">
      <c r="A1645" t="s">
        <v>3452</v>
      </c>
      <c r="B1645" t="s">
        <v>3453</v>
      </c>
      <c r="C1645" t="s">
        <v>30</v>
      </c>
      <c r="D1645" t="s">
        <v>347</v>
      </c>
      <c r="E1645" t="s">
        <v>532</v>
      </c>
      <c r="F1645" t="str">
        <f t="shared" si="28"/>
        <v>2018-05-20</v>
      </c>
      <c r="G1645">
        <v>15.45</v>
      </c>
      <c r="H1645" t="str">
        <f>"2018-01-23"</f>
        <v>2018-01-23</v>
      </c>
      <c r="I1645" t="s">
        <v>57</v>
      </c>
      <c r="J1645" t="str">
        <f>"2017-08-01"</f>
        <v>2017-08-01</v>
      </c>
      <c r="K1645" t="s">
        <v>26</v>
      </c>
      <c r="L1645">
        <v>-2.8882863300000001</v>
      </c>
      <c r="M1645">
        <v>1644</v>
      </c>
      <c r="N1645" s="1">
        <v>-0.27460000000000001</v>
      </c>
      <c r="O1645" s="1">
        <v>-0.32969999999999999</v>
      </c>
      <c r="P1645" s="1">
        <v>1.9800000000000002E-2</v>
      </c>
      <c r="Q1645" s="1">
        <v>1.6400000000000001E-2</v>
      </c>
      <c r="R1645" s="1">
        <v>1.9800000000000002E-2</v>
      </c>
      <c r="S1645" s="1">
        <v>-1.9E-2</v>
      </c>
      <c r="T1645" s="1">
        <v>-9.1200000000000003E-2</v>
      </c>
      <c r="U1645" s="1">
        <v>-0.23130000000000001</v>
      </c>
    </row>
    <row r="1646" spans="1:21" x14ac:dyDescent="0.25">
      <c r="A1646" t="s">
        <v>3454</v>
      </c>
      <c r="B1646" t="s">
        <v>3455</v>
      </c>
      <c r="C1646" t="s">
        <v>43</v>
      </c>
      <c r="D1646" t="s">
        <v>119</v>
      </c>
      <c r="E1646" t="s">
        <v>205</v>
      </c>
      <c r="F1646" t="str">
        <f t="shared" si="28"/>
        <v>2018-05-20</v>
      </c>
      <c r="G1646">
        <v>58.14</v>
      </c>
      <c r="H1646" t="str">
        <f>"2018-04-24"</f>
        <v>2018-04-24</v>
      </c>
      <c r="I1646" t="s">
        <v>57</v>
      </c>
      <c r="J1646" t="str">
        <f>"2017-06-08"</f>
        <v>2017-06-08</v>
      </c>
      <c r="K1646" t="s">
        <v>26</v>
      </c>
      <c r="L1646">
        <v>-2.8886206900000002</v>
      </c>
      <c r="M1646">
        <v>1645</v>
      </c>
      <c r="N1646" s="1">
        <v>-0.13439999999999999</v>
      </c>
      <c r="O1646" s="1">
        <v>-0.33169999999999999</v>
      </c>
      <c r="P1646" s="1">
        <v>6.6799999999999998E-2</v>
      </c>
      <c r="Q1646" s="1">
        <v>1.3100000000000001E-2</v>
      </c>
      <c r="R1646" s="1">
        <v>6.6799999999999998E-2</v>
      </c>
      <c r="S1646" s="1">
        <v>-0.1426</v>
      </c>
      <c r="T1646" s="1">
        <v>-0.22239999999999999</v>
      </c>
      <c r="U1646" s="1">
        <v>-0.14019999999999999</v>
      </c>
    </row>
    <row r="1647" spans="1:21" x14ac:dyDescent="0.25">
      <c r="A1647" t="s">
        <v>3456</v>
      </c>
      <c r="B1647" t="s">
        <v>3457</v>
      </c>
      <c r="C1647" t="s">
        <v>43</v>
      </c>
      <c r="D1647" t="s">
        <v>193</v>
      </c>
      <c r="E1647" t="s">
        <v>239</v>
      </c>
      <c r="F1647" t="str">
        <f t="shared" si="28"/>
        <v>2018-05-20</v>
      </c>
      <c r="G1647">
        <v>56.95</v>
      </c>
      <c r="H1647" t="str">
        <f>"2018-04-22"</f>
        <v>2018-04-22</v>
      </c>
      <c r="I1647" t="s">
        <v>57</v>
      </c>
      <c r="J1647" t="str">
        <f>"2016-12-04"</f>
        <v>2016-12-04</v>
      </c>
      <c r="K1647" t="s">
        <v>26</v>
      </c>
      <c r="L1647">
        <v>-2.8886607999999998</v>
      </c>
      <c r="M1647">
        <v>1646</v>
      </c>
      <c r="N1647" s="1">
        <v>-4.0399999999999998E-2</v>
      </c>
      <c r="O1647" s="1">
        <v>-0.33200000000000002</v>
      </c>
      <c r="P1647" s="1">
        <v>1.7899999999999999E-2</v>
      </c>
      <c r="Q1647" s="1">
        <v>1.7899999999999999E-2</v>
      </c>
      <c r="R1647" s="1">
        <v>-3.0599999999999999E-2</v>
      </c>
      <c r="S1647" s="1">
        <v>-1.21E-2</v>
      </c>
      <c r="T1647" s="1">
        <v>-0.25119999999999998</v>
      </c>
      <c r="U1647" s="1">
        <v>-0.1847</v>
      </c>
    </row>
    <row r="1648" spans="1:21" x14ac:dyDescent="0.25">
      <c r="A1648" t="s">
        <v>3458</v>
      </c>
      <c r="B1648" t="s">
        <v>3459</v>
      </c>
      <c r="C1648" t="s">
        <v>37</v>
      </c>
      <c r="D1648" t="s">
        <v>66</v>
      </c>
      <c r="E1648" t="s">
        <v>94</v>
      </c>
      <c r="F1648" t="str">
        <f t="shared" si="28"/>
        <v>2018-05-20</v>
      </c>
      <c r="G1648">
        <v>37.159999999999997</v>
      </c>
      <c r="H1648" t="str">
        <f>"2018-04-19"</f>
        <v>2018-04-19</v>
      </c>
      <c r="I1648" t="s">
        <v>57</v>
      </c>
      <c r="J1648" t="str">
        <f>"2017-01-08"</f>
        <v>2017-01-08</v>
      </c>
      <c r="K1648" t="s">
        <v>26</v>
      </c>
      <c r="L1648">
        <v>-2.88942451</v>
      </c>
      <c r="M1648">
        <v>1647</v>
      </c>
      <c r="N1648" s="1">
        <v>-4.9099999999999998E-2</v>
      </c>
      <c r="O1648" s="1">
        <v>-0.33650000000000002</v>
      </c>
      <c r="P1648" s="1">
        <v>1.2500000000000001E-2</v>
      </c>
      <c r="Q1648" s="1">
        <v>2.2000000000000001E-3</v>
      </c>
      <c r="R1648" s="1">
        <v>-1.8200000000000001E-2</v>
      </c>
      <c r="S1648" s="1">
        <v>-5.8999999999999997E-2</v>
      </c>
      <c r="T1648" s="1">
        <v>-0.22869999999999999</v>
      </c>
      <c r="U1648" s="1">
        <v>-0.2077</v>
      </c>
    </row>
    <row r="1649" spans="1:21" x14ac:dyDescent="0.25">
      <c r="A1649" t="s">
        <v>3460</v>
      </c>
      <c r="B1649" t="s">
        <v>3461</v>
      </c>
      <c r="C1649" t="s">
        <v>23</v>
      </c>
      <c r="D1649" t="s">
        <v>173</v>
      </c>
      <c r="E1649" t="s">
        <v>1429</v>
      </c>
      <c r="F1649" t="str">
        <f t="shared" si="28"/>
        <v>2018-05-20</v>
      </c>
      <c r="G1649">
        <v>11.7</v>
      </c>
      <c r="H1649" t="str">
        <f>"2018-04-29"</f>
        <v>2018-04-29</v>
      </c>
      <c r="I1649" t="s">
        <v>57</v>
      </c>
      <c r="J1649" t="str">
        <f>"2017-02-01"</f>
        <v>2017-02-01</v>
      </c>
      <c r="K1649" t="s">
        <v>26</v>
      </c>
      <c r="L1649">
        <v>-2.8904494399999998</v>
      </c>
      <c r="M1649">
        <v>1648</v>
      </c>
      <c r="N1649" s="1">
        <v>1.7399999999999999E-2</v>
      </c>
      <c r="O1649" s="1">
        <v>-0.3427</v>
      </c>
      <c r="P1649" s="1">
        <v>8.8400000000000006E-2</v>
      </c>
      <c r="Q1649" s="1">
        <v>8.6E-3</v>
      </c>
      <c r="R1649" s="1">
        <v>-4.3E-3</v>
      </c>
      <c r="S1649" s="1">
        <v>0</v>
      </c>
      <c r="T1649" s="1">
        <v>-0.23780000000000001</v>
      </c>
      <c r="U1649" s="1">
        <v>-7.1400000000000005E-2</v>
      </c>
    </row>
    <row r="1650" spans="1:21" x14ac:dyDescent="0.25">
      <c r="A1650" t="s">
        <v>3462</v>
      </c>
      <c r="B1650" t="s">
        <v>3463</v>
      </c>
      <c r="C1650" t="s">
        <v>109</v>
      </c>
      <c r="D1650" t="s">
        <v>110</v>
      </c>
      <c r="E1650" t="s">
        <v>251</v>
      </c>
      <c r="F1650" t="str">
        <f t="shared" si="28"/>
        <v>2018-05-20</v>
      </c>
      <c r="G1650">
        <v>12.45</v>
      </c>
      <c r="H1650" t="str">
        <f>"2018-03-29"</f>
        <v>2018-03-29</v>
      </c>
      <c r="I1650" t="s">
        <v>57</v>
      </c>
      <c r="J1650" t="str">
        <f>"2018-01-08"</f>
        <v>2018-01-08</v>
      </c>
      <c r="K1650" t="s">
        <v>27</v>
      </c>
      <c r="L1650">
        <v>-2.8907894700000001</v>
      </c>
      <c r="M1650">
        <v>1649</v>
      </c>
      <c r="N1650" s="1">
        <v>-8.4599999999999995E-2</v>
      </c>
      <c r="O1650" s="1">
        <v>-0.34470000000000001</v>
      </c>
      <c r="P1650" s="1">
        <v>5.5100000000000003E-2</v>
      </c>
      <c r="Q1650" s="1">
        <v>5.5100000000000003E-2</v>
      </c>
      <c r="R1650" s="1">
        <v>-6.3899999999999998E-2</v>
      </c>
      <c r="S1650" s="1">
        <v>-0.18090000000000001</v>
      </c>
      <c r="T1650" s="1">
        <v>-0.17280000000000001</v>
      </c>
      <c r="U1650" s="1">
        <v>-0.27189999999999998</v>
      </c>
    </row>
    <row r="1651" spans="1:21" x14ac:dyDescent="0.25">
      <c r="A1651" t="s">
        <v>3464</v>
      </c>
      <c r="B1651" t="s">
        <v>3465</v>
      </c>
      <c r="C1651" t="s">
        <v>30</v>
      </c>
      <c r="D1651" t="s">
        <v>299</v>
      </c>
      <c r="E1651" t="s">
        <v>2172</v>
      </c>
      <c r="F1651" t="str">
        <f t="shared" si="28"/>
        <v>2018-05-20</v>
      </c>
      <c r="G1651">
        <v>14.31</v>
      </c>
      <c r="H1651" t="str">
        <f>"2018-04-11"</f>
        <v>2018-04-11</v>
      </c>
      <c r="I1651" t="s">
        <v>57</v>
      </c>
      <c r="J1651" t="str">
        <f>"2018-01-29"</f>
        <v>2018-01-29</v>
      </c>
      <c r="K1651" t="s">
        <v>40</v>
      </c>
      <c r="L1651">
        <v>-2.8913439599999999</v>
      </c>
      <c r="M1651">
        <v>1650</v>
      </c>
      <c r="N1651" s="1">
        <v>-2.6499999999999999E-2</v>
      </c>
      <c r="O1651" s="1">
        <v>-0.34810000000000002</v>
      </c>
      <c r="P1651" s="1">
        <v>4.6100000000000002E-2</v>
      </c>
      <c r="Q1651" s="1">
        <v>0.02</v>
      </c>
      <c r="R1651" s="1">
        <v>9.1999999999999998E-3</v>
      </c>
      <c r="S1651" s="1">
        <v>1.2699999999999999E-2</v>
      </c>
      <c r="T1651" s="1">
        <v>-3.44E-2</v>
      </c>
      <c r="U1651" s="1">
        <v>-5.6099999999999997E-2</v>
      </c>
    </row>
    <row r="1652" spans="1:21" x14ac:dyDescent="0.25">
      <c r="A1652" t="s">
        <v>3466</v>
      </c>
      <c r="B1652" t="s">
        <v>3467</v>
      </c>
      <c r="C1652" t="s">
        <v>100</v>
      </c>
      <c r="D1652" t="s">
        <v>199</v>
      </c>
      <c r="E1652" t="s">
        <v>200</v>
      </c>
      <c r="F1652" t="str">
        <f t="shared" si="28"/>
        <v>2018-05-20</v>
      </c>
      <c r="G1652">
        <v>32.450000000000003</v>
      </c>
      <c r="H1652" t="str">
        <f>"2017-09-13"</f>
        <v>2017-09-13</v>
      </c>
      <c r="I1652" t="s">
        <v>57</v>
      </c>
      <c r="J1652" t="str">
        <f>"2017-07-09"</f>
        <v>2017-07-09</v>
      </c>
      <c r="K1652" t="s">
        <v>40</v>
      </c>
      <c r="L1652">
        <v>-2.8913989299999998</v>
      </c>
      <c r="M1652">
        <v>1651</v>
      </c>
      <c r="N1652" s="1">
        <v>-0.14149999999999999</v>
      </c>
      <c r="O1652" s="1">
        <v>-0.34839999999999999</v>
      </c>
      <c r="P1652" s="1">
        <v>4.3400000000000001E-2</v>
      </c>
      <c r="Q1652" s="1">
        <v>1.41E-2</v>
      </c>
      <c r="R1652" s="1">
        <v>2.0400000000000001E-2</v>
      </c>
      <c r="S1652" s="1">
        <v>-2.1100000000000001E-2</v>
      </c>
      <c r="T1652" s="1">
        <v>-6.7500000000000004E-2</v>
      </c>
      <c r="U1652" s="1">
        <v>-0.32400000000000001</v>
      </c>
    </row>
    <row r="1653" spans="1:21" x14ac:dyDescent="0.25">
      <c r="A1653" t="s">
        <v>3468</v>
      </c>
      <c r="B1653" t="s">
        <v>3469</v>
      </c>
      <c r="C1653" t="s">
        <v>114</v>
      </c>
      <c r="D1653" t="s">
        <v>646</v>
      </c>
      <c r="E1653" t="s">
        <v>3188</v>
      </c>
      <c r="F1653" t="str">
        <f t="shared" si="28"/>
        <v>2018-05-20</v>
      </c>
      <c r="G1653">
        <v>26.25</v>
      </c>
      <c r="H1653" t="str">
        <f>"2018-04-03"</f>
        <v>2018-04-03</v>
      </c>
      <c r="I1653" t="s">
        <v>57</v>
      </c>
      <c r="J1653" t="str">
        <f>"2018-01-21"</f>
        <v>2018-01-21</v>
      </c>
      <c r="K1653" t="s">
        <v>26</v>
      </c>
      <c r="L1653">
        <v>-2.8915737300000002</v>
      </c>
      <c r="M1653">
        <v>1652</v>
      </c>
      <c r="N1653" s="1">
        <v>-8.2199999999999995E-2</v>
      </c>
      <c r="O1653" s="1">
        <v>-0.34939999999999999</v>
      </c>
      <c r="P1653" s="1">
        <v>9.3799999999999994E-2</v>
      </c>
      <c r="Q1653" s="1">
        <v>1.7399999999999999E-2</v>
      </c>
      <c r="R1653" s="1">
        <v>4.3700000000000003E-2</v>
      </c>
      <c r="S1653" s="1">
        <v>-5.7500000000000002E-2</v>
      </c>
      <c r="T1653" s="1">
        <v>-0.20810000000000001</v>
      </c>
      <c r="U1653" s="1">
        <v>-0.27079999999999999</v>
      </c>
    </row>
    <row r="1654" spans="1:21" x14ac:dyDescent="0.25">
      <c r="A1654" t="s">
        <v>3470</v>
      </c>
      <c r="B1654" t="s">
        <v>3471</v>
      </c>
      <c r="C1654" t="s">
        <v>109</v>
      </c>
      <c r="D1654" t="s">
        <v>156</v>
      </c>
      <c r="E1654" t="s">
        <v>277</v>
      </c>
      <c r="F1654" t="str">
        <f t="shared" si="28"/>
        <v>2018-05-20</v>
      </c>
      <c r="G1654">
        <v>15.17</v>
      </c>
      <c r="H1654" t="str">
        <f>"2017-07-31"</f>
        <v>2017-07-31</v>
      </c>
      <c r="I1654" t="s">
        <v>57</v>
      </c>
      <c r="J1654" t="str">
        <f>"2017-03-06"</f>
        <v>2017-03-06</v>
      </c>
      <c r="K1654" t="s">
        <v>40</v>
      </c>
      <c r="L1654">
        <v>-2.8920899100000002</v>
      </c>
      <c r="M1654">
        <v>1653</v>
      </c>
      <c r="N1654" s="1">
        <v>-0.1429</v>
      </c>
      <c r="O1654" s="1">
        <v>-0.35249999999999998</v>
      </c>
      <c r="P1654" s="1">
        <v>8.8200000000000001E-2</v>
      </c>
      <c r="Q1654" s="1">
        <v>5.3E-3</v>
      </c>
      <c r="R1654" s="1">
        <v>1.2E-2</v>
      </c>
      <c r="S1654" s="1">
        <v>2E-3</v>
      </c>
      <c r="T1654" s="1">
        <v>-1.8100000000000002E-2</v>
      </c>
      <c r="U1654" s="1">
        <v>-0.1883</v>
      </c>
    </row>
    <row r="1655" spans="1:21" x14ac:dyDescent="0.25">
      <c r="A1655" t="s">
        <v>3472</v>
      </c>
      <c r="B1655" t="s">
        <v>3473</v>
      </c>
      <c r="C1655" t="s">
        <v>23</v>
      </c>
      <c r="D1655" t="s">
        <v>52</v>
      </c>
      <c r="E1655" t="s">
        <v>139</v>
      </c>
      <c r="F1655" t="str">
        <f t="shared" si="28"/>
        <v>2018-05-20</v>
      </c>
      <c r="G1655">
        <v>41.41</v>
      </c>
      <c r="H1655" t="str">
        <f>"2018-05-02"</f>
        <v>2018-05-02</v>
      </c>
      <c r="I1655" t="s">
        <v>57</v>
      </c>
      <c r="J1655" t="str">
        <f>"2017-09-17"</f>
        <v>2017-09-17</v>
      </c>
      <c r="K1655" t="s">
        <v>26</v>
      </c>
      <c r="L1655">
        <v>-2.8925308799999998</v>
      </c>
      <c r="M1655">
        <v>1654</v>
      </c>
      <c r="N1655" s="1">
        <v>-2.0299999999999999E-2</v>
      </c>
      <c r="O1655" s="1">
        <v>-0.35520000000000002</v>
      </c>
      <c r="P1655" s="1">
        <v>2.8799999999999999E-2</v>
      </c>
      <c r="Q1655" s="1">
        <v>-5.4999999999999997E-3</v>
      </c>
      <c r="R1655" s="1">
        <v>-1.83E-2</v>
      </c>
      <c r="S1655" s="1">
        <v>-1.26E-2</v>
      </c>
      <c r="T1655" s="1">
        <v>-0.27079999999999999</v>
      </c>
      <c r="U1655" s="1">
        <v>-0.13200000000000001</v>
      </c>
    </row>
    <row r="1656" spans="1:21" x14ac:dyDescent="0.25">
      <c r="A1656" t="s">
        <v>3474</v>
      </c>
      <c r="B1656" t="s">
        <v>3475</v>
      </c>
      <c r="C1656" t="s">
        <v>23</v>
      </c>
      <c r="D1656" t="s">
        <v>173</v>
      </c>
      <c r="E1656" t="s">
        <v>1429</v>
      </c>
      <c r="F1656" t="str">
        <f t="shared" si="28"/>
        <v>2018-05-20</v>
      </c>
      <c r="G1656">
        <v>7.75</v>
      </c>
      <c r="H1656" t="str">
        <f>"2018-03-18"</f>
        <v>2018-03-18</v>
      </c>
      <c r="I1656" t="s">
        <v>57</v>
      </c>
      <c r="J1656" t="str">
        <f>"2017-11-21"</f>
        <v>2017-11-21</v>
      </c>
      <c r="K1656" t="s">
        <v>26</v>
      </c>
      <c r="L1656">
        <v>-2.8941256800000001</v>
      </c>
      <c r="M1656">
        <v>1655</v>
      </c>
      <c r="N1656" s="1">
        <v>-0.22500000000000001</v>
      </c>
      <c r="O1656" s="1">
        <v>-0.36480000000000001</v>
      </c>
      <c r="P1656" s="1">
        <v>6.1600000000000002E-2</v>
      </c>
      <c r="Q1656" s="1">
        <v>-6.4000000000000003E-3</v>
      </c>
      <c r="R1656" s="1">
        <v>6.1600000000000002E-2</v>
      </c>
      <c r="S1656" s="1">
        <v>-0.24390000000000001</v>
      </c>
      <c r="T1656" s="1">
        <v>-0.26190000000000002</v>
      </c>
      <c r="U1656" s="1">
        <v>-0.22109999999999999</v>
      </c>
    </row>
    <row r="1657" spans="1:21" x14ac:dyDescent="0.25">
      <c r="A1657" t="s">
        <v>3476</v>
      </c>
      <c r="B1657" t="s">
        <v>3477</v>
      </c>
      <c r="C1657" t="s">
        <v>43</v>
      </c>
      <c r="D1657" t="s">
        <v>44</v>
      </c>
      <c r="E1657" t="s">
        <v>246</v>
      </c>
      <c r="F1657" t="str">
        <f t="shared" si="28"/>
        <v>2018-05-20</v>
      </c>
      <c r="G1657">
        <v>19.649999999999999</v>
      </c>
      <c r="H1657" t="str">
        <f>"2017-12-14"</f>
        <v>2017-12-14</v>
      </c>
      <c r="I1657" t="s">
        <v>57</v>
      </c>
      <c r="J1657" t="str">
        <f>"2017-06-14"</f>
        <v>2017-06-14</v>
      </c>
      <c r="K1657" t="s">
        <v>26</v>
      </c>
      <c r="L1657">
        <v>-2.89452496</v>
      </c>
      <c r="M1657">
        <v>1656</v>
      </c>
      <c r="N1657" s="1">
        <v>-0.14940000000000001</v>
      </c>
      <c r="O1657" s="1">
        <v>-0.36709999999999998</v>
      </c>
      <c r="P1657" s="1">
        <v>2.8799999999999999E-2</v>
      </c>
      <c r="Q1657" s="1">
        <v>1.29E-2</v>
      </c>
      <c r="R1657" s="1">
        <v>1.55E-2</v>
      </c>
      <c r="S1657" s="1">
        <v>-0.1208</v>
      </c>
      <c r="T1657" s="1">
        <v>-0.1363</v>
      </c>
      <c r="U1657" s="1">
        <v>-0.14749999999999999</v>
      </c>
    </row>
    <row r="1658" spans="1:21" x14ac:dyDescent="0.25">
      <c r="A1658" t="s">
        <v>3478</v>
      </c>
      <c r="B1658" t="s">
        <v>3479</v>
      </c>
      <c r="C1658" t="s">
        <v>109</v>
      </c>
      <c r="D1658" t="s">
        <v>156</v>
      </c>
      <c r="E1658" t="s">
        <v>284</v>
      </c>
      <c r="F1658" t="str">
        <f t="shared" si="28"/>
        <v>2018-05-20</v>
      </c>
      <c r="G1658">
        <v>15.45</v>
      </c>
      <c r="H1658" t="str">
        <f>"2018-01-22"</f>
        <v>2018-01-22</v>
      </c>
      <c r="I1658" t="s">
        <v>57</v>
      </c>
      <c r="J1658" t="str">
        <f>"2017-12-31"</f>
        <v>2017-12-31</v>
      </c>
      <c r="K1658" t="s">
        <v>40</v>
      </c>
      <c r="L1658">
        <v>-2.8948979600000002</v>
      </c>
      <c r="M1658">
        <v>1657</v>
      </c>
      <c r="N1658" s="1">
        <v>-8.0399999999999999E-2</v>
      </c>
      <c r="O1658" s="1">
        <v>-0.36940000000000001</v>
      </c>
      <c r="P1658" s="1">
        <v>6.9199999999999998E-2</v>
      </c>
      <c r="Q1658" s="1">
        <v>4.0399999999999998E-2</v>
      </c>
      <c r="R1658" s="1">
        <v>4.7500000000000001E-2</v>
      </c>
      <c r="S1658" s="1">
        <v>6.9199999999999998E-2</v>
      </c>
      <c r="T1658" s="1">
        <v>-2.2200000000000001E-2</v>
      </c>
      <c r="U1658" s="1">
        <v>-0.2177</v>
      </c>
    </row>
    <row r="1659" spans="1:21" x14ac:dyDescent="0.25">
      <c r="A1659" t="s">
        <v>3480</v>
      </c>
      <c r="B1659" t="s">
        <v>3481</v>
      </c>
      <c r="C1659" t="s">
        <v>114</v>
      </c>
      <c r="D1659" t="s">
        <v>115</v>
      </c>
      <c r="E1659" t="s">
        <v>116</v>
      </c>
      <c r="F1659" t="str">
        <f t="shared" si="28"/>
        <v>2018-05-20</v>
      </c>
      <c r="G1659">
        <v>106.38</v>
      </c>
      <c r="H1659" t="str">
        <f>"2018-05-13"</f>
        <v>2018-05-13</v>
      </c>
      <c r="I1659" t="s">
        <v>57</v>
      </c>
      <c r="J1659" t="str">
        <f>"2016-01-11"</f>
        <v>2016-01-11</v>
      </c>
      <c r="K1659" t="s">
        <v>26</v>
      </c>
      <c r="L1659">
        <v>-2.8974017700000001</v>
      </c>
      <c r="M1659">
        <v>1658</v>
      </c>
      <c r="N1659" s="1">
        <v>-6.4100000000000004E-2</v>
      </c>
      <c r="O1659" s="1">
        <v>-0.38440000000000002</v>
      </c>
      <c r="P1659" s="1">
        <v>0</v>
      </c>
      <c r="Q1659" s="1">
        <v>-8.0999999999999996E-3</v>
      </c>
      <c r="R1659" s="1">
        <v>-6.0100000000000001E-2</v>
      </c>
      <c r="S1659" s="1">
        <v>-6.4199999999999993E-2</v>
      </c>
      <c r="T1659" s="1">
        <v>-0.1368</v>
      </c>
      <c r="U1659" s="1">
        <v>-8.7300000000000003E-2</v>
      </c>
    </row>
    <row r="1660" spans="1:21" x14ac:dyDescent="0.25">
      <c r="A1660" t="s">
        <v>3482</v>
      </c>
      <c r="B1660" t="s">
        <v>3483</v>
      </c>
      <c r="C1660" t="s">
        <v>37</v>
      </c>
      <c r="D1660" t="s">
        <v>66</v>
      </c>
      <c r="E1660" t="s">
        <v>72</v>
      </c>
      <c r="F1660" t="str">
        <f t="shared" si="28"/>
        <v>2018-05-20</v>
      </c>
      <c r="G1660">
        <v>49.52</v>
      </c>
      <c r="H1660" t="str">
        <f>"2017-10-05"</f>
        <v>2017-10-05</v>
      </c>
      <c r="I1660" t="s">
        <v>57</v>
      </c>
      <c r="J1660" t="str">
        <f>"2016-05-08"</f>
        <v>2016-05-08</v>
      </c>
      <c r="K1660" t="s">
        <v>26</v>
      </c>
      <c r="L1660">
        <v>-2.89824518</v>
      </c>
      <c r="M1660">
        <v>1659</v>
      </c>
      <c r="N1660" s="1">
        <v>-0.1229</v>
      </c>
      <c r="O1660" s="1">
        <v>-0.38950000000000001</v>
      </c>
      <c r="P1660" s="1">
        <v>7.5800000000000006E-2</v>
      </c>
      <c r="Q1660" s="1">
        <v>7.7000000000000002E-3</v>
      </c>
      <c r="R1660" s="1">
        <v>3.0000000000000001E-3</v>
      </c>
      <c r="S1660" s="1">
        <v>-6.6000000000000003E-2</v>
      </c>
      <c r="T1660" s="1">
        <v>2.6700000000000002E-2</v>
      </c>
      <c r="U1660" s="1">
        <v>-0.30780000000000002</v>
      </c>
    </row>
    <row r="1661" spans="1:21" x14ac:dyDescent="0.25">
      <c r="A1661" t="s">
        <v>3484</v>
      </c>
      <c r="B1661" t="s">
        <v>3485</v>
      </c>
      <c r="C1661" t="s">
        <v>114</v>
      </c>
      <c r="D1661" t="s">
        <v>646</v>
      </c>
      <c r="E1661" t="s">
        <v>647</v>
      </c>
      <c r="F1661" t="str">
        <f t="shared" si="28"/>
        <v>2018-05-20</v>
      </c>
      <c r="G1661">
        <v>14.45</v>
      </c>
      <c r="H1661" t="str">
        <f>"2018-04-04"</f>
        <v>2018-04-04</v>
      </c>
      <c r="I1661" t="s">
        <v>57</v>
      </c>
      <c r="J1661" t="str">
        <f>"2018-02-26"</f>
        <v>2018-02-26</v>
      </c>
      <c r="K1661" t="s">
        <v>40</v>
      </c>
      <c r="L1661">
        <v>-2.8985110299999999</v>
      </c>
      <c r="M1661">
        <v>1660</v>
      </c>
      <c r="N1661" s="1">
        <v>-0.17430000000000001</v>
      </c>
      <c r="O1661" s="1">
        <v>-0.3911</v>
      </c>
      <c r="P1661" s="1">
        <v>5.5500000000000001E-2</v>
      </c>
      <c r="Q1661" s="1">
        <v>2.1899999999999999E-2</v>
      </c>
      <c r="R1661" s="1">
        <v>4.7100000000000003E-2</v>
      </c>
      <c r="S1661" s="1">
        <v>-0.1623</v>
      </c>
      <c r="T1661" s="1">
        <v>-0.2334</v>
      </c>
      <c r="U1661" s="1">
        <v>-0.26350000000000001</v>
      </c>
    </row>
    <row r="1662" spans="1:21" x14ac:dyDescent="0.25">
      <c r="A1662" t="s">
        <v>3486</v>
      </c>
      <c r="B1662" t="s">
        <v>3487</v>
      </c>
      <c r="C1662" t="s">
        <v>87</v>
      </c>
      <c r="D1662" t="s">
        <v>144</v>
      </c>
      <c r="E1662" t="s">
        <v>145</v>
      </c>
      <c r="F1662" t="str">
        <f t="shared" si="28"/>
        <v>2018-05-20</v>
      </c>
      <c r="G1662">
        <v>0.98340000000000005</v>
      </c>
      <c r="H1662" t="str">
        <f>"2018-01-03"</f>
        <v>2018-01-03</v>
      </c>
      <c r="I1662" t="s">
        <v>57</v>
      </c>
      <c r="J1662" t="str">
        <f>"2017-12-03"</f>
        <v>2017-12-03</v>
      </c>
      <c r="K1662" t="s">
        <v>27</v>
      </c>
      <c r="L1662">
        <v>-2.8988271600000002</v>
      </c>
      <c r="M1662">
        <v>1661</v>
      </c>
      <c r="N1662" s="1">
        <v>-0.29249999999999998</v>
      </c>
      <c r="O1662" s="1">
        <v>-0.39300000000000002</v>
      </c>
      <c r="P1662" s="1">
        <v>0</v>
      </c>
      <c r="Q1662" s="1">
        <v>-6.3399999999999998E-2</v>
      </c>
      <c r="R1662" s="1">
        <v>-0.1449</v>
      </c>
      <c r="S1662" s="1">
        <v>-0.18729999999999999</v>
      </c>
      <c r="T1662" s="1">
        <v>-0.21329999999999999</v>
      </c>
      <c r="U1662" s="1">
        <v>-0.5272</v>
      </c>
    </row>
    <row r="1663" spans="1:21" x14ac:dyDescent="0.25">
      <c r="A1663" t="s">
        <v>3488</v>
      </c>
      <c r="B1663" t="s">
        <v>3489</v>
      </c>
      <c r="C1663" t="s">
        <v>114</v>
      </c>
      <c r="D1663" t="s">
        <v>268</v>
      </c>
      <c r="E1663" t="s">
        <v>268</v>
      </c>
      <c r="F1663" t="str">
        <f t="shared" si="28"/>
        <v>2018-05-20</v>
      </c>
      <c r="G1663">
        <v>48.7</v>
      </c>
      <c r="H1663" t="str">
        <f>"2017-10-24"</f>
        <v>2017-10-24</v>
      </c>
      <c r="I1663" t="s">
        <v>57</v>
      </c>
      <c r="J1663" t="str">
        <f>"2016-05-01"</f>
        <v>2016-05-01</v>
      </c>
      <c r="K1663" t="s">
        <v>26</v>
      </c>
      <c r="L1663">
        <v>-2.9002253599999999</v>
      </c>
      <c r="M1663">
        <v>1662</v>
      </c>
      <c r="N1663" s="1">
        <v>-0.1464</v>
      </c>
      <c r="O1663" s="1">
        <v>-0.40139999999999998</v>
      </c>
      <c r="P1663" s="1">
        <v>5.0700000000000002E-2</v>
      </c>
      <c r="Q1663" s="1">
        <v>1.35E-2</v>
      </c>
      <c r="R1663" s="1">
        <v>4.3900000000000002E-2</v>
      </c>
      <c r="S1663" s="1">
        <v>3.8399999999999997E-2</v>
      </c>
      <c r="T1663" s="1">
        <v>-4.4200000000000003E-2</v>
      </c>
      <c r="U1663" s="1">
        <v>-0.29930000000000001</v>
      </c>
    </row>
    <row r="1664" spans="1:21" x14ac:dyDescent="0.25">
      <c r="A1664" t="s">
        <v>3490</v>
      </c>
      <c r="B1664" t="s">
        <v>3491</v>
      </c>
      <c r="C1664" t="s">
        <v>37</v>
      </c>
      <c r="D1664" t="s">
        <v>66</v>
      </c>
      <c r="E1664" t="s">
        <v>72</v>
      </c>
      <c r="F1664" t="str">
        <f t="shared" si="28"/>
        <v>2018-05-20</v>
      </c>
      <c r="G1664">
        <v>14.15</v>
      </c>
      <c r="H1664" t="str">
        <f>"2018-05-14"</f>
        <v>2018-05-14</v>
      </c>
      <c r="I1664" t="s">
        <v>57</v>
      </c>
      <c r="J1664" t="str">
        <f>"2016-07-18"</f>
        <v>2016-07-18</v>
      </c>
      <c r="K1664" t="s">
        <v>26</v>
      </c>
      <c r="L1664">
        <v>-2.9029492499999998</v>
      </c>
      <c r="M1664">
        <v>1663</v>
      </c>
      <c r="N1664" s="1">
        <v>-2.0799999999999999E-2</v>
      </c>
      <c r="O1664" s="1">
        <v>-0.41770000000000002</v>
      </c>
      <c r="P1664" s="1">
        <v>1.0699999999999999E-2</v>
      </c>
      <c r="Q1664" s="1">
        <v>-7.0000000000000001E-3</v>
      </c>
      <c r="R1664" s="1">
        <v>-2.0799999999999999E-2</v>
      </c>
      <c r="S1664" s="1">
        <v>-0.19600000000000001</v>
      </c>
      <c r="T1664" s="1">
        <v>-0.29249999999999998</v>
      </c>
      <c r="U1664" s="1">
        <v>-0.17730000000000001</v>
      </c>
    </row>
    <row r="1665" spans="1:21" x14ac:dyDescent="0.25">
      <c r="A1665" t="s">
        <v>3492</v>
      </c>
      <c r="B1665" t="s">
        <v>3493</v>
      </c>
      <c r="C1665" t="s">
        <v>23</v>
      </c>
      <c r="D1665" t="s">
        <v>52</v>
      </c>
      <c r="E1665" t="s">
        <v>139</v>
      </c>
      <c r="F1665" t="str">
        <f t="shared" si="28"/>
        <v>2018-05-20</v>
      </c>
      <c r="G1665">
        <v>2.5</v>
      </c>
      <c r="H1665" t="str">
        <f>"2018-05-10"</f>
        <v>2018-05-10</v>
      </c>
      <c r="I1665" t="s">
        <v>57</v>
      </c>
      <c r="J1665" t="str">
        <f>"2018-01-21"</f>
        <v>2018-01-21</v>
      </c>
      <c r="K1665" t="s">
        <v>27</v>
      </c>
      <c r="L1665">
        <v>-2.9037721300000001</v>
      </c>
      <c r="M1665">
        <v>1664</v>
      </c>
      <c r="N1665" s="1">
        <v>-0.12590000000000001</v>
      </c>
      <c r="O1665" s="1">
        <v>-0.42259999999999998</v>
      </c>
      <c r="P1665" s="1">
        <v>0</v>
      </c>
      <c r="Q1665" s="1">
        <v>-4.2099999999999999E-2</v>
      </c>
      <c r="R1665" s="1">
        <v>-0.1103</v>
      </c>
      <c r="S1665" s="1">
        <v>-0.1409</v>
      </c>
      <c r="T1665" s="1">
        <v>-0.39900000000000002</v>
      </c>
      <c r="U1665" s="1">
        <v>-0.4612</v>
      </c>
    </row>
    <row r="1666" spans="1:21" x14ac:dyDescent="0.25">
      <c r="A1666" t="s">
        <v>3494</v>
      </c>
      <c r="B1666" t="s">
        <v>3495</v>
      </c>
      <c r="C1666" t="s">
        <v>30</v>
      </c>
      <c r="D1666" t="s">
        <v>299</v>
      </c>
      <c r="E1666" t="s">
        <v>1087</v>
      </c>
      <c r="F1666" t="str">
        <f t="shared" si="28"/>
        <v>2018-05-20</v>
      </c>
      <c r="G1666">
        <v>7.65</v>
      </c>
      <c r="H1666" t="str">
        <f>"2017-05-25"</f>
        <v>2017-05-25</v>
      </c>
      <c r="I1666" t="s">
        <v>57</v>
      </c>
      <c r="J1666" t="str">
        <f>"2017-03-26"</f>
        <v>2017-03-26</v>
      </c>
      <c r="K1666" t="s">
        <v>40</v>
      </c>
      <c r="L1666">
        <v>-2.9038461500000001</v>
      </c>
      <c r="M1666">
        <v>1665</v>
      </c>
      <c r="N1666" s="1">
        <v>-0.33129999999999998</v>
      </c>
      <c r="O1666" s="1">
        <v>-0.42309999999999998</v>
      </c>
      <c r="P1666" s="1">
        <v>2.8199999999999999E-2</v>
      </c>
      <c r="Q1666" s="1">
        <v>6.6E-3</v>
      </c>
      <c r="R1666" s="1">
        <v>1.8599999999999998E-2</v>
      </c>
      <c r="S1666" s="1">
        <v>7.9000000000000008E-3</v>
      </c>
      <c r="T1666" s="1">
        <v>-0.1011</v>
      </c>
      <c r="U1666" s="1">
        <v>-0.33129999999999998</v>
      </c>
    </row>
    <row r="1667" spans="1:21" x14ac:dyDescent="0.25">
      <c r="A1667" t="s">
        <v>3496</v>
      </c>
      <c r="B1667" t="s">
        <v>3497</v>
      </c>
      <c r="C1667" t="s">
        <v>30</v>
      </c>
      <c r="D1667" t="s">
        <v>48</v>
      </c>
      <c r="E1667" t="s">
        <v>505</v>
      </c>
      <c r="F1667" t="str">
        <f t="shared" si="28"/>
        <v>2018-05-20</v>
      </c>
      <c r="G1667">
        <v>11.45</v>
      </c>
      <c r="H1667" t="str">
        <f>"2018-01-30"</f>
        <v>2018-01-30</v>
      </c>
      <c r="I1667" t="s">
        <v>57</v>
      </c>
      <c r="J1667" t="str">
        <f>"2016-08-16"</f>
        <v>2016-08-16</v>
      </c>
      <c r="K1667" t="s">
        <v>26</v>
      </c>
      <c r="L1667">
        <v>-2.9038623000000001</v>
      </c>
      <c r="M1667">
        <v>1666</v>
      </c>
      <c r="N1667" s="1">
        <v>-0.1192</v>
      </c>
      <c r="O1667" s="1">
        <v>-0.42320000000000002</v>
      </c>
      <c r="P1667" s="1">
        <v>4.0899999999999999E-2</v>
      </c>
      <c r="Q1667" s="1">
        <v>4.4000000000000003E-3</v>
      </c>
      <c r="R1667" s="1">
        <v>1.3299999999999999E-2</v>
      </c>
      <c r="S1667" s="1">
        <v>-5.3699999999999998E-2</v>
      </c>
      <c r="T1667" s="1">
        <v>-7.6600000000000001E-2</v>
      </c>
      <c r="U1667" s="1">
        <v>-0.30180000000000001</v>
      </c>
    </row>
    <row r="1668" spans="1:21" x14ac:dyDescent="0.25">
      <c r="A1668" t="s">
        <v>3498</v>
      </c>
      <c r="B1668" t="s">
        <v>3499</v>
      </c>
      <c r="C1668" t="s">
        <v>30</v>
      </c>
      <c r="D1668" t="s">
        <v>299</v>
      </c>
      <c r="E1668" t="s">
        <v>300</v>
      </c>
      <c r="F1668" t="str">
        <f t="shared" si="28"/>
        <v>2018-05-20</v>
      </c>
      <c r="G1668">
        <v>34.93</v>
      </c>
      <c r="H1668" t="str">
        <f>"2018-02-26"</f>
        <v>2018-02-26</v>
      </c>
      <c r="I1668" t="s">
        <v>57</v>
      </c>
      <c r="J1668" t="str">
        <f>"2018-01-29"</f>
        <v>2018-01-29</v>
      </c>
      <c r="K1668" t="s">
        <v>40</v>
      </c>
      <c r="L1668">
        <v>-2.9046253800000001</v>
      </c>
      <c r="M1668">
        <v>1667</v>
      </c>
      <c r="N1668" s="1">
        <v>5.0500000000000003E-2</v>
      </c>
      <c r="O1668" s="1">
        <v>-0.42780000000000001</v>
      </c>
      <c r="P1668" s="1">
        <v>8.2400000000000001E-2</v>
      </c>
      <c r="Q1668" s="1">
        <v>2.0400000000000001E-2</v>
      </c>
      <c r="R1668" s="1">
        <v>-1.47E-2</v>
      </c>
      <c r="S1668" s="1">
        <v>3.7100000000000001E-2</v>
      </c>
      <c r="T1668" s="1">
        <v>5.0500000000000003E-2</v>
      </c>
      <c r="U1668" s="1">
        <v>-0.32890000000000003</v>
      </c>
    </row>
    <row r="1669" spans="1:21" x14ac:dyDescent="0.25">
      <c r="A1669" t="s">
        <v>3500</v>
      </c>
      <c r="B1669" t="s">
        <v>3501</v>
      </c>
      <c r="C1669" t="s">
        <v>100</v>
      </c>
      <c r="D1669" t="s">
        <v>199</v>
      </c>
      <c r="E1669" t="s">
        <v>1131</v>
      </c>
      <c r="F1669" t="str">
        <f t="shared" si="28"/>
        <v>2018-05-20</v>
      </c>
      <c r="G1669">
        <v>5.55</v>
      </c>
      <c r="H1669" t="str">
        <f>"2018-04-04"</f>
        <v>2018-04-04</v>
      </c>
      <c r="I1669" t="s">
        <v>57</v>
      </c>
      <c r="J1669" t="str">
        <f>"2017-11-27"</f>
        <v>2017-11-27</v>
      </c>
      <c r="K1669" t="s">
        <v>27</v>
      </c>
      <c r="L1669">
        <v>-2.9052254099999999</v>
      </c>
      <c r="M1669">
        <v>1668</v>
      </c>
      <c r="N1669" s="1">
        <v>-2.29E-2</v>
      </c>
      <c r="O1669" s="1">
        <v>-0.43140000000000001</v>
      </c>
      <c r="P1669" s="1">
        <v>2.5899999999999999E-2</v>
      </c>
      <c r="Q1669" s="1">
        <v>9.1000000000000004E-3</v>
      </c>
      <c r="R1669" s="1">
        <v>-1.2500000000000001E-2</v>
      </c>
      <c r="S1669" s="1">
        <v>-5.6099999999999997E-2</v>
      </c>
      <c r="T1669" s="1">
        <v>-0.22270000000000001</v>
      </c>
      <c r="U1669" s="1">
        <v>-0.37219999999999998</v>
      </c>
    </row>
    <row r="1670" spans="1:21" x14ac:dyDescent="0.25">
      <c r="A1670" t="s">
        <v>3502</v>
      </c>
      <c r="B1670" t="s">
        <v>3503</v>
      </c>
      <c r="C1670" t="s">
        <v>114</v>
      </c>
      <c r="D1670" t="s">
        <v>803</v>
      </c>
      <c r="E1670" t="s">
        <v>1516</v>
      </c>
      <c r="F1670" t="str">
        <f t="shared" si="28"/>
        <v>2018-05-20</v>
      </c>
      <c r="G1670">
        <v>129.27000000000001</v>
      </c>
      <c r="H1670" t="str">
        <f>"2018-03-13"</f>
        <v>2018-03-13</v>
      </c>
      <c r="I1670" t="s">
        <v>57</v>
      </c>
      <c r="J1670" t="str">
        <f>"2017-12-07"</f>
        <v>2017-12-07</v>
      </c>
      <c r="K1670" t="s">
        <v>26</v>
      </c>
      <c r="L1670">
        <v>-2.9053050300000001</v>
      </c>
      <c r="M1670">
        <v>1669</v>
      </c>
      <c r="N1670" s="1">
        <v>-0.30680000000000002</v>
      </c>
      <c r="O1670" s="1">
        <v>-0.43180000000000002</v>
      </c>
      <c r="P1670" s="1">
        <v>2.2100000000000002E-2</v>
      </c>
      <c r="Q1670" s="1">
        <v>1E-4</v>
      </c>
      <c r="R1670" s="1">
        <v>1.95E-2</v>
      </c>
      <c r="S1670" s="1">
        <v>-0.23300000000000001</v>
      </c>
      <c r="T1670" s="1">
        <v>-0.30359999999999998</v>
      </c>
      <c r="U1670" s="1">
        <v>-0.39710000000000001</v>
      </c>
    </row>
    <row r="1671" spans="1:21" x14ac:dyDescent="0.25">
      <c r="A1671" t="s">
        <v>3504</v>
      </c>
      <c r="B1671" t="s">
        <v>3505</v>
      </c>
      <c r="C1671" t="s">
        <v>100</v>
      </c>
      <c r="D1671" t="s">
        <v>1034</v>
      </c>
      <c r="E1671" t="s">
        <v>1035</v>
      </c>
      <c r="F1671" t="str">
        <f t="shared" si="28"/>
        <v>2018-05-20</v>
      </c>
      <c r="G1671">
        <v>3.14</v>
      </c>
      <c r="H1671" t="str">
        <f>"2018-04-24"</f>
        <v>2018-04-24</v>
      </c>
      <c r="I1671" t="s">
        <v>57</v>
      </c>
      <c r="J1671" t="str">
        <f>"2017-11-08"</f>
        <v>2017-11-08</v>
      </c>
      <c r="K1671" t="s">
        <v>26</v>
      </c>
      <c r="L1671">
        <v>-2.9057057099999999</v>
      </c>
      <c r="M1671">
        <v>1670</v>
      </c>
      <c r="N1671" s="1">
        <v>2.9499999999999998E-2</v>
      </c>
      <c r="O1671" s="1">
        <v>-0.43419999999999997</v>
      </c>
      <c r="P1671" s="1">
        <v>7.9000000000000001E-2</v>
      </c>
      <c r="Q1671" s="1">
        <v>2.9499999999999998E-2</v>
      </c>
      <c r="R1671" s="1">
        <v>-3.3799999999999997E-2</v>
      </c>
      <c r="S1671" s="1">
        <v>5.3699999999999998E-2</v>
      </c>
      <c r="T1671" s="1">
        <v>-4.5600000000000002E-2</v>
      </c>
      <c r="U1671" s="1">
        <v>-0.1105</v>
      </c>
    </row>
    <row r="1672" spans="1:21" x14ac:dyDescent="0.25">
      <c r="A1672" t="s">
        <v>3506</v>
      </c>
      <c r="B1672" t="s">
        <v>3507</v>
      </c>
      <c r="C1672" t="s">
        <v>23</v>
      </c>
      <c r="D1672" t="s">
        <v>24</v>
      </c>
      <c r="E1672" t="s">
        <v>494</v>
      </c>
      <c r="F1672" t="str">
        <f t="shared" si="28"/>
        <v>2018-05-20</v>
      </c>
      <c r="G1672">
        <v>50.55</v>
      </c>
      <c r="H1672" t="str">
        <f>"2017-08-24"</f>
        <v>2017-08-24</v>
      </c>
      <c r="I1672" t="s">
        <v>57</v>
      </c>
      <c r="J1672" t="str">
        <f>"2017-03-08"</f>
        <v>2017-03-08</v>
      </c>
      <c r="K1672" t="s">
        <v>40</v>
      </c>
      <c r="L1672">
        <v>-2.90591848</v>
      </c>
      <c r="M1672">
        <v>1671</v>
      </c>
      <c r="N1672" s="1">
        <v>-0.3458</v>
      </c>
      <c r="O1672" s="1">
        <v>-0.4355</v>
      </c>
      <c r="P1672" s="1">
        <v>0</v>
      </c>
      <c r="Q1672" s="1">
        <v>-6.7000000000000002E-3</v>
      </c>
      <c r="R1672" s="1">
        <v>-6.1000000000000004E-3</v>
      </c>
      <c r="S1672" s="1">
        <v>-0.18720000000000001</v>
      </c>
      <c r="T1672" s="1">
        <v>-0.1173</v>
      </c>
      <c r="U1672" s="1">
        <v>-0.35560000000000003</v>
      </c>
    </row>
    <row r="1673" spans="1:21" x14ac:dyDescent="0.25">
      <c r="A1673" t="s">
        <v>3508</v>
      </c>
      <c r="B1673" t="s">
        <v>3509</v>
      </c>
      <c r="C1673" t="s">
        <v>43</v>
      </c>
      <c r="D1673" t="s">
        <v>44</v>
      </c>
      <c r="E1673" t="s">
        <v>246</v>
      </c>
      <c r="F1673" t="str">
        <f t="shared" si="28"/>
        <v>2018-05-20</v>
      </c>
      <c r="G1673">
        <v>45.1</v>
      </c>
      <c r="H1673" t="str">
        <f>"2017-09-11"</f>
        <v>2017-09-11</v>
      </c>
      <c r="I1673" t="s">
        <v>57</v>
      </c>
      <c r="J1673" t="str">
        <f>"2016-03-29"</f>
        <v>2016-03-29</v>
      </c>
      <c r="K1673" t="s">
        <v>26</v>
      </c>
      <c r="L1673">
        <v>-2.9062759800000002</v>
      </c>
      <c r="M1673">
        <v>1672</v>
      </c>
      <c r="N1673" s="1">
        <v>-0.2356</v>
      </c>
      <c r="O1673" s="1">
        <v>-0.43769999999999998</v>
      </c>
      <c r="P1673" s="1">
        <v>9.8699999999999996E-2</v>
      </c>
      <c r="Q1673" s="1">
        <v>3.3E-3</v>
      </c>
      <c r="R1673" s="1">
        <v>5.2499999999999998E-2</v>
      </c>
      <c r="S1673" s="1">
        <v>3.09E-2</v>
      </c>
      <c r="T1673" s="1">
        <v>-0.17780000000000001</v>
      </c>
      <c r="U1673" s="1">
        <v>-0.3594</v>
      </c>
    </row>
    <row r="1674" spans="1:21" x14ac:dyDescent="0.25">
      <c r="A1674" t="s">
        <v>3510</v>
      </c>
      <c r="B1674" t="s">
        <v>3511</v>
      </c>
      <c r="C1674" t="s">
        <v>23</v>
      </c>
      <c r="D1674" t="s">
        <v>173</v>
      </c>
      <c r="E1674" t="s">
        <v>1429</v>
      </c>
      <c r="F1674" t="str">
        <f t="shared" si="28"/>
        <v>2018-05-20</v>
      </c>
      <c r="G1674">
        <v>4.3499999999999996</v>
      </c>
      <c r="H1674" t="str">
        <f>"2018-04-16"</f>
        <v>2018-04-16</v>
      </c>
      <c r="I1674" t="s">
        <v>57</v>
      </c>
      <c r="J1674" t="str">
        <f>"2017-12-05"</f>
        <v>2017-12-05</v>
      </c>
      <c r="K1674" t="s">
        <v>26</v>
      </c>
      <c r="L1674">
        <v>-2.90645161</v>
      </c>
      <c r="M1674">
        <v>1673</v>
      </c>
      <c r="N1674" s="1">
        <v>-0.1386</v>
      </c>
      <c r="O1674" s="1">
        <v>-0.43869999999999998</v>
      </c>
      <c r="P1674" s="1">
        <v>6.0999999999999999E-2</v>
      </c>
      <c r="Q1674" s="1">
        <v>1.1599999999999999E-2</v>
      </c>
      <c r="R1674" s="1">
        <v>3.5700000000000003E-2</v>
      </c>
      <c r="S1674" s="1">
        <v>-0.1212</v>
      </c>
      <c r="T1674" s="1">
        <v>-0.37859999999999999</v>
      </c>
      <c r="U1674" s="1">
        <v>-0.2301</v>
      </c>
    </row>
    <row r="1675" spans="1:21" x14ac:dyDescent="0.25">
      <c r="A1675" t="s">
        <v>3512</v>
      </c>
      <c r="B1675" t="s">
        <v>3513</v>
      </c>
      <c r="C1675" t="s">
        <v>43</v>
      </c>
      <c r="D1675" t="s">
        <v>150</v>
      </c>
      <c r="E1675" t="s">
        <v>408</v>
      </c>
      <c r="F1675" t="str">
        <f t="shared" si="28"/>
        <v>2018-05-20</v>
      </c>
      <c r="G1675">
        <v>18.350000000000001</v>
      </c>
      <c r="H1675" t="str">
        <f>"2018-03-27"</f>
        <v>2018-03-27</v>
      </c>
      <c r="I1675" t="s">
        <v>57</v>
      </c>
      <c r="J1675" t="str">
        <f>"2017-01-29"</f>
        <v>2017-01-29</v>
      </c>
      <c r="K1675" t="s">
        <v>34</v>
      </c>
      <c r="L1675">
        <v>-2.9067296900000001</v>
      </c>
      <c r="M1675">
        <v>1674</v>
      </c>
      <c r="N1675" s="1">
        <v>-0.1303</v>
      </c>
      <c r="O1675" s="1">
        <v>-0.44040000000000001</v>
      </c>
      <c r="P1675" s="1">
        <v>5.5800000000000002E-2</v>
      </c>
      <c r="Q1675" s="1">
        <v>3.8E-3</v>
      </c>
      <c r="R1675" s="1">
        <v>4.3799999999999999E-2</v>
      </c>
      <c r="S1675" s="1">
        <v>8.8000000000000005E-3</v>
      </c>
      <c r="T1675" s="1">
        <v>-0.33439999999999998</v>
      </c>
      <c r="U1675" s="1">
        <v>-0.312</v>
      </c>
    </row>
    <row r="1676" spans="1:21" x14ac:dyDescent="0.25">
      <c r="A1676" t="s">
        <v>3514</v>
      </c>
      <c r="B1676" t="s">
        <v>3515</v>
      </c>
      <c r="C1676" t="s">
        <v>114</v>
      </c>
      <c r="D1676" t="s">
        <v>809</v>
      </c>
      <c r="E1676" t="s">
        <v>810</v>
      </c>
      <c r="F1676" t="str">
        <f t="shared" si="28"/>
        <v>2018-05-20</v>
      </c>
      <c r="G1676">
        <v>1.85</v>
      </c>
      <c r="H1676" t="str">
        <f>"2018-04-19"</f>
        <v>2018-04-19</v>
      </c>
      <c r="I1676" t="s">
        <v>57</v>
      </c>
      <c r="J1676" t="str">
        <f>"2018-03-25"</f>
        <v>2018-03-25</v>
      </c>
      <c r="K1676" t="s">
        <v>40</v>
      </c>
      <c r="L1676">
        <v>-2.9079602000000002</v>
      </c>
      <c r="M1676">
        <v>1675</v>
      </c>
      <c r="N1676" s="1">
        <v>-6.5699999999999995E-2</v>
      </c>
      <c r="O1676" s="1">
        <v>-0.44779999999999998</v>
      </c>
      <c r="P1676" s="1">
        <v>8.1900000000000001E-2</v>
      </c>
      <c r="Q1676" s="1">
        <v>-2.12E-2</v>
      </c>
      <c r="R1676" s="1">
        <v>2.2100000000000002E-2</v>
      </c>
      <c r="S1676" s="1">
        <v>-6.0900000000000003E-2</v>
      </c>
      <c r="T1676" s="1">
        <v>-0.21279999999999999</v>
      </c>
      <c r="U1676" s="1">
        <v>-0.251</v>
      </c>
    </row>
    <row r="1677" spans="1:21" x14ac:dyDescent="0.25">
      <c r="A1677" t="s">
        <v>3516</v>
      </c>
      <c r="B1677" t="s">
        <v>3517</v>
      </c>
      <c r="C1677" t="s">
        <v>109</v>
      </c>
      <c r="D1677" t="s">
        <v>156</v>
      </c>
      <c r="E1677" t="s">
        <v>277</v>
      </c>
      <c r="F1677" t="str">
        <f t="shared" ref="F1677:F1740" si="29">"2018-05-20"</f>
        <v>2018-05-20</v>
      </c>
      <c r="G1677">
        <v>38.840000000000003</v>
      </c>
      <c r="H1677" t="str">
        <f>"2017-10-24"</f>
        <v>2017-10-24</v>
      </c>
      <c r="I1677" t="s">
        <v>57</v>
      </c>
      <c r="J1677" t="str">
        <f>"2015-11-30"</f>
        <v>2015-11-30</v>
      </c>
      <c r="K1677" t="s">
        <v>26</v>
      </c>
      <c r="L1677">
        <v>-2.9090312900000002</v>
      </c>
      <c r="M1677">
        <v>1676</v>
      </c>
      <c r="N1677" s="1">
        <v>-0.27539999999999998</v>
      </c>
      <c r="O1677" s="1">
        <v>-0.45419999999999999</v>
      </c>
      <c r="P1677" s="1">
        <v>9.8400000000000001E-2</v>
      </c>
      <c r="Q1677" s="1">
        <v>2.0500000000000001E-2</v>
      </c>
      <c r="R1677" s="1">
        <v>-1.2500000000000001E-2</v>
      </c>
      <c r="S1677" s="1">
        <v>7.7399999999999997E-2</v>
      </c>
      <c r="T1677" s="1">
        <v>-0.12230000000000001</v>
      </c>
      <c r="U1677" s="1">
        <v>-0.40310000000000001</v>
      </c>
    </row>
    <row r="1678" spans="1:21" x14ac:dyDescent="0.25">
      <c r="A1678" t="s">
        <v>3518</v>
      </c>
      <c r="B1678" t="s">
        <v>3519</v>
      </c>
      <c r="C1678" t="s">
        <v>43</v>
      </c>
      <c r="D1678" t="s">
        <v>169</v>
      </c>
      <c r="E1678" t="s">
        <v>904</v>
      </c>
      <c r="F1678" t="str">
        <f t="shared" si="29"/>
        <v>2018-05-20</v>
      </c>
      <c r="G1678">
        <v>0.74199999999999999</v>
      </c>
      <c r="H1678" t="str">
        <f>"2018-01-22"</f>
        <v>2018-01-22</v>
      </c>
      <c r="I1678" t="s">
        <v>57</v>
      </c>
      <c r="J1678" t="str">
        <f>"2017-12-04"</f>
        <v>2017-12-04</v>
      </c>
      <c r="K1678" t="s">
        <v>27</v>
      </c>
      <c r="L1678">
        <v>-2.9090686300000002</v>
      </c>
      <c r="M1678">
        <v>1677</v>
      </c>
      <c r="N1678" s="1">
        <v>-0.2135</v>
      </c>
      <c r="O1678" s="1">
        <v>-0.45440000000000003</v>
      </c>
      <c r="P1678" s="1">
        <v>9.1300000000000006E-2</v>
      </c>
      <c r="Q1678" s="1">
        <v>-2.2800000000000001E-2</v>
      </c>
      <c r="R1678" s="1">
        <v>-4.4299999999999999E-2</v>
      </c>
      <c r="S1678" s="1">
        <v>-9.3399999999999997E-2</v>
      </c>
      <c r="T1678" s="1">
        <v>-1.66E-2</v>
      </c>
      <c r="U1678" s="1">
        <v>-0.53910000000000002</v>
      </c>
    </row>
    <row r="1679" spans="1:21" x14ac:dyDescent="0.25">
      <c r="A1679" t="s">
        <v>3520</v>
      </c>
      <c r="B1679" t="s">
        <v>3521</v>
      </c>
      <c r="C1679" t="s">
        <v>37</v>
      </c>
      <c r="D1679" t="s">
        <v>38</v>
      </c>
      <c r="E1679" t="s">
        <v>39</v>
      </c>
      <c r="F1679" t="str">
        <f t="shared" si="29"/>
        <v>2018-05-20</v>
      </c>
      <c r="G1679">
        <v>9.44</v>
      </c>
      <c r="H1679" t="str">
        <f>"2018-05-09"</f>
        <v>2018-05-09</v>
      </c>
      <c r="I1679" t="s">
        <v>57</v>
      </c>
      <c r="J1679" t="str">
        <f>"2017-04-13"</f>
        <v>2017-04-13</v>
      </c>
      <c r="K1679" t="s">
        <v>34</v>
      </c>
      <c r="L1679">
        <v>-2.90957854</v>
      </c>
      <c r="M1679">
        <v>1678</v>
      </c>
      <c r="N1679" s="1">
        <v>3.2800000000000003E-2</v>
      </c>
      <c r="O1679" s="1">
        <v>-0.45750000000000002</v>
      </c>
      <c r="P1679" s="1">
        <v>5.2400000000000002E-2</v>
      </c>
      <c r="Q1679" s="1">
        <v>0</v>
      </c>
      <c r="R1679" s="1">
        <v>-6.3E-3</v>
      </c>
      <c r="S1679" s="1">
        <v>-8.6199999999999999E-2</v>
      </c>
      <c r="T1679" s="1">
        <v>-0.15490000000000001</v>
      </c>
      <c r="U1679" s="1">
        <v>-0.40670000000000001</v>
      </c>
    </row>
    <row r="1680" spans="1:21" x14ac:dyDescent="0.25">
      <c r="A1680" t="s">
        <v>3522</v>
      </c>
      <c r="B1680" t="s">
        <v>3523</v>
      </c>
      <c r="C1680" t="s">
        <v>37</v>
      </c>
      <c r="D1680" t="s">
        <v>38</v>
      </c>
      <c r="E1680" t="s">
        <v>39</v>
      </c>
      <c r="F1680" t="str">
        <f t="shared" si="29"/>
        <v>2018-05-20</v>
      </c>
      <c r="G1680">
        <v>23.01</v>
      </c>
      <c r="H1680" t="str">
        <f>"2017-12-18"</f>
        <v>2017-12-18</v>
      </c>
      <c r="I1680" t="s">
        <v>57</v>
      </c>
      <c r="J1680" t="str">
        <f>"2017-07-27"</f>
        <v>2017-07-27</v>
      </c>
      <c r="K1680" t="s">
        <v>40</v>
      </c>
      <c r="L1680">
        <v>-2.9098919200000002</v>
      </c>
      <c r="M1680">
        <v>1679</v>
      </c>
      <c r="N1680" s="1">
        <v>-0.1983</v>
      </c>
      <c r="O1680" s="1">
        <v>-0.45939999999999998</v>
      </c>
      <c r="P1680" s="1">
        <v>4.3099999999999999E-2</v>
      </c>
      <c r="Q1680" s="1">
        <v>-5.3499999999999999E-2</v>
      </c>
      <c r="R1680" s="1">
        <v>-9.8400000000000001E-2</v>
      </c>
      <c r="S1680" s="1">
        <v>2.0400000000000001E-2</v>
      </c>
      <c r="T1680" s="1">
        <v>-0.20019999999999999</v>
      </c>
      <c r="U1680" s="1">
        <v>-0.35759999999999997</v>
      </c>
    </row>
    <row r="1681" spans="1:21" x14ac:dyDescent="0.25">
      <c r="A1681" t="s">
        <v>3524</v>
      </c>
      <c r="B1681" t="s">
        <v>3525</v>
      </c>
      <c r="C1681" t="s">
        <v>23</v>
      </c>
      <c r="D1681" t="s">
        <v>411</v>
      </c>
      <c r="E1681" t="s">
        <v>412</v>
      </c>
      <c r="F1681" t="str">
        <f t="shared" si="29"/>
        <v>2018-05-20</v>
      </c>
      <c r="G1681">
        <v>18.239999999999998</v>
      </c>
      <c r="H1681" t="str">
        <f>"2018-01-16"</f>
        <v>2018-01-16</v>
      </c>
      <c r="I1681" t="s">
        <v>57</v>
      </c>
      <c r="J1681" t="str">
        <f>"2017-12-04"</f>
        <v>2017-12-04</v>
      </c>
      <c r="K1681" t="s">
        <v>27</v>
      </c>
      <c r="L1681">
        <v>-2.9098992300000002</v>
      </c>
      <c r="M1681">
        <v>1680</v>
      </c>
      <c r="N1681" s="1">
        <v>-0.27300000000000002</v>
      </c>
      <c r="O1681" s="1">
        <v>-0.45939999999999998</v>
      </c>
      <c r="P1681" s="1">
        <v>4.9500000000000002E-2</v>
      </c>
      <c r="Q1681" s="1">
        <v>-1.14E-2</v>
      </c>
      <c r="R1681" s="1">
        <v>-4.65E-2</v>
      </c>
      <c r="S1681" s="1">
        <v>-0.1273</v>
      </c>
      <c r="T1681" s="1">
        <v>-0.12770000000000001</v>
      </c>
      <c r="U1681" s="1">
        <v>-0.47560000000000002</v>
      </c>
    </row>
    <row r="1682" spans="1:21" x14ac:dyDescent="0.25">
      <c r="A1682" t="s">
        <v>3526</v>
      </c>
      <c r="B1682" t="s">
        <v>3527</v>
      </c>
      <c r="C1682" t="s">
        <v>30</v>
      </c>
      <c r="D1682" t="s">
        <v>347</v>
      </c>
      <c r="E1682" t="s">
        <v>532</v>
      </c>
      <c r="F1682" t="str">
        <f t="shared" si="29"/>
        <v>2018-05-20</v>
      </c>
      <c r="G1682">
        <v>11.1</v>
      </c>
      <c r="H1682" t="str">
        <f>"2017-10-17"</f>
        <v>2017-10-17</v>
      </c>
      <c r="I1682" t="s">
        <v>57</v>
      </c>
      <c r="J1682" t="str">
        <f>"2016-09-26"</f>
        <v>2016-09-26</v>
      </c>
      <c r="K1682" t="s">
        <v>26</v>
      </c>
      <c r="L1682">
        <v>-2.9104116200000001</v>
      </c>
      <c r="M1682">
        <v>1681</v>
      </c>
      <c r="N1682" s="1">
        <v>-0.28389999999999999</v>
      </c>
      <c r="O1682" s="1">
        <v>-0.46250000000000002</v>
      </c>
      <c r="P1682" s="1">
        <v>2.7799999999999998E-2</v>
      </c>
      <c r="Q1682" s="1">
        <v>-1.3299999999999999E-2</v>
      </c>
      <c r="R1682" s="1">
        <v>-1.77E-2</v>
      </c>
      <c r="S1682" s="1">
        <v>-5.9299999999999999E-2</v>
      </c>
      <c r="T1682" s="1">
        <v>-2.1999999999999999E-2</v>
      </c>
      <c r="U1682" s="1">
        <v>-0.38329999999999997</v>
      </c>
    </row>
    <row r="1683" spans="1:21" x14ac:dyDescent="0.25">
      <c r="A1683" t="s">
        <v>3528</v>
      </c>
      <c r="B1683" t="s">
        <v>3529</v>
      </c>
      <c r="C1683" t="s">
        <v>23</v>
      </c>
      <c r="D1683" t="s">
        <v>173</v>
      </c>
      <c r="E1683" t="s">
        <v>174</v>
      </c>
      <c r="F1683" t="str">
        <f t="shared" si="29"/>
        <v>2018-05-20</v>
      </c>
      <c r="G1683">
        <v>16.18</v>
      </c>
      <c r="H1683" t="str">
        <f>"2018-03-01"</f>
        <v>2018-03-01</v>
      </c>
      <c r="I1683" t="s">
        <v>57</v>
      </c>
      <c r="J1683" t="str">
        <f>"2018-01-31"</f>
        <v>2018-01-31</v>
      </c>
      <c r="K1683" t="s">
        <v>40</v>
      </c>
      <c r="L1683">
        <v>-2.91049895</v>
      </c>
      <c r="M1683">
        <v>1682</v>
      </c>
      <c r="N1683" s="1">
        <v>-0.1173</v>
      </c>
      <c r="O1683" s="1">
        <v>-0.46300000000000002</v>
      </c>
      <c r="P1683" s="1">
        <v>5.4800000000000001E-2</v>
      </c>
      <c r="Q1683" s="1">
        <v>1.9E-3</v>
      </c>
      <c r="R1683" s="1">
        <v>-1.9E-3</v>
      </c>
      <c r="S1683" s="1">
        <v>-5.8799999999999998E-2</v>
      </c>
      <c r="T1683" s="1">
        <v>-0.1681</v>
      </c>
      <c r="U1683" s="1">
        <v>-0.36969999999999997</v>
      </c>
    </row>
    <row r="1684" spans="1:21" x14ac:dyDescent="0.25">
      <c r="A1684" t="s">
        <v>3530</v>
      </c>
      <c r="B1684" t="s">
        <v>3531</v>
      </c>
      <c r="C1684" t="s">
        <v>23</v>
      </c>
      <c r="D1684" t="s">
        <v>173</v>
      </c>
      <c r="E1684" t="s">
        <v>1429</v>
      </c>
      <c r="F1684" t="str">
        <f t="shared" si="29"/>
        <v>2018-05-20</v>
      </c>
      <c r="G1684">
        <v>6.86</v>
      </c>
      <c r="H1684" t="str">
        <f>"2017-11-19"</f>
        <v>2017-11-19</v>
      </c>
      <c r="I1684" t="s">
        <v>57</v>
      </c>
      <c r="J1684" t="str">
        <f>"2017-08-06"</f>
        <v>2017-08-06</v>
      </c>
      <c r="K1684" t="s">
        <v>40</v>
      </c>
      <c r="L1684">
        <v>-2.91074681</v>
      </c>
      <c r="M1684">
        <v>1683</v>
      </c>
      <c r="N1684" s="1">
        <v>-2.1399999999999999E-2</v>
      </c>
      <c r="O1684" s="1">
        <v>-0.46450000000000002</v>
      </c>
      <c r="P1684" s="1">
        <v>4.7300000000000002E-2</v>
      </c>
      <c r="Q1684" s="1">
        <v>1.78E-2</v>
      </c>
      <c r="R1684" s="1">
        <v>-2.1399999999999999E-2</v>
      </c>
      <c r="S1684" s="1">
        <v>-9.1399999999999995E-2</v>
      </c>
      <c r="T1684" s="1">
        <v>-8.7800000000000003E-2</v>
      </c>
      <c r="U1684" s="1">
        <v>-0.33779999999999999</v>
      </c>
    </row>
    <row r="1685" spans="1:21" x14ac:dyDescent="0.25">
      <c r="A1685" t="s">
        <v>3532</v>
      </c>
      <c r="B1685" t="s">
        <v>3533</v>
      </c>
      <c r="C1685" t="s">
        <v>43</v>
      </c>
      <c r="D1685" t="s">
        <v>44</v>
      </c>
      <c r="E1685" t="s">
        <v>246</v>
      </c>
      <c r="F1685" t="str">
        <f t="shared" si="29"/>
        <v>2018-05-20</v>
      </c>
      <c r="G1685">
        <v>6.55</v>
      </c>
      <c r="H1685" t="str">
        <f>"2018-02-14"</f>
        <v>2018-02-14</v>
      </c>
      <c r="I1685" t="s">
        <v>57</v>
      </c>
      <c r="J1685" t="str">
        <f>"2017-11-21"</f>
        <v>2017-11-21</v>
      </c>
      <c r="K1685" t="s">
        <v>26</v>
      </c>
      <c r="L1685">
        <v>-2.9113906900000002</v>
      </c>
      <c r="M1685">
        <v>1684</v>
      </c>
      <c r="N1685" s="1">
        <v>-0.21179999999999999</v>
      </c>
      <c r="O1685" s="1">
        <v>-0.46829999999999999</v>
      </c>
      <c r="P1685" s="1">
        <v>1.55E-2</v>
      </c>
      <c r="Q1685" s="1">
        <v>1.55E-2</v>
      </c>
      <c r="R1685" s="1">
        <v>-2.53E-2</v>
      </c>
      <c r="S1685" s="1">
        <v>-0.13589999999999999</v>
      </c>
      <c r="T1685" s="1">
        <v>-0.2321</v>
      </c>
      <c r="U1685" s="1">
        <v>-0.53779999999999994</v>
      </c>
    </row>
    <row r="1686" spans="1:21" x14ac:dyDescent="0.25">
      <c r="A1686" t="s">
        <v>3534</v>
      </c>
      <c r="B1686" t="s">
        <v>3535</v>
      </c>
      <c r="C1686" t="s">
        <v>43</v>
      </c>
      <c r="D1686" t="s">
        <v>193</v>
      </c>
      <c r="E1686" t="s">
        <v>194</v>
      </c>
      <c r="F1686" t="str">
        <f t="shared" si="29"/>
        <v>2018-05-20</v>
      </c>
      <c r="G1686">
        <v>40.15</v>
      </c>
      <c r="H1686" t="str">
        <f>"2018-01-09"</f>
        <v>2018-01-09</v>
      </c>
      <c r="I1686" t="s">
        <v>57</v>
      </c>
      <c r="J1686" t="str">
        <f>"2016-06-21"</f>
        <v>2016-06-21</v>
      </c>
      <c r="K1686" t="s">
        <v>26</v>
      </c>
      <c r="L1686">
        <v>-2.9116028200000001</v>
      </c>
      <c r="M1686">
        <v>1685</v>
      </c>
      <c r="N1686" s="1">
        <v>-0.1048</v>
      </c>
      <c r="O1686" s="1">
        <v>-0.46960000000000002</v>
      </c>
      <c r="P1686" s="1">
        <v>9.0999999999999998E-2</v>
      </c>
      <c r="Q1686" s="1">
        <v>2.69E-2</v>
      </c>
      <c r="R1686" s="1">
        <v>3.0800000000000001E-2</v>
      </c>
      <c r="S1686" s="1">
        <v>7.0699999999999999E-2</v>
      </c>
      <c r="T1686" s="1">
        <v>-9.9000000000000008E-3</v>
      </c>
      <c r="U1686" s="1">
        <v>-0.36919999999999997</v>
      </c>
    </row>
    <row r="1687" spans="1:21" x14ac:dyDescent="0.25">
      <c r="A1687" t="s">
        <v>3536</v>
      </c>
      <c r="B1687" t="s">
        <v>3537</v>
      </c>
      <c r="C1687" t="s">
        <v>37</v>
      </c>
      <c r="D1687" t="s">
        <v>38</v>
      </c>
      <c r="E1687" t="s">
        <v>39</v>
      </c>
      <c r="F1687" t="str">
        <f t="shared" si="29"/>
        <v>2018-05-20</v>
      </c>
      <c r="G1687">
        <v>3.9</v>
      </c>
      <c r="H1687" t="str">
        <f>"2017-12-14"</f>
        <v>2017-12-14</v>
      </c>
      <c r="I1687" t="s">
        <v>57</v>
      </c>
      <c r="J1687" t="str">
        <f>"2017-10-08"</f>
        <v>2017-10-08</v>
      </c>
      <c r="K1687" t="s">
        <v>40</v>
      </c>
      <c r="L1687">
        <v>-2.9116847799999999</v>
      </c>
      <c r="M1687">
        <v>1686</v>
      </c>
      <c r="N1687" s="1">
        <v>-0.1772</v>
      </c>
      <c r="O1687" s="1">
        <v>-0.47010000000000002</v>
      </c>
      <c r="P1687" s="1">
        <v>8.9399999999999993E-2</v>
      </c>
      <c r="Q1687" s="1">
        <v>-1.7600000000000001E-2</v>
      </c>
      <c r="R1687" s="1">
        <v>-7.3599999999999999E-2</v>
      </c>
      <c r="S1687" s="1">
        <v>-4.41E-2</v>
      </c>
      <c r="T1687" s="1">
        <v>-0.16839999999999999</v>
      </c>
      <c r="U1687" s="1">
        <v>7.7999999999999996E-3</v>
      </c>
    </row>
    <row r="1688" spans="1:21" x14ac:dyDescent="0.25">
      <c r="A1688" t="s">
        <v>3538</v>
      </c>
      <c r="B1688" t="s">
        <v>3539</v>
      </c>
      <c r="C1688" t="s">
        <v>109</v>
      </c>
      <c r="D1688" t="s">
        <v>110</v>
      </c>
      <c r="E1688" t="s">
        <v>732</v>
      </c>
      <c r="F1688" t="str">
        <f t="shared" si="29"/>
        <v>2018-05-20</v>
      </c>
      <c r="G1688">
        <v>10.82</v>
      </c>
      <c r="H1688" t="str">
        <f>"2018-04-12"</f>
        <v>2018-04-12</v>
      </c>
      <c r="I1688" t="s">
        <v>57</v>
      </c>
      <c r="J1688" t="str">
        <f>"2018-02-14"</f>
        <v>2018-02-14</v>
      </c>
      <c r="K1688" t="s">
        <v>40</v>
      </c>
      <c r="L1688">
        <v>-2.9127981900000002</v>
      </c>
      <c r="M1688">
        <v>1687</v>
      </c>
      <c r="N1688" s="1">
        <v>-3.6499999999999998E-2</v>
      </c>
      <c r="O1688" s="1">
        <v>-0.4768</v>
      </c>
      <c r="P1688" s="1">
        <v>3.2399999999999998E-2</v>
      </c>
      <c r="Q1688" s="1">
        <v>-6.6400000000000001E-2</v>
      </c>
      <c r="R1688" s="1">
        <v>-7.5999999999999998E-2</v>
      </c>
      <c r="S1688" s="1">
        <v>-6.2399999999999997E-2</v>
      </c>
      <c r="T1688" s="1">
        <v>-0.21990000000000001</v>
      </c>
      <c r="U1688" s="1">
        <v>-0.18029999999999999</v>
      </c>
    </row>
    <row r="1689" spans="1:21" x14ac:dyDescent="0.25">
      <c r="A1689" t="s">
        <v>3540</v>
      </c>
      <c r="B1689" t="s">
        <v>3541</v>
      </c>
      <c r="C1689" t="s">
        <v>100</v>
      </c>
      <c r="D1689" t="s">
        <v>217</v>
      </c>
      <c r="E1689" t="s">
        <v>762</v>
      </c>
      <c r="F1689" t="str">
        <f t="shared" si="29"/>
        <v>2018-05-20</v>
      </c>
      <c r="G1689">
        <v>9.5500000000000007</v>
      </c>
      <c r="H1689" t="str">
        <f>"2018-01-04"</f>
        <v>2018-01-04</v>
      </c>
      <c r="I1689" t="s">
        <v>57</v>
      </c>
      <c r="J1689" t="str">
        <f>"2017-09-13"</f>
        <v>2017-09-13</v>
      </c>
      <c r="K1689" t="s">
        <v>26</v>
      </c>
      <c r="L1689">
        <v>-2.9130236799999998</v>
      </c>
      <c r="M1689">
        <v>1688</v>
      </c>
      <c r="N1689" s="1">
        <v>-0.31790000000000002</v>
      </c>
      <c r="O1689" s="1">
        <v>-0.47810000000000002</v>
      </c>
      <c r="P1689" s="1">
        <v>7.9100000000000004E-2</v>
      </c>
      <c r="Q1689" s="1">
        <v>-1.04E-2</v>
      </c>
      <c r="R1689" s="1">
        <v>-4.02E-2</v>
      </c>
      <c r="S1689" s="1">
        <v>-0.1157</v>
      </c>
      <c r="T1689" s="1">
        <v>-0.12790000000000001</v>
      </c>
      <c r="U1689" s="1">
        <v>-0.40870000000000001</v>
      </c>
    </row>
    <row r="1690" spans="1:21" x14ac:dyDescent="0.25">
      <c r="A1690" t="s">
        <v>3542</v>
      </c>
      <c r="B1690" t="s">
        <v>3543</v>
      </c>
      <c r="C1690" t="s">
        <v>114</v>
      </c>
      <c r="D1690" t="s">
        <v>809</v>
      </c>
      <c r="E1690" t="s">
        <v>1529</v>
      </c>
      <c r="F1690" t="str">
        <f t="shared" si="29"/>
        <v>2018-05-20</v>
      </c>
      <c r="G1690">
        <v>10.5</v>
      </c>
      <c r="H1690" t="str">
        <f>"2018-02-05"</f>
        <v>2018-02-05</v>
      </c>
      <c r="I1690" t="s">
        <v>57</v>
      </c>
      <c r="J1690" t="str">
        <f>"2017-11-09"</f>
        <v>2017-11-09</v>
      </c>
      <c r="K1690" t="s">
        <v>40</v>
      </c>
      <c r="L1690">
        <v>-2.9152542399999999</v>
      </c>
      <c r="M1690">
        <v>1689</v>
      </c>
      <c r="N1690" s="1">
        <v>-0.37309999999999999</v>
      </c>
      <c r="O1690" s="1">
        <v>-0.49149999999999999</v>
      </c>
      <c r="P1690" s="1">
        <v>0</v>
      </c>
      <c r="Q1690" s="1">
        <v>-9.4000000000000004E-3</v>
      </c>
      <c r="R1690" s="1">
        <v>-1.8700000000000001E-2</v>
      </c>
      <c r="S1690" s="1">
        <v>-9.8699999999999996E-2</v>
      </c>
      <c r="T1690" s="1">
        <v>-0.30230000000000001</v>
      </c>
      <c r="U1690" s="1">
        <v>-0.434</v>
      </c>
    </row>
    <row r="1691" spans="1:21" x14ac:dyDescent="0.25">
      <c r="A1691" t="s">
        <v>3544</v>
      </c>
      <c r="B1691" t="s">
        <v>3545</v>
      </c>
      <c r="C1691" t="s">
        <v>43</v>
      </c>
      <c r="D1691" t="s">
        <v>44</v>
      </c>
      <c r="E1691" t="s">
        <v>246</v>
      </c>
      <c r="F1691" t="str">
        <f t="shared" si="29"/>
        <v>2018-05-20</v>
      </c>
      <c r="G1691">
        <v>6.82</v>
      </c>
      <c r="H1691" t="str">
        <f>"2018-04-24"</f>
        <v>2018-04-24</v>
      </c>
      <c r="I1691" t="s">
        <v>57</v>
      </c>
      <c r="J1691" t="str">
        <f>"2018-04-08"</f>
        <v>2018-04-08</v>
      </c>
      <c r="K1691" t="s">
        <v>40</v>
      </c>
      <c r="L1691">
        <v>-2.9161131600000001</v>
      </c>
      <c r="M1691">
        <v>1690</v>
      </c>
      <c r="N1691" s="1">
        <v>-0.29549999999999998</v>
      </c>
      <c r="O1691" s="1">
        <v>-0.49669999999999997</v>
      </c>
      <c r="P1691" s="1">
        <v>8.77E-2</v>
      </c>
      <c r="Q1691" s="1">
        <v>8.8999999999999999E-3</v>
      </c>
      <c r="R1691" s="1">
        <v>8.77E-2</v>
      </c>
      <c r="S1691" s="1">
        <v>-0.28810000000000002</v>
      </c>
      <c r="T1691" s="1">
        <v>-0.37890000000000001</v>
      </c>
      <c r="U1691" s="1">
        <v>-0.38500000000000001</v>
      </c>
    </row>
    <row r="1692" spans="1:21" x14ac:dyDescent="0.25">
      <c r="A1692" t="s">
        <v>3546</v>
      </c>
      <c r="B1692" t="s">
        <v>3547</v>
      </c>
      <c r="C1692" t="s">
        <v>23</v>
      </c>
      <c r="D1692" t="s">
        <v>52</v>
      </c>
      <c r="E1692" t="s">
        <v>2885</v>
      </c>
      <c r="F1692" t="str">
        <f t="shared" si="29"/>
        <v>2018-05-20</v>
      </c>
      <c r="G1692">
        <v>20.36</v>
      </c>
      <c r="H1692" t="str">
        <f>"2018-04-15"</f>
        <v>2018-04-15</v>
      </c>
      <c r="I1692" t="s">
        <v>57</v>
      </c>
      <c r="J1692" t="str">
        <f>"2017-11-22"</f>
        <v>2017-11-22</v>
      </c>
      <c r="K1692" t="s">
        <v>40</v>
      </c>
      <c r="L1692">
        <v>-2.9161311599999999</v>
      </c>
      <c r="M1692">
        <v>1691</v>
      </c>
      <c r="N1692" s="1">
        <v>-9.6699999999999994E-2</v>
      </c>
      <c r="O1692" s="1">
        <v>-0.49680000000000002</v>
      </c>
      <c r="P1692" s="1">
        <v>2.52E-2</v>
      </c>
      <c r="Q1692" s="1">
        <v>2E-3</v>
      </c>
      <c r="R1692" s="1">
        <v>-4.4999999999999998E-2</v>
      </c>
      <c r="S1692" s="1">
        <v>-0.1366</v>
      </c>
      <c r="T1692" s="1">
        <v>-0.1764</v>
      </c>
      <c r="U1692" s="1">
        <v>-0.32450000000000001</v>
      </c>
    </row>
    <row r="1693" spans="1:21" x14ac:dyDescent="0.25">
      <c r="A1693" t="s">
        <v>3548</v>
      </c>
      <c r="B1693" t="s">
        <v>3549</v>
      </c>
      <c r="C1693" t="s">
        <v>23</v>
      </c>
      <c r="D1693" t="s">
        <v>52</v>
      </c>
      <c r="E1693" t="s">
        <v>56</v>
      </c>
      <c r="F1693" t="str">
        <f t="shared" si="29"/>
        <v>2018-05-20</v>
      </c>
      <c r="G1693">
        <v>15.17</v>
      </c>
      <c r="H1693" t="str">
        <f>"2018-03-07"</f>
        <v>2018-03-07</v>
      </c>
      <c r="I1693" t="s">
        <v>57</v>
      </c>
      <c r="J1693" t="str">
        <f>"2016-04-17"</f>
        <v>2016-04-17</v>
      </c>
      <c r="K1693" t="s">
        <v>26</v>
      </c>
      <c r="L1693">
        <v>-2.9164739599999998</v>
      </c>
      <c r="M1693">
        <v>1692</v>
      </c>
      <c r="N1693" s="1">
        <v>-3.9300000000000002E-2</v>
      </c>
      <c r="O1693" s="1">
        <v>-0.49880000000000002</v>
      </c>
      <c r="P1693" s="1">
        <v>1.0699999999999999E-2</v>
      </c>
      <c r="Q1693" s="1">
        <v>1.0699999999999999E-2</v>
      </c>
      <c r="R1693" s="1">
        <v>-3.5000000000000003E-2</v>
      </c>
      <c r="S1693" s="1">
        <v>-7.3300000000000004E-2</v>
      </c>
      <c r="T1693" s="1">
        <v>-4.3499999999999997E-2</v>
      </c>
      <c r="U1693" s="1">
        <v>-0.3992</v>
      </c>
    </row>
    <row r="1694" spans="1:21" x14ac:dyDescent="0.25">
      <c r="A1694" t="s">
        <v>3550</v>
      </c>
      <c r="B1694" t="s">
        <v>3551</v>
      </c>
      <c r="C1694" t="s">
        <v>109</v>
      </c>
      <c r="D1694" t="s">
        <v>110</v>
      </c>
      <c r="E1694" t="s">
        <v>111</v>
      </c>
      <c r="F1694" t="str">
        <f t="shared" si="29"/>
        <v>2018-05-20</v>
      </c>
      <c r="G1694">
        <v>7.35</v>
      </c>
      <c r="H1694" t="str">
        <f>"2017-10-01"</f>
        <v>2017-10-01</v>
      </c>
      <c r="I1694" t="s">
        <v>57</v>
      </c>
      <c r="J1694" t="str">
        <f>"2017-07-20"</f>
        <v>2017-07-20</v>
      </c>
      <c r="K1694" t="s">
        <v>26</v>
      </c>
      <c r="L1694">
        <v>-2.9172297299999999</v>
      </c>
      <c r="M1694">
        <v>1693</v>
      </c>
      <c r="N1694" s="1">
        <v>-0.39510000000000001</v>
      </c>
      <c r="O1694" s="1">
        <v>-0.50339999999999996</v>
      </c>
      <c r="P1694" s="1">
        <v>1.38E-2</v>
      </c>
      <c r="Q1694" s="1">
        <v>-4.5499999999999999E-2</v>
      </c>
      <c r="R1694" s="1">
        <v>-6.9599999999999995E-2</v>
      </c>
      <c r="S1694" s="1">
        <v>-0.2011</v>
      </c>
      <c r="T1694" s="1">
        <v>-0.34960000000000002</v>
      </c>
      <c r="U1694" s="1">
        <v>-0.39750000000000002</v>
      </c>
    </row>
    <row r="1695" spans="1:21" x14ac:dyDescent="0.25">
      <c r="A1695" t="s">
        <v>3552</v>
      </c>
      <c r="B1695" t="s">
        <v>3553</v>
      </c>
      <c r="C1695" t="s">
        <v>30</v>
      </c>
      <c r="D1695" t="s">
        <v>347</v>
      </c>
      <c r="E1695" t="s">
        <v>523</v>
      </c>
      <c r="F1695" t="str">
        <f t="shared" si="29"/>
        <v>2018-05-20</v>
      </c>
      <c r="G1695">
        <v>10.6</v>
      </c>
      <c r="H1695" t="str">
        <f>"2018-04-23"</f>
        <v>2018-04-23</v>
      </c>
      <c r="I1695" t="s">
        <v>57</v>
      </c>
      <c r="J1695" t="str">
        <f>"2017-08-31"</f>
        <v>2017-08-31</v>
      </c>
      <c r="K1695" t="s">
        <v>26</v>
      </c>
      <c r="L1695">
        <v>-2.9172521499999999</v>
      </c>
      <c r="M1695">
        <v>1694</v>
      </c>
      <c r="N1695" s="1">
        <v>9.4999999999999998E-3</v>
      </c>
      <c r="O1695" s="1">
        <v>-0.50349999999999995</v>
      </c>
      <c r="P1695" s="1">
        <v>4.4299999999999999E-2</v>
      </c>
      <c r="Q1695" s="1">
        <v>-1.4E-2</v>
      </c>
      <c r="R1695" s="1">
        <v>-1.4E-2</v>
      </c>
      <c r="S1695" s="1">
        <v>9.4999999999999998E-3</v>
      </c>
      <c r="T1695" s="1">
        <v>-0.4078</v>
      </c>
      <c r="U1695" s="1">
        <v>-0.29099999999999998</v>
      </c>
    </row>
    <row r="1696" spans="1:21" x14ac:dyDescent="0.25">
      <c r="A1696" t="s">
        <v>3554</v>
      </c>
      <c r="B1696" t="s">
        <v>3555</v>
      </c>
      <c r="C1696" t="s">
        <v>23</v>
      </c>
      <c r="D1696" t="s">
        <v>52</v>
      </c>
      <c r="E1696" t="s">
        <v>53</v>
      </c>
      <c r="F1696" t="str">
        <f t="shared" si="29"/>
        <v>2018-05-20</v>
      </c>
      <c r="G1696">
        <v>6.65</v>
      </c>
      <c r="H1696" t="str">
        <f>"2017-11-01"</f>
        <v>2017-11-01</v>
      </c>
      <c r="I1696" t="s">
        <v>57</v>
      </c>
      <c r="J1696" t="str">
        <f>"2017-05-28"</f>
        <v>2017-05-28</v>
      </c>
      <c r="K1696" t="s">
        <v>26</v>
      </c>
      <c r="L1696">
        <v>-2.9190997599999999</v>
      </c>
      <c r="M1696">
        <v>1695</v>
      </c>
      <c r="N1696" s="1">
        <v>-0.32140000000000002</v>
      </c>
      <c r="O1696" s="1">
        <v>-0.51459999999999995</v>
      </c>
      <c r="P1696" s="1">
        <v>4.7199999999999999E-2</v>
      </c>
      <c r="Q1696" s="1">
        <v>-1.4800000000000001E-2</v>
      </c>
      <c r="R1696" s="1">
        <v>-1.4800000000000001E-2</v>
      </c>
      <c r="S1696" s="1">
        <v>-0.1133</v>
      </c>
      <c r="T1696" s="1">
        <v>-6.3399999999999998E-2</v>
      </c>
      <c r="U1696" s="1">
        <v>-0.47010000000000002</v>
      </c>
    </row>
    <row r="1697" spans="1:21" x14ac:dyDescent="0.25">
      <c r="A1697" t="s">
        <v>3556</v>
      </c>
      <c r="B1697" t="s">
        <v>3557</v>
      </c>
      <c r="C1697" t="s">
        <v>23</v>
      </c>
      <c r="D1697" t="s">
        <v>411</v>
      </c>
      <c r="E1697" t="s">
        <v>412</v>
      </c>
      <c r="F1697" t="str">
        <f t="shared" si="29"/>
        <v>2018-05-20</v>
      </c>
      <c r="G1697">
        <v>4.7</v>
      </c>
      <c r="H1697" t="str">
        <f>"2018-04-10"</f>
        <v>2018-04-10</v>
      </c>
      <c r="I1697" t="s">
        <v>57</v>
      </c>
      <c r="J1697" t="str">
        <f>"2018-01-24"</f>
        <v>2018-01-24</v>
      </c>
      <c r="K1697" t="s">
        <v>26</v>
      </c>
      <c r="L1697">
        <v>-2.91924399</v>
      </c>
      <c r="M1697">
        <v>1696</v>
      </c>
      <c r="N1697" s="1">
        <v>-9.6199999999999994E-2</v>
      </c>
      <c r="O1697" s="1">
        <v>-0.51549999999999996</v>
      </c>
      <c r="P1697" s="1">
        <v>3.3000000000000002E-2</v>
      </c>
      <c r="Q1697" s="1">
        <v>-1.0500000000000001E-2</v>
      </c>
      <c r="R1697" s="1">
        <v>-3.09E-2</v>
      </c>
      <c r="S1697" s="1">
        <v>-6.93E-2</v>
      </c>
      <c r="T1697" s="1">
        <v>-0.39350000000000002</v>
      </c>
      <c r="U1697" s="1">
        <v>-0.65190000000000003</v>
      </c>
    </row>
    <row r="1698" spans="1:21" x14ac:dyDescent="0.25">
      <c r="A1698" t="s">
        <v>3558</v>
      </c>
      <c r="B1698" t="s">
        <v>3559</v>
      </c>
      <c r="C1698" t="s">
        <v>109</v>
      </c>
      <c r="D1698" t="s">
        <v>156</v>
      </c>
      <c r="E1698" t="s">
        <v>277</v>
      </c>
      <c r="F1698" t="str">
        <f t="shared" si="29"/>
        <v>2018-05-20</v>
      </c>
      <c r="G1698">
        <v>16.57</v>
      </c>
      <c r="H1698" t="str">
        <f>"2018-04-16"</f>
        <v>2018-04-16</v>
      </c>
      <c r="I1698" t="s">
        <v>57</v>
      </c>
      <c r="J1698" t="str">
        <f>"2018-01-31"</f>
        <v>2018-01-31</v>
      </c>
      <c r="K1698" t="s">
        <v>40</v>
      </c>
      <c r="L1698">
        <v>-2.9199748900000002</v>
      </c>
      <c r="M1698">
        <v>1697</v>
      </c>
      <c r="N1698" s="1">
        <v>-0.12609999999999999</v>
      </c>
      <c r="O1698" s="1">
        <v>-0.51980000000000004</v>
      </c>
      <c r="P1698" s="1">
        <v>4.6699999999999998E-2</v>
      </c>
      <c r="Q1698" s="1">
        <v>5.4999999999999997E-3</v>
      </c>
      <c r="R1698" s="1">
        <v>-8.8099999999999998E-2</v>
      </c>
      <c r="S1698" s="1">
        <v>-3.0000000000000001E-3</v>
      </c>
      <c r="T1698" s="1">
        <v>-0.16020000000000001</v>
      </c>
      <c r="U1698" s="1">
        <v>-0.26129999999999998</v>
      </c>
    </row>
    <row r="1699" spans="1:21" x14ac:dyDescent="0.25">
      <c r="A1699" t="s">
        <v>3560</v>
      </c>
      <c r="B1699" t="s">
        <v>3561</v>
      </c>
      <c r="C1699" t="s">
        <v>30</v>
      </c>
      <c r="D1699" t="s">
        <v>299</v>
      </c>
      <c r="E1699" t="s">
        <v>2984</v>
      </c>
      <c r="F1699" t="str">
        <f t="shared" si="29"/>
        <v>2018-05-20</v>
      </c>
      <c r="G1699">
        <v>21.04</v>
      </c>
      <c r="H1699" t="str">
        <f>"2017-12-13"</f>
        <v>2017-12-13</v>
      </c>
      <c r="I1699" t="s">
        <v>57</v>
      </c>
      <c r="J1699" t="str">
        <f>"2016-04-11"</f>
        <v>2016-04-11</v>
      </c>
      <c r="K1699" t="s">
        <v>26</v>
      </c>
      <c r="L1699">
        <v>-2.9251831300000002</v>
      </c>
      <c r="M1699">
        <v>1698</v>
      </c>
      <c r="N1699" s="1">
        <v>-0.2707</v>
      </c>
      <c r="O1699" s="1">
        <v>-0.55110000000000003</v>
      </c>
      <c r="P1699" s="1">
        <v>1E-3</v>
      </c>
      <c r="Q1699" s="1">
        <v>1E-3</v>
      </c>
      <c r="R1699" s="1">
        <v>-3.7999999999999999E-2</v>
      </c>
      <c r="S1699" s="1">
        <v>-6.4899999999999999E-2</v>
      </c>
      <c r="T1699" s="1">
        <v>-7.4800000000000005E-2</v>
      </c>
      <c r="U1699" s="1">
        <v>-0.49590000000000001</v>
      </c>
    </row>
    <row r="1700" spans="1:21" x14ac:dyDescent="0.25">
      <c r="A1700" t="s">
        <v>3562</v>
      </c>
      <c r="B1700" t="s">
        <v>3563</v>
      </c>
      <c r="C1700" t="s">
        <v>37</v>
      </c>
      <c r="D1700" t="s">
        <v>38</v>
      </c>
      <c r="E1700" t="s">
        <v>39</v>
      </c>
      <c r="F1700" t="str">
        <f t="shared" si="29"/>
        <v>2018-05-20</v>
      </c>
      <c r="G1700">
        <v>7.52</v>
      </c>
      <c r="H1700" t="str">
        <f>"2018-01-10"</f>
        <v>2018-01-10</v>
      </c>
      <c r="I1700" t="s">
        <v>57</v>
      </c>
      <c r="J1700" t="str">
        <f>"2017-07-18"</f>
        <v>2017-07-18</v>
      </c>
      <c r="K1700" t="s">
        <v>26</v>
      </c>
      <c r="L1700">
        <v>-2.9256182000000002</v>
      </c>
      <c r="M1700">
        <v>1699</v>
      </c>
      <c r="N1700" s="1">
        <v>-0.28239999999999998</v>
      </c>
      <c r="O1700" s="1">
        <v>-0.55369999999999997</v>
      </c>
      <c r="P1700" s="1">
        <v>8.8300000000000003E-2</v>
      </c>
      <c r="Q1700" s="1">
        <v>-3.2199999999999999E-2</v>
      </c>
      <c r="R1700" s="1">
        <v>-9.0700000000000003E-2</v>
      </c>
      <c r="S1700" s="1">
        <v>-1.18E-2</v>
      </c>
      <c r="T1700" s="1">
        <v>-0.254</v>
      </c>
      <c r="U1700" s="1">
        <v>-0.2263</v>
      </c>
    </row>
    <row r="1701" spans="1:21" x14ac:dyDescent="0.25">
      <c r="A1701" t="s">
        <v>3564</v>
      </c>
      <c r="B1701" t="s">
        <v>3565</v>
      </c>
      <c r="C1701" t="s">
        <v>43</v>
      </c>
      <c r="D1701" t="s">
        <v>44</v>
      </c>
      <c r="E1701" t="s">
        <v>246</v>
      </c>
      <c r="F1701" t="str">
        <f t="shared" si="29"/>
        <v>2018-05-20</v>
      </c>
      <c r="G1701">
        <v>2.04</v>
      </c>
      <c r="H1701" t="str">
        <f>"2018-01-04"</f>
        <v>2018-01-04</v>
      </c>
      <c r="I1701" t="s">
        <v>57</v>
      </c>
      <c r="J1701" t="str">
        <f>"2017-06-28"</f>
        <v>2017-06-28</v>
      </c>
      <c r="K1701" t="s">
        <v>26</v>
      </c>
      <c r="L1701">
        <v>-2.9275053299999998</v>
      </c>
      <c r="M1701">
        <v>1700</v>
      </c>
      <c r="N1701" s="1">
        <v>-0.20930000000000001</v>
      </c>
      <c r="O1701" s="1">
        <v>-0.56499999999999995</v>
      </c>
      <c r="P1701" s="1">
        <v>0</v>
      </c>
      <c r="Q1701" s="1">
        <v>-3.32E-2</v>
      </c>
      <c r="R1701" s="1">
        <v>-8.9300000000000004E-2</v>
      </c>
      <c r="S1701" s="1">
        <v>-6.4199999999999993E-2</v>
      </c>
      <c r="T1701" s="1">
        <v>-7.6899999999999996E-2</v>
      </c>
      <c r="U1701" s="1">
        <v>-0.3947</v>
      </c>
    </row>
    <row r="1702" spans="1:21" x14ac:dyDescent="0.25">
      <c r="A1702" t="b">
        <v>1</v>
      </c>
      <c r="B1702" t="s">
        <v>3566</v>
      </c>
      <c r="C1702" t="s">
        <v>23</v>
      </c>
      <c r="D1702" t="s">
        <v>52</v>
      </c>
      <c r="E1702" t="s">
        <v>53</v>
      </c>
      <c r="F1702" t="str">
        <f t="shared" si="29"/>
        <v>2018-05-20</v>
      </c>
      <c r="G1702">
        <v>9.33</v>
      </c>
      <c r="H1702" t="str">
        <f>"2017-12-26"</f>
        <v>2017-12-26</v>
      </c>
      <c r="I1702" t="s">
        <v>57</v>
      </c>
      <c r="J1702" t="str">
        <f>"2017-10-17"</f>
        <v>2017-10-17</v>
      </c>
      <c r="K1702" t="s">
        <v>40</v>
      </c>
      <c r="L1702">
        <v>-2.9278757</v>
      </c>
      <c r="M1702">
        <v>1701</v>
      </c>
      <c r="N1702" s="1">
        <v>-0.1595</v>
      </c>
      <c r="O1702" s="1">
        <v>-0.56730000000000003</v>
      </c>
      <c r="P1702" s="1">
        <v>3.5499999999999997E-2</v>
      </c>
      <c r="Q1702" s="1">
        <v>-1.2699999999999999E-2</v>
      </c>
      <c r="R1702" s="1">
        <v>-1.6899999999999998E-2</v>
      </c>
      <c r="S1702" s="1">
        <v>-2.9100000000000001E-2</v>
      </c>
      <c r="T1702" s="1">
        <v>-0.18729999999999999</v>
      </c>
      <c r="U1702" s="1">
        <v>-0.46929999999999999</v>
      </c>
    </row>
    <row r="1703" spans="1:21" x14ac:dyDescent="0.25">
      <c r="A1703" t="s">
        <v>3567</v>
      </c>
      <c r="B1703" t="s">
        <v>3568</v>
      </c>
      <c r="C1703" t="s">
        <v>30</v>
      </c>
      <c r="D1703" t="s">
        <v>77</v>
      </c>
      <c r="E1703" t="s">
        <v>1008</v>
      </c>
      <c r="F1703" t="str">
        <f t="shared" si="29"/>
        <v>2018-05-20</v>
      </c>
      <c r="G1703">
        <v>11.25</v>
      </c>
      <c r="H1703" t="str">
        <f>"2018-03-20"</f>
        <v>2018-03-20</v>
      </c>
      <c r="I1703" t="s">
        <v>57</v>
      </c>
      <c r="J1703" t="str">
        <f>"2018-01-30"</f>
        <v>2018-01-30</v>
      </c>
      <c r="K1703" t="s">
        <v>40</v>
      </c>
      <c r="L1703">
        <v>-2.9314442399999998</v>
      </c>
      <c r="M1703">
        <v>1702</v>
      </c>
      <c r="N1703" s="1">
        <v>-6.25E-2</v>
      </c>
      <c r="O1703" s="1">
        <v>-0.5887</v>
      </c>
      <c r="P1703" s="1">
        <v>6.6400000000000001E-2</v>
      </c>
      <c r="Q1703" s="1">
        <v>2.7400000000000001E-2</v>
      </c>
      <c r="R1703" s="1">
        <v>5.1400000000000001E-2</v>
      </c>
      <c r="S1703" s="1">
        <v>0</v>
      </c>
      <c r="T1703" s="1">
        <v>1.8100000000000002E-2</v>
      </c>
      <c r="U1703" s="1">
        <v>-0.34589999999999999</v>
      </c>
    </row>
    <row r="1704" spans="1:21" x14ac:dyDescent="0.25">
      <c r="A1704" t="s">
        <v>3569</v>
      </c>
      <c r="B1704" t="s">
        <v>3570</v>
      </c>
      <c r="C1704" t="s">
        <v>109</v>
      </c>
      <c r="D1704" t="s">
        <v>156</v>
      </c>
      <c r="E1704" t="s">
        <v>157</v>
      </c>
      <c r="F1704" t="str">
        <f t="shared" si="29"/>
        <v>2018-05-20</v>
      </c>
      <c r="G1704">
        <v>3.64</v>
      </c>
      <c r="H1704" t="str">
        <f>"2017-10-04"</f>
        <v>2017-10-04</v>
      </c>
      <c r="I1704" t="s">
        <v>57</v>
      </c>
      <c r="J1704" t="str">
        <f>"2017-08-13"</f>
        <v>2017-08-13</v>
      </c>
      <c r="K1704" t="s">
        <v>40</v>
      </c>
      <c r="L1704">
        <v>-2.9323671500000001</v>
      </c>
      <c r="M1704">
        <v>1703</v>
      </c>
      <c r="N1704" s="1">
        <v>-0.40810000000000002</v>
      </c>
      <c r="O1704" s="1">
        <v>-0.59419999999999995</v>
      </c>
      <c r="P1704" s="1">
        <v>6.7400000000000002E-2</v>
      </c>
      <c r="Q1704" s="1">
        <v>-1.09E-2</v>
      </c>
      <c r="R1704" s="1">
        <v>-3.1899999999999998E-2</v>
      </c>
      <c r="S1704" s="1">
        <v>-9.9000000000000005E-2</v>
      </c>
      <c r="T1704" s="1">
        <v>-5.7000000000000002E-2</v>
      </c>
      <c r="U1704" s="1">
        <v>-0.53869999999999996</v>
      </c>
    </row>
    <row r="1705" spans="1:21" x14ac:dyDescent="0.25">
      <c r="A1705" t="s">
        <v>3571</v>
      </c>
      <c r="B1705" t="s">
        <v>3572</v>
      </c>
      <c r="C1705" t="s">
        <v>109</v>
      </c>
      <c r="D1705" t="s">
        <v>156</v>
      </c>
      <c r="E1705" t="s">
        <v>277</v>
      </c>
      <c r="F1705" t="str">
        <f t="shared" si="29"/>
        <v>2018-05-20</v>
      </c>
      <c r="G1705">
        <v>4.6749999999999998</v>
      </c>
      <c r="H1705" t="str">
        <f>"2017-11-26"</f>
        <v>2017-11-26</v>
      </c>
      <c r="I1705" t="s">
        <v>57</v>
      </c>
      <c r="J1705" t="str">
        <f>"2016-11-15"</f>
        <v>2016-11-15</v>
      </c>
      <c r="K1705" t="s">
        <v>26</v>
      </c>
      <c r="L1705">
        <v>-2.93340456</v>
      </c>
      <c r="M1705">
        <v>1704</v>
      </c>
      <c r="N1705" s="1">
        <v>-0.38890000000000002</v>
      </c>
      <c r="O1705" s="1">
        <v>-0.60040000000000004</v>
      </c>
      <c r="P1705" s="1">
        <v>5.0599999999999999E-2</v>
      </c>
      <c r="Q1705" s="1">
        <v>5.4000000000000003E-3</v>
      </c>
      <c r="R1705" s="1">
        <v>0</v>
      </c>
      <c r="S1705" s="1">
        <v>-5.3E-3</v>
      </c>
      <c r="T1705" s="1">
        <v>-0.14219999999999999</v>
      </c>
      <c r="U1705" s="1">
        <v>-0.54390000000000005</v>
      </c>
    </row>
    <row r="1706" spans="1:21" x14ac:dyDescent="0.25">
      <c r="A1706" t="s">
        <v>3573</v>
      </c>
      <c r="B1706" t="s">
        <v>3574</v>
      </c>
      <c r="C1706" t="s">
        <v>23</v>
      </c>
      <c r="D1706" t="s">
        <v>52</v>
      </c>
      <c r="E1706" t="s">
        <v>2885</v>
      </c>
      <c r="F1706" t="str">
        <f t="shared" si="29"/>
        <v>2018-05-20</v>
      </c>
      <c r="G1706">
        <v>2.3199999999999998</v>
      </c>
      <c r="H1706" t="str">
        <f>"2018-02-27"</f>
        <v>2018-02-27</v>
      </c>
      <c r="I1706" t="s">
        <v>57</v>
      </c>
      <c r="J1706" t="str">
        <f>"2017-11-28"</f>
        <v>2017-11-28</v>
      </c>
      <c r="K1706" t="s">
        <v>27</v>
      </c>
      <c r="L1706">
        <v>-2.93378995</v>
      </c>
      <c r="M1706">
        <v>1705</v>
      </c>
      <c r="N1706" s="1">
        <v>-0.25159999999999999</v>
      </c>
      <c r="O1706" s="1">
        <v>-0.60270000000000001</v>
      </c>
      <c r="P1706" s="1">
        <v>7.4099999999999999E-2</v>
      </c>
      <c r="Q1706" s="1">
        <v>-4.3E-3</v>
      </c>
      <c r="R1706" s="1">
        <v>7.4099999999999999E-2</v>
      </c>
      <c r="S1706" s="1">
        <v>-2.52E-2</v>
      </c>
      <c r="T1706" s="1">
        <v>-0.2611</v>
      </c>
      <c r="U1706" s="1">
        <v>-0.56389999999999996</v>
      </c>
    </row>
    <row r="1707" spans="1:21" x14ac:dyDescent="0.25">
      <c r="A1707" t="s">
        <v>3575</v>
      </c>
      <c r="B1707" t="s">
        <v>3576</v>
      </c>
      <c r="C1707" t="s">
        <v>109</v>
      </c>
      <c r="D1707" t="s">
        <v>156</v>
      </c>
      <c r="E1707" t="s">
        <v>157</v>
      </c>
      <c r="F1707" t="str">
        <f t="shared" si="29"/>
        <v>2018-05-20</v>
      </c>
      <c r="G1707">
        <v>12.55</v>
      </c>
      <c r="H1707" t="str">
        <f>"2017-07-20"</f>
        <v>2017-07-20</v>
      </c>
      <c r="I1707" t="s">
        <v>57</v>
      </c>
      <c r="J1707" t="str">
        <f>"2017-06-27"</f>
        <v>2017-06-27</v>
      </c>
      <c r="K1707" t="s">
        <v>40</v>
      </c>
      <c r="L1707">
        <v>-2.9338080199999998</v>
      </c>
      <c r="M1707">
        <v>1706</v>
      </c>
      <c r="N1707" s="1">
        <v>-0.44840000000000002</v>
      </c>
      <c r="O1707" s="1">
        <v>-0.6028</v>
      </c>
      <c r="P1707" s="1">
        <v>6.8099999999999994E-2</v>
      </c>
      <c r="Q1707" s="1">
        <v>-7.9000000000000008E-3</v>
      </c>
      <c r="R1707" s="1">
        <v>-2.7099999999999999E-2</v>
      </c>
      <c r="S1707" s="1">
        <v>-0.20319999999999999</v>
      </c>
      <c r="T1707" s="1">
        <v>-0.18509999999999999</v>
      </c>
      <c r="U1707" s="1">
        <v>-0.53690000000000004</v>
      </c>
    </row>
    <row r="1708" spans="1:21" x14ac:dyDescent="0.25">
      <c r="A1708" t="s">
        <v>3577</v>
      </c>
      <c r="B1708" t="s">
        <v>3578</v>
      </c>
      <c r="C1708" t="s">
        <v>37</v>
      </c>
      <c r="D1708" t="s">
        <v>38</v>
      </c>
      <c r="E1708" t="s">
        <v>39</v>
      </c>
      <c r="F1708" t="str">
        <f t="shared" si="29"/>
        <v>2018-05-20</v>
      </c>
      <c r="G1708">
        <v>52.3</v>
      </c>
      <c r="H1708" t="str">
        <f>"2018-05-07"</f>
        <v>2018-05-07</v>
      </c>
      <c r="I1708" t="s">
        <v>57</v>
      </c>
      <c r="J1708" t="str">
        <f>"2018-03-01"</f>
        <v>2018-03-01</v>
      </c>
      <c r="K1708" t="s">
        <v>40</v>
      </c>
      <c r="L1708">
        <v>-2.9341889999999999</v>
      </c>
      <c r="M1708">
        <v>1707</v>
      </c>
      <c r="N1708" s="1">
        <v>-0.1898</v>
      </c>
      <c r="O1708" s="1">
        <v>-0.60509999999999997</v>
      </c>
      <c r="P1708" s="1">
        <v>9.7000000000000003E-3</v>
      </c>
      <c r="Q1708" s="1">
        <v>-3.2399999999999998E-2</v>
      </c>
      <c r="R1708" s="1">
        <v>8.6999999999999994E-3</v>
      </c>
      <c r="S1708" s="1">
        <v>-0.1537</v>
      </c>
      <c r="T1708" s="1">
        <v>-0.22969999999999999</v>
      </c>
      <c r="U1708" s="1">
        <v>-5.7000000000000002E-3</v>
      </c>
    </row>
    <row r="1709" spans="1:21" x14ac:dyDescent="0.25">
      <c r="A1709" t="s">
        <v>3579</v>
      </c>
      <c r="B1709" t="s">
        <v>3580</v>
      </c>
      <c r="C1709" t="s">
        <v>37</v>
      </c>
      <c r="D1709" t="s">
        <v>38</v>
      </c>
      <c r="E1709" t="s">
        <v>97</v>
      </c>
      <c r="F1709" t="str">
        <f t="shared" si="29"/>
        <v>2018-05-20</v>
      </c>
      <c r="G1709">
        <v>11.1</v>
      </c>
      <c r="H1709" t="str">
        <f>"2018-02-11"</f>
        <v>2018-02-11</v>
      </c>
      <c r="I1709" t="s">
        <v>57</v>
      </c>
      <c r="J1709" t="str">
        <f>"2017-11-14"</f>
        <v>2017-11-14</v>
      </c>
      <c r="K1709" t="s">
        <v>40</v>
      </c>
      <c r="L1709">
        <v>-2.9343971600000001</v>
      </c>
      <c r="M1709">
        <v>1708</v>
      </c>
      <c r="N1709" s="1">
        <v>-0.1225</v>
      </c>
      <c r="O1709" s="1">
        <v>-0.60640000000000005</v>
      </c>
      <c r="P1709" s="1">
        <v>7.7700000000000005E-2</v>
      </c>
      <c r="Q1709" s="1">
        <v>-3.4799999999999998E-2</v>
      </c>
      <c r="R1709" s="1">
        <v>-3.4799999999999998E-2</v>
      </c>
      <c r="S1709" s="1">
        <v>2.3E-2</v>
      </c>
      <c r="T1709" s="1">
        <v>-0.1898</v>
      </c>
      <c r="U1709" s="1">
        <v>-0.48010000000000003</v>
      </c>
    </row>
    <row r="1710" spans="1:21" x14ac:dyDescent="0.25">
      <c r="A1710" t="s">
        <v>3581</v>
      </c>
      <c r="B1710" t="s">
        <v>3582</v>
      </c>
      <c r="C1710" t="s">
        <v>30</v>
      </c>
      <c r="D1710" t="s">
        <v>48</v>
      </c>
      <c r="E1710" t="s">
        <v>49</v>
      </c>
      <c r="F1710" t="str">
        <f t="shared" si="29"/>
        <v>2018-05-20</v>
      </c>
      <c r="G1710">
        <v>6.87</v>
      </c>
      <c r="H1710" t="str">
        <f>"2018-01-23"</f>
        <v>2018-01-23</v>
      </c>
      <c r="I1710" t="s">
        <v>57</v>
      </c>
      <c r="J1710" t="str">
        <f>"2017-08-28"</f>
        <v>2017-08-28</v>
      </c>
      <c r="K1710" t="s">
        <v>40</v>
      </c>
      <c r="L1710">
        <v>-2.9358543400000001</v>
      </c>
      <c r="M1710">
        <v>1709</v>
      </c>
      <c r="N1710" s="1">
        <v>-0.47920000000000001</v>
      </c>
      <c r="O1710" s="1">
        <v>-0.61509999999999998</v>
      </c>
      <c r="P1710" s="1">
        <v>4.5699999999999998E-2</v>
      </c>
      <c r="Q1710" s="1">
        <v>-7.1999999999999998E-3</v>
      </c>
      <c r="R1710" s="1">
        <v>2.8999999999999998E-3</v>
      </c>
      <c r="S1710" s="1">
        <v>-0.2039</v>
      </c>
      <c r="T1710" s="1">
        <v>-0.39360000000000001</v>
      </c>
      <c r="U1710" s="1">
        <v>-0.59609999999999996</v>
      </c>
    </row>
    <row r="1711" spans="1:21" x14ac:dyDescent="0.25">
      <c r="A1711" t="s">
        <v>3583</v>
      </c>
      <c r="B1711" t="s">
        <v>3584</v>
      </c>
      <c r="C1711" t="s">
        <v>83</v>
      </c>
      <c r="D1711" t="s">
        <v>342</v>
      </c>
      <c r="E1711" t="s">
        <v>342</v>
      </c>
      <c r="F1711" t="str">
        <f t="shared" si="29"/>
        <v>2018-05-20</v>
      </c>
      <c r="G1711">
        <v>11.19</v>
      </c>
      <c r="H1711" t="str">
        <f>"2017-04-05"</f>
        <v>2017-04-05</v>
      </c>
      <c r="I1711" t="s">
        <v>57</v>
      </c>
      <c r="J1711" t="str">
        <f>"2016-02-29"</f>
        <v>2016-02-29</v>
      </c>
      <c r="K1711" t="s">
        <v>26</v>
      </c>
      <c r="L1711">
        <v>-2.93716307</v>
      </c>
      <c r="M1711">
        <v>1710</v>
      </c>
      <c r="N1711" s="1">
        <v>-0.5242</v>
      </c>
      <c r="O1711" s="1">
        <v>-0.623</v>
      </c>
      <c r="P1711" s="1">
        <v>6.88E-2</v>
      </c>
      <c r="Q1711" s="1">
        <v>1.0800000000000001E-2</v>
      </c>
      <c r="R1711" s="1">
        <v>-1.8E-3</v>
      </c>
      <c r="S1711" s="1">
        <v>2.3800000000000002E-2</v>
      </c>
      <c r="T1711" s="1">
        <v>-8.3500000000000005E-2</v>
      </c>
      <c r="U1711" s="1">
        <v>-0.42530000000000001</v>
      </c>
    </row>
    <row r="1712" spans="1:21" x14ac:dyDescent="0.25">
      <c r="A1712" t="s">
        <v>3585</v>
      </c>
      <c r="B1712" t="s">
        <v>3586</v>
      </c>
      <c r="C1712" t="s">
        <v>23</v>
      </c>
      <c r="D1712" t="s">
        <v>173</v>
      </c>
      <c r="E1712" t="s">
        <v>212</v>
      </c>
      <c r="F1712" t="str">
        <f t="shared" si="29"/>
        <v>2018-05-20</v>
      </c>
      <c r="G1712">
        <v>4.5</v>
      </c>
      <c r="H1712" t="str">
        <f>"2018-03-26"</f>
        <v>2018-03-26</v>
      </c>
      <c r="I1712" t="s">
        <v>57</v>
      </c>
      <c r="J1712" t="str">
        <f>"2018-01-04"</f>
        <v>2018-01-04</v>
      </c>
      <c r="K1712" t="s">
        <v>40</v>
      </c>
      <c r="L1712">
        <v>-2.9380165300000001</v>
      </c>
      <c r="M1712">
        <v>1711</v>
      </c>
      <c r="N1712" s="1">
        <v>-0.32840000000000003</v>
      </c>
      <c r="O1712" s="1">
        <v>-0.62809999999999999</v>
      </c>
      <c r="P1712" s="1">
        <v>9.7600000000000006E-2</v>
      </c>
      <c r="Q1712" s="1">
        <v>0</v>
      </c>
      <c r="R1712" s="1">
        <v>9.7600000000000006E-2</v>
      </c>
      <c r="S1712" s="1">
        <v>-0.42309999999999998</v>
      </c>
      <c r="T1712" s="1">
        <v>-0.47670000000000001</v>
      </c>
      <c r="U1712" s="1">
        <v>-0.47370000000000001</v>
      </c>
    </row>
    <row r="1713" spans="1:21" x14ac:dyDescent="0.25">
      <c r="A1713" t="s">
        <v>3587</v>
      </c>
      <c r="B1713" t="s">
        <v>3588</v>
      </c>
      <c r="C1713" t="s">
        <v>109</v>
      </c>
      <c r="D1713" t="s">
        <v>110</v>
      </c>
      <c r="E1713" t="s">
        <v>732</v>
      </c>
      <c r="F1713" t="str">
        <f t="shared" si="29"/>
        <v>2018-05-20</v>
      </c>
      <c r="G1713">
        <v>5.15</v>
      </c>
      <c r="H1713" t="str">
        <f>"2018-02-04"</f>
        <v>2018-02-04</v>
      </c>
      <c r="I1713" t="s">
        <v>57</v>
      </c>
      <c r="J1713" t="str">
        <f>"2017-04-06"</f>
        <v>2017-04-06</v>
      </c>
      <c r="K1713" t="s">
        <v>26</v>
      </c>
      <c r="L1713">
        <v>-2.9407228399999998</v>
      </c>
      <c r="M1713">
        <v>1712</v>
      </c>
      <c r="N1713" s="1">
        <v>-0.44019999999999998</v>
      </c>
      <c r="O1713" s="1">
        <v>-0.64429999999999998</v>
      </c>
      <c r="P1713" s="1">
        <v>1.78E-2</v>
      </c>
      <c r="Q1713" s="1">
        <v>-2.6499999999999999E-2</v>
      </c>
      <c r="R1713" s="1">
        <v>-4.8099999999999997E-2</v>
      </c>
      <c r="S1713" s="1">
        <v>-0.42520000000000002</v>
      </c>
      <c r="T1713" s="1">
        <v>-0.45040000000000002</v>
      </c>
      <c r="U1713" s="1">
        <v>-0.59919999999999995</v>
      </c>
    </row>
    <row r="1714" spans="1:21" x14ac:dyDescent="0.25">
      <c r="A1714" t="s">
        <v>3589</v>
      </c>
      <c r="B1714" t="s">
        <v>3590</v>
      </c>
      <c r="C1714" t="s">
        <v>43</v>
      </c>
      <c r="D1714" t="s">
        <v>119</v>
      </c>
      <c r="E1714" t="s">
        <v>120</v>
      </c>
      <c r="F1714" t="str">
        <f t="shared" si="29"/>
        <v>2018-05-20</v>
      </c>
      <c r="G1714">
        <v>4.75</v>
      </c>
      <c r="H1714" t="str">
        <f>"2017-12-05"</f>
        <v>2017-12-05</v>
      </c>
      <c r="I1714" t="s">
        <v>57</v>
      </c>
      <c r="J1714" t="str">
        <f>"2016-06-20"</f>
        <v>2016-06-20</v>
      </c>
      <c r="K1714" t="s">
        <v>26</v>
      </c>
      <c r="L1714">
        <v>-2.9424242399999998</v>
      </c>
      <c r="M1714">
        <v>1713</v>
      </c>
      <c r="N1714" s="1">
        <v>-0.3165</v>
      </c>
      <c r="O1714" s="1">
        <v>-0.65449999999999997</v>
      </c>
      <c r="P1714" s="1">
        <v>3.2599999999999997E-2</v>
      </c>
      <c r="Q1714" s="1">
        <v>-1.04E-2</v>
      </c>
      <c r="R1714" s="1">
        <v>2.1499999999999998E-2</v>
      </c>
      <c r="S1714" s="1">
        <v>-0.2213</v>
      </c>
      <c r="T1714" s="1">
        <v>-0.24299999999999999</v>
      </c>
      <c r="U1714" s="1">
        <v>-0.64019999999999999</v>
      </c>
    </row>
    <row r="1715" spans="1:21" x14ac:dyDescent="0.25">
      <c r="A1715" t="s">
        <v>3591</v>
      </c>
      <c r="B1715" t="s">
        <v>3592</v>
      </c>
      <c r="C1715" t="s">
        <v>37</v>
      </c>
      <c r="D1715" t="s">
        <v>38</v>
      </c>
      <c r="E1715" t="s">
        <v>39</v>
      </c>
      <c r="F1715" t="str">
        <f t="shared" si="29"/>
        <v>2018-05-20</v>
      </c>
      <c r="G1715">
        <v>5.2</v>
      </c>
      <c r="H1715" t="str">
        <f>"2018-01-31"</f>
        <v>2018-01-31</v>
      </c>
      <c r="I1715" t="s">
        <v>57</v>
      </c>
      <c r="J1715" t="str">
        <f>"2017-08-13"</f>
        <v>2017-08-13</v>
      </c>
      <c r="K1715" t="s">
        <v>26</v>
      </c>
      <c r="L1715">
        <v>-2.9515828700000002</v>
      </c>
      <c r="M1715">
        <v>1714</v>
      </c>
      <c r="N1715" s="1">
        <v>-0.35</v>
      </c>
      <c r="O1715" s="1">
        <v>-0.70950000000000002</v>
      </c>
      <c r="P1715" s="1">
        <v>0</v>
      </c>
      <c r="Q1715" s="1">
        <v>-2.8000000000000001E-2</v>
      </c>
      <c r="R1715" s="1">
        <v>-0.1111</v>
      </c>
      <c r="S1715" s="1">
        <v>-0.12239999999999999</v>
      </c>
      <c r="T1715" s="1">
        <v>-0.35799999999999998</v>
      </c>
      <c r="U1715" s="1">
        <v>-0.68479999999999996</v>
      </c>
    </row>
    <row r="1716" spans="1:21" x14ac:dyDescent="0.25">
      <c r="A1716" t="s">
        <v>3593</v>
      </c>
      <c r="B1716" t="s">
        <v>3594</v>
      </c>
      <c r="C1716" t="s">
        <v>37</v>
      </c>
      <c r="D1716" t="s">
        <v>38</v>
      </c>
      <c r="E1716" t="s">
        <v>97</v>
      </c>
      <c r="F1716" t="str">
        <f t="shared" si="29"/>
        <v>2018-05-20</v>
      </c>
      <c r="G1716">
        <v>2.71</v>
      </c>
      <c r="H1716" t="str">
        <f>"2017-10-03"</f>
        <v>2017-10-03</v>
      </c>
      <c r="I1716" t="s">
        <v>57</v>
      </c>
      <c r="J1716" t="str">
        <f>"2017-09-05"</f>
        <v>2017-09-05</v>
      </c>
      <c r="K1716" t="s">
        <v>40</v>
      </c>
      <c r="L1716">
        <v>-2.9520014200000002</v>
      </c>
      <c r="M1716">
        <v>1715</v>
      </c>
      <c r="N1716" s="1">
        <v>-0.62260000000000004</v>
      </c>
      <c r="O1716" s="1">
        <v>-0.71199999999999997</v>
      </c>
      <c r="P1716" s="1">
        <v>9.2700000000000005E-2</v>
      </c>
      <c r="Q1716" s="1">
        <v>-5.57E-2</v>
      </c>
      <c r="R1716" s="1">
        <v>-8.7499999999999994E-2</v>
      </c>
      <c r="S1716" s="1">
        <v>-0.20760000000000001</v>
      </c>
      <c r="T1716" s="1">
        <v>-9.6699999999999994E-2</v>
      </c>
      <c r="U1716" s="1">
        <v>-0.6885</v>
      </c>
    </row>
    <row r="1717" spans="1:21" x14ac:dyDescent="0.25">
      <c r="A1717" t="s">
        <v>3595</v>
      </c>
      <c r="B1717" t="s">
        <v>3596</v>
      </c>
      <c r="C1717" t="s">
        <v>43</v>
      </c>
      <c r="D1717" t="s">
        <v>44</v>
      </c>
      <c r="E1717" t="s">
        <v>246</v>
      </c>
      <c r="F1717" t="str">
        <f t="shared" si="29"/>
        <v>2018-05-20</v>
      </c>
      <c r="G1717">
        <v>2.2999999999999998</v>
      </c>
      <c r="H1717" t="str">
        <f>"2017-11-15"</f>
        <v>2017-11-15</v>
      </c>
      <c r="I1717" t="s">
        <v>57</v>
      </c>
      <c r="J1717" t="str">
        <f>"2017-05-15"</f>
        <v>2017-05-15</v>
      </c>
      <c r="K1717" t="s">
        <v>26</v>
      </c>
      <c r="L1717">
        <v>-2.9593926599999998</v>
      </c>
      <c r="M1717">
        <v>1716</v>
      </c>
      <c r="N1717" s="1">
        <v>-0.60680000000000001</v>
      </c>
      <c r="O1717" s="1">
        <v>-0.75639999999999996</v>
      </c>
      <c r="P1717" s="1">
        <v>0</v>
      </c>
      <c r="Q1717" s="1">
        <v>-7.6300000000000007E-2</v>
      </c>
      <c r="R1717" s="1">
        <v>-0.1188</v>
      </c>
      <c r="S1717" s="1">
        <v>-0.46389999999999998</v>
      </c>
      <c r="T1717" s="1">
        <v>-0.61670000000000003</v>
      </c>
      <c r="U1717" s="1">
        <v>-0.72089999999999999</v>
      </c>
    </row>
    <row r="1718" spans="1:21" x14ac:dyDescent="0.25">
      <c r="A1718" t="s">
        <v>3597</v>
      </c>
      <c r="B1718" t="s">
        <v>3598</v>
      </c>
      <c r="C1718" t="s">
        <v>37</v>
      </c>
      <c r="D1718" t="s">
        <v>38</v>
      </c>
      <c r="E1718" t="s">
        <v>39</v>
      </c>
      <c r="F1718" t="str">
        <f t="shared" si="29"/>
        <v>2018-05-20</v>
      </c>
      <c r="G1718">
        <v>0.51300000000000001</v>
      </c>
      <c r="H1718" t="str">
        <f>"2017-09-14"</f>
        <v>2017-09-14</v>
      </c>
      <c r="I1718" t="s">
        <v>57</v>
      </c>
      <c r="J1718" t="str">
        <f>"2017-09-05"</f>
        <v>2017-09-05</v>
      </c>
      <c r="K1718" t="s">
        <v>27</v>
      </c>
      <c r="L1718">
        <v>-2.9604166699999999</v>
      </c>
      <c r="M1718">
        <v>1717</v>
      </c>
      <c r="N1718" s="1">
        <v>-0.72119999999999995</v>
      </c>
      <c r="O1718" s="1">
        <v>-0.76249999999999996</v>
      </c>
      <c r="P1718" s="1">
        <v>6.59E-2</v>
      </c>
      <c r="Q1718" s="1">
        <v>-7.2700000000000001E-2</v>
      </c>
      <c r="R1718" s="1">
        <v>-0.1522</v>
      </c>
      <c r="S1718" s="1">
        <v>-5.28E-2</v>
      </c>
      <c r="T1718" s="1">
        <v>4.6899999999999997E-2</v>
      </c>
      <c r="U1718" s="1">
        <v>-0.70350000000000001</v>
      </c>
    </row>
    <row r="1719" spans="1:21" x14ac:dyDescent="0.25">
      <c r="A1719" t="s">
        <v>3599</v>
      </c>
      <c r="B1719" t="s">
        <v>3600</v>
      </c>
      <c r="C1719" t="s">
        <v>37</v>
      </c>
      <c r="D1719" t="s">
        <v>38</v>
      </c>
      <c r="E1719" t="s">
        <v>39</v>
      </c>
      <c r="F1719" t="str">
        <f t="shared" si="29"/>
        <v>2018-05-20</v>
      </c>
      <c r="G1719">
        <v>0.65669999999999995</v>
      </c>
      <c r="H1719" t="str">
        <f>"2018-03-19"</f>
        <v>2018-03-19</v>
      </c>
      <c r="I1719" t="s">
        <v>57</v>
      </c>
      <c r="J1719" t="str">
        <f>"2018-03-08"</f>
        <v>2018-03-08</v>
      </c>
      <c r="K1719" t="s">
        <v>26</v>
      </c>
      <c r="L1719">
        <v>-2.9611879399999999</v>
      </c>
      <c r="M1719">
        <v>1718</v>
      </c>
      <c r="N1719" s="1">
        <v>-0.72519999999999996</v>
      </c>
      <c r="O1719" s="1">
        <v>-0.7671</v>
      </c>
      <c r="P1719" s="1">
        <v>0</v>
      </c>
      <c r="Q1719" s="1">
        <v>-2.2200000000000001E-2</v>
      </c>
      <c r="R1719" s="1">
        <v>-8.7900000000000006E-2</v>
      </c>
      <c r="S1719" s="1">
        <v>-4.4400000000000002E-2</v>
      </c>
      <c r="T1719" s="1">
        <v>-0.72640000000000005</v>
      </c>
      <c r="U1719" s="1">
        <v>-0.78539999999999999</v>
      </c>
    </row>
    <row r="1720" spans="1:21" x14ac:dyDescent="0.25">
      <c r="A1720" t="s">
        <v>3601</v>
      </c>
      <c r="B1720" t="s">
        <v>3602</v>
      </c>
      <c r="C1720" t="s">
        <v>37</v>
      </c>
      <c r="D1720" t="s">
        <v>38</v>
      </c>
      <c r="E1720" t="s">
        <v>97</v>
      </c>
      <c r="F1720" t="str">
        <f t="shared" si="29"/>
        <v>2018-05-20</v>
      </c>
      <c r="G1720">
        <v>7.3</v>
      </c>
      <c r="H1720" t="str">
        <f>"2016-12-11"</f>
        <v>2016-12-11</v>
      </c>
      <c r="I1720" t="s">
        <v>57</v>
      </c>
      <c r="J1720" t="str">
        <f>"2016-08-16"</f>
        <v>2016-08-16</v>
      </c>
      <c r="K1720" t="s">
        <v>26</v>
      </c>
      <c r="L1720">
        <v>-2.9907195500000001</v>
      </c>
      <c r="M1720">
        <v>1719</v>
      </c>
      <c r="N1720" s="1">
        <v>-0.81040000000000001</v>
      </c>
      <c r="O1720" s="1">
        <v>-0.94430000000000003</v>
      </c>
      <c r="P1720" s="1">
        <v>9.7699999999999995E-2</v>
      </c>
      <c r="Q1720" s="1">
        <v>-3.3099999999999997E-2</v>
      </c>
      <c r="R1720" s="1">
        <v>-6.4100000000000004E-2</v>
      </c>
      <c r="S1720" s="1">
        <v>5.04E-2</v>
      </c>
      <c r="T1720" s="1">
        <v>-0.45319999999999999</v>
      </c>
      <c r="U1720" s="1">
        <v>-0.62080000000000002</v>
      </c>
    </row>
    <row r="1721" spans="1:21" x14ac:dyDescent="0.25">
      <c r="A1721" t="s">
        <v>3603</v>
      </c>
      <c r="B1721" t="s">
        <v>3604</v>
      </c>
      <c r="C1721" t="s">
        <v>30</v>
      </c>
      <c r="D1721" t="s">
        <v>299</v>
      </c>
      <c r="E1721" t="s">
        <v>300</v>
      </c>
      <c r="F1721" t="str">
        <f t="shared" si="29"/>
        <v>2018-05-20</v>
      </c>
      <c r="G1721">
        <v>8.32</v>
      </c>
      <c r="H1721" t="str">
        <f>"2018-03-01"</f>
        <v>2018-03-01</v>
      </c>
      <c r="I1721" t="s">
        <v>57</v>
      </c>
      <c r="J1721" t="str">
        <f>"2017-11-26"</f>
        <v>2017-11-26</v>
      </c>
      <c r="K1721" t="s">
        <v>27</v>
      </c>
      <c r="L1721">
        <v>-2.8543417400000002</v>
      </c>
      <c r="M1721">
        <v>1720</v>
      </c>
      <c r="N1721" s="1">
        <v>7.9100000000000004E-2</v>
      </c>
      <c r="O1721" s="1">
        <v>-0.12609999999999999</v>
      </c>
      <c r="P1721" s="1">
        <v>0.15079999999999999</v>
      </c>
      <c r="Q1721" s="1">
        <v>1.34E-2</v>
      </c>
      <c r="R1721" s="1">
        <v>7.9100000000000004E-2</v>
      </c>
      <c r="S1721" s="1">
        <v>8.1900000000000001E-2</v>
      </c>
      <c r="T1721" s="1">
        <v>9.7600000000000006E-2</v>
      </c>
      <c r="U1721" s="1">
        <v>-0.1396</v>
      </c>
    </row>
    <row r="1722" spans="1:21" x14ac:dyDescent="0.25">
      <c r="A1722" t="s">
        <v>3605</v>
      </c>
      <c r="B1722" t="s">
        <v>3606</v>
      </c>
      <c r="C1722" t="s">
        <v>30</v>
      </c>
      <c r="D1722" t="s">
        <v>299</v>
      </c>
      <c r="E1722" t="s">
        <v>2984</v>
      </c>
      <c r="F1722" t="str">
        <f t="shared" si="29"/>
        <v>2018-05-20</v>
      </c>
      <c r="G1722">
        <v>28.39</v>
      </c>
      <c r="H1722" t="str">
        <f>"2018-01-10"</f>
        <v>2018-01-10</v>
      </c>
      <c r="I1722" t="s">
        <v>57</v>
      </c>
      <c r="J1722" t="str">
        <f>"2017-12-18"</f>
        <v>2017-12-18</v>
      </c>
      <c r="K1722" t="s">
        <v>26</v>
      </c>
      <c r="L1722">
        <v>-2.8550347199999999</v>
      </c>
      <c r="M1722">
        <v>1721</v>
      </c>
      <c r="N1722" s="1">
        <v>-1.7999999999999999E-2</v>
      </c>
      <c r="O1722" s="1">
        <v>-0.13020000000000001</v>
      </c>
      <c r="P1722" s="1">
        <v>0.123</v>
      </c>
      <c r="Q1722" s="1">
        <v>1.5699999999999999E-2</v>
      </c>
      <c r="R1722" s="1">
        <v>-5.5999999999999999E-3</v>
      </c>
      <c r="S1722" s="1">
        <v>3.5799999999999998E-2</v>
      </c>
      <c r="T1722" s="1">
        <v>8.4400000000000003E-2</v>
      </c>
      <c r="U1722" s="1">
        <v>-0.12939999999999999</v>
      </c>
    </row>
    <row r="1723" spans="1:21" x14ac:dyDescent="0.25">
      <c r="A1723" t="s">
        <v>3607</v>
      </c>
      <c r="B1723" t="s">
        <v>3608</v>
      </c>
      <c r="C1723" t="s">
        <v>518</v>
      </c>
      <c r="D1723" t="s">
        <v>573</v>
      </c>
      <c r="E1723" t="s">
        <v>574</v>
      </c>
      <c r="F1723" t="str">
        <f t="shared" si="29"/>
        <v>2018-05-20</v>
      </c>
      <c r="G1723">
        <v>37.07</v>
      </c>
      <c r="H1723" t="str">
        <f>"2018-03-29"</f>
        <v>2018-03-29</v>
      </c>
      <c r="I1723" t="s">
        <v>57</v>
      </c>
      <c r="J1723" t="str">
        <f>"2018-02-12"</f>
        <v>2018-02-12</v>
      </c>
      <c r="K1723" t="s">
        <v>40</v>
      </c>
      <c r="L1723">
        <v>-2.8551726799999999</v>
      </c>
      <c r="M1723">
        <v>1722</v>
      </c>
      <c r="N1723" s="1">
        <v>1.6199999999999999E-2</v>
      </c>
      <c r="O1723" s="1">
        <v>-0.13100000000000001</v>
      </c>
      <c r="P1723" s="1">
        <v>0.14030000000000001</v>
      </c>
      <c r="Q1723" s="1">
        <v>8.9999999999999993E-3</v>
      </c>
      <c r="R1723" s="1">
        <v>-3.0599999999999999E-2</v>
      </c>
      <c r="S1723" s="1">
        <v>-3.5000000000000001E-3</v>
      </c>
      <c r="T1723" s="1">
        <v>6.25E-2</v>
      </c>
      <c r="U1723" s="1">
        <v>2.7400000000000001E-2</v>
      </c>
    </row>
    <row r="1724" spans="1:21" x14ac:dyDescent="0.25">
      <c r="A1724" t="s">
        <v>3609</v>
      </c>
      <c r="B1724" t="s">
        <v>3610</v>
      </c>
      <c r="C1724" t="s">
        <v>23</v>
      </c>
      <c r="D1724" t="s">
        <v>52</v>
      </c>
      <c r="E1724" t="s">
        <v>56</v>
      </c>
      <c r="F1724" t="str">
        <f t="shared" si="29"/>
        <v>2018-05-20</v>
      </c>
      <c r="G1724">
        <v>10.210000000000001</v>
      </c>
      <c r="H1724" t="str">
        <f>"2018-03-12"</f>
        <v>2018-03-12</v>
      </c>
      <c r="I1724" t="s">
        <v>57</v>
      </c>
      <c r="J1724" t="str">
        <f>"2018-02-18"</f>
        <v>2018-02-18</v>
      </c>
      <c r="K1724" t="s">
        <v>40</v>
      </c>
      <c r="L1724">
        <v>-2.8554233899999999</v>
      </c>
      <c r="M1724">
        <v>1723</v>
      </c>
      <c r="N1724" s="1">
        <v>0.1074</v>
      </c>
      <c r="O1724" s="1">
        <v>-0.13250000000000001</v>
      </c>
      <c r="P1724" s="1">
        <v>0.39860000000000001</v>
      </c>
      <c r="Q1724" s="1">
        <v>7.9000000000000008E-3</v>
      </c>
      <c r="R1724" s="1">
        <v>2.5100000000000001E-2</v>
      </c>
      <c r="S1724" s="1">
        <v>2.1999999999999999E-2</v>
      </c>
      <c r="T1724" s="1">
        <v>0.23910000000000001</v>
      </c>
      <c r="U1724" s="1">
        <v>-7.5200000000000003E-2</v>
      </c>
    </row>
    <row r="1725" spans="1:21" x14ac:dyDescent="0.25">
      <c r="A1725" t="s">
        <v>3611</v>
      </c>
      <c r="B1725" t="s">
        <v>3612</v>
      </c>
      <c r="C1725" t="s">
        <v>30</v>
      </c>
      <c r="D1725" t="s">
        <v>299</v>
      </c>
      <c r="E1725" t="s">
        <v>300</v>
      </c>
      <c r="F1725" t="str">
        <f t="shared" si="29"/>
        <v>2018-05-20</v>
      </c>
      <c r="G1725">
        <v>70.040000000000006</v>
      </c>
      <c r="H1725" t="str">
        <f>"2018-03-04"</f>
        <v>2018-03-04</v>
      </c>
      <c r="I1725" t="s">
        <v>57</v>
      </c>
      <c r="J1725" t="str">
        <f>"2017-05-14"</f>
        <v>2017-05-14</v>
      </c>
      <c r="K1725" t="s">
        <v>26</v>
      </c>
      <c r="L1725">
        <v>-2.8555459299999999</v>
      </c>
      <c r="M1725">
        <v>1724</v>
      </c>
      <c r="N1725" s="1">
        <v>6.83E-2</v>
      </c>
      <c r="O1725" s="1">
        <v>-0.1333</v>
      </c>
      <c r="P1725" s="1">
        <v>0.106</v>
      </c>
      <c r="Q1725" s="1">
        <v>1.23E-2</v>
      </c>
      <c r="R1725" s="1">
        <v>0</v>
      </c>
      <c r="S1725" s="1">
        <v>6.9099999999999995E-2</v>
      </c>
      <c r="T1725" s="1">
        <v>5.6300000000000003E-2</v>
      </c>
      <c r="U1725" s="1">
        <v>-8.1100000000000005E-2</v>
      </c>
    </row>
    <row r="1726" spans="1:21" x14ac:dyDescent="0.25">
      <c r="A1726" t="s">
        <v>3613</v>
      </c>
      <c r="B1726" t="s">
        <v>3614</v>
      </c>
      <c r="C1726" t="s">
        <v>109</v>
      </c>
      <c r="D1726" t="s">
        <v>156</v>
      </c>
      <c r="E1726" t="s">
        <v>157</v>
      </c>
      <c r="F1726" t="str">
        <f t="shared" si="29"/>
        <v>2018-05-20</v>
      </c>
      <c r="G1726">
        <v>38.549999999999997</v>
      </c>
      <c r="H1726" t="str">
        <f>"2017-12-13"</f>
        <v>2017-12-13</v>
      </c>
      <c r="I1726" t="s">
        <v>57</v>
      </c>
      <c r="J1726" t="str">
        <f>"2016-03-20"</f>
        <v>2016-03-20</v>
      </c>
      <c r="K1726" t="s">
        <v>26</v>
      </c>
      <c r="L1726">
        <v>-2.8567447000000001</v>
      </c>
      <c r="M1726">
        <v>1725</v>
      </c>
      <c r="N1726" s="1">
        <v>0.1014</v>
      </c>
      <c r="O1726" s="1">
        <v>-0.14050000000000001</v>
      </c>
      <c r="P1726" s="1">
        <v>0.1953</v>
      </c>
      <c r="Q1726" s="1">
        <v>9.1999999999999998E-3</v>
      </c>
      <c r="R1726" s="1">
        <v>5.4699999999999999E-2</v>
      </c>
      <c r="S1726" s="1">
        <v>7.6799999999999993E-2</v>
      </c>
      <c r="T1726" s="1">
        <v>0.13719999999999999</v>
      </c>
      <c r="U1726" s="1">
        <v>2.53E-2</v>
      </c>
    </row>
    <row r="1727" spans="1:21" x14ac:dyDescent="0.25">
      <c r="A1727" t="s">
        <v>3615</v>
      </c>
      <c r="B1727" t="s">
        <v>3616</v>
      </c>
      <c r="C1727" t="s">
        <v>30</v>
      </c>
      <c r="D1727" t="s">
        <v>347</v>
      </c>
      <c r="E1727" t="s">
        <v>523</v>
      </c>
      <c r="F1727" t="str">
        <f t="shared" si="29"/>
        <v>2018-05-20</v>
      </c>
      <c r="G1727">
        <v>10.08</v>
      </c>
      <c r="H1727" t="str">
        <f>"2017-12-26"</f>
        <v>2017-12-26</v>
      </c>
      <c r="I1727" t="s">
        <v>57</v>
      </c>
      <c r="J1727" t="str">
        <f>"2017-07-12"</f>
        <v>2017-07-12</v>
      </c>
      <c r="K1727" t="s">
        <v>26</v>
      </c>
      <c r="L1727">
        <v>-2.8577476700000002</v>
      </c>
      <c r="M1727">
        <v>1726</v>
      </c>
      <c r="N1727" s="1">
        <v>-5.1700000000000003E-2</v>
      </c>
      <c r="O1727" s="1">
        <v>-0.14649999999999999</v>
      </c>
      <c r="P1727" s="1">
        <v>0.1573</v>
      </c>
      <c r="Q1727" s="1">
        <v>3.0000000000000001E-3</v>
      </c>
      <c r="R1727" s="1">
        <v>3.2800000000000003E-2</v>
      </c>
      <c r="S1727" s="1">
        <v>5.0000000000000001E-3</v>
      </c>
      <c r="T1727" s="1">
        <v>1.3100000000000001E-2</v>
      </c>
      <c r="U1727" s="1">
        <v>-2.98E-2</v>
      </c>
    </row>
    <row r="1728" spans="1:21" x14ac:dyDescent="0.25">
      <c r="A1728" t="s">
        <v>3617</v>
      </c>
      <c r="B1728" t="s">
        <v>3618</v>
      </c>
      <c r="C1728" t="s">
        <v>30</v>
      </c>
      <c r="D1728" t="s">
        <v>299</v>
      </c>
      <c r="E1728" t="s">
        <v>1250</v>
      </c>
      <c r="F1728" t="str">
        <f t="shared" si="29"/>
        <v>2018-05-20</v>
      </c>
      <c r="G1728">
        <v>20.27</v>
      </c>
      <c r="H1728" t="str">
        <f>"2018-04-26"</f>
        <v>2018-04-26</v>
      </c>
      <c r="I1728" t="s">
        <v>57</v>
      </c>
      <c r="J1728" t="str">
        <f>"2017-08-10"</f>
        <v>2017-08-10</v>
      </c>
      <c r="K1728" t="s">
        <v>26</v>
      </c>
      <c r="L1728">
        <v>-2.8578142500000001</v>
      </c>
      <c r="M1728">
        <v>1727</v>
      </c>
      <c r="N1728" s="1">
        <v>5.96E-2</v>
      </c>
      <c r="O1728" s="1">
        <v>-0.1469</v>
      </c>
      <c r="P1728" s="1">
        <v>0.115</v>
      </c>
      <c r="Q1728" s="1">
        <v>1.8599999999999998E-2</v>
      </c>
      <c r="R1728" s="1">
        <v>3.2099999999999997E-2</v>
      </c>
      <c r="S1728" s="1">
        <v>5.79E-2</v>
      </c>
      <c r="T1728" s="1">
        <v>4.5900000000000003E-2</v>
      </c>
      <c r="U1728" s="1">
        <v>6.8500000000000005E-2</v>
      </c>
    </row>
    <row r="1729" spans="1:21" x14ac:dyDescent="0.25">
      <c r="A1729" t="s">
        <v>3619</v>
      </c>
      <c r="B1729" t="s">
        <v>3620</v>
      </c>
      <c r="C1729" t="s">
        <v>114</v>
      </c>
      <c r="D1729" t="s">
        <v>225</v>
      </c>
      <c r="E1729" t="s">
        <v>469</v>
      </c>
      <c r="F1729" t="str">
        <f t="shared" si="29"/>
        <v>2018-05-20</v>
      </c>
      <c r="G1729">
        <v>19.59</v>
      </c>
      <c r="H1729" t="str">
        <f>"2018-02-18"</f>
        <v>2018-02-18</v>
      </c>
      <c r="I1729" t="s">
        <v>57</v>
      </c>
      <c r="J1729" t="str">
        <f>"2017-12-18"</f>
        <v>2017-12-18</v>
      </c>
      <c r="K1729" t="s">
        <v>27</v>
      </c>
      <c r="L1729">
        <v>-2.8582283999999998</v>
      </c>
      <c r="M1729">
        <v>1728</v>
      </c>
      <c r="N1729" s="1">
        <v>-3.2099999999999997E-2</v>
      </c>
      <c r="O1729" s="1">
        <v>-0.14940000000000001</v>
      </c>
      <c r="P1729" s="1">
        <v>0.1376</v>
      </c>
      <c r="Q1729" s="1">
        <v>-2.5000000000000001E-3</v>
      </c>
      <c r="R1729" s="1">
        <v>1.03E-2</v>
      </c>
      <c r="S1729" s="1">
        <v>0.13109999999999999</v>
      </c>
      <c r="T1729" s="1">
        <v>-8.2000000000000003E-2</v>
      </c>
      <c r="U1729" s="1">
        <v>-0.21920000000000001</v>
      </c>
    </row>
    <row r="1730" spans="1:21" x14ac:dyDescent="0.25">
      <c r="A1730" t="s">
        <v>3621</v>
      </c>
      <c r="B1730" t="s">
        <v>3622</v>
      </c>
      <c r="C1730" t="s">
        <v>23</v>
      </c>
      <c r="D1730" t="s">
        <v>24</v>
      </c>
      <c r="E1730" t="s">
        <v>494</v>
      </c>
      <c r="F1730" t="str">
        <f t="shared" si="29"/>
        <v>2018-05-20</v>
      </c>
      <c r="G1730">
        <v>11.58</v>
      </c>
      <c r="H1730" t="str">
        <f>"2018-01-30"</f>
        <v>2018-01-30</v>
      </c>
      <c r="I1730" t="s">
        <v>57</v>
      </c>
      <c r="J1730" t="str">
        <f>"2018-01-11"</f>
        <v>2018-01-11</v>
      </c>
      <c r="K1730" t="s">
        <v>27</v>
      </c>
      <c r="L1730">
        <v>-2.8587115700000001</v>
      </c>
      <c r="M1730">
        <v>1729</v>
      </c>
      <c r="N1730" s="1">
        <v>-9.6000000000000002E-2</v>
      </c>
      <c r="O1730" s="1">
        <v>-0.15229999999999999</v>
      </c>
      <c r="P1730" s="1">
        <v>0.1353</v>
      </c>
      <c r="Q1730" s="1">
        <v>1.14E-2</v>
      </c>
      <c r="R1730" s="1">
        <v>2.2100000000000002E-2</v>
      </c>
      <c r="S1730" s="1">
        <v>6.93E-2</v>
      </c>
      <c r="T1730" s="1">
        <v>-0.1037</v>
      </c>
      <c r="U1730" s="1">
        <v>-0.1051</v>
      </c>
    </row>
    <row r="1731" spans="1:21" x14ac:dyDescent="0.25">
      <c r="A1731" t="s">
        <v>3623</v>
      </c>
      <c r="B1731" t="s">
        <v>3624</v>
      </c>
      <c r="C1731" t="s">
        <v>37</v>
      </c>
      <c r="D1731" t="s">
        <v>38</v>
      </c>
      <c r="E1731" t="s">
        <v>97</v>
      </c>
      <c r="F1731" t="str">
        <f t="shared" si="29"/>
        <v>2018-05-20</v>
      </c>
      <c r="G1731">
        <v>7.32</v>
      </c>
      <c r="H1731" t="str">
        <f>"2018-03-07"</f>
        <v>2018-03-07</v>
      </c>
      <c r="I1731" t="s">
        <v>57</v>
      </c>
      <c r="J1731" t="str">
        <f>"2017-12-06"</f>
        <v>2017-12-06</v>
      </c>
      <c r="K1731" t="s">
        <v>27</v>
      </c>
      <c r="L1731">
        <v>-2.8592848900000001</v>
      </c>
      <c r="M1731">
        <v>1730</v>
      </c>
      <c r="N1731" s="1">
        <v>0.1159</v>
      </c>
      <c r="O1731" s="1">
        <v>-0.15570000000000001</v>
      </c>
      <c r="P1731" s="1">
        <v>0.2344</v>
      </c>
      <c r="Q1731" s="1">
        <v>-3.8100000000000002E-2</v>
      </c>
      <c r="R1731" s="1">
        <v>8.3000000000000001E-3</v>
      </c>
      <c r="S1731" s="1">
        <v>7.8100000000000003E-2</v>
      </c>
      <c r="T1731" s="1">
        <v>-5.5500000000000001E-2</v>
      </c>
      <c r="U1731" s="1">
        <v>-0.26579999999999998</v>
      </c>
    </row>
    <row r="1732" spans="1:21" x14ac:dyDescent="0.25">
      <c r="A1732" t="s">
        <v>3625</v>
      </c>
      <c r="B1732" t="s">
        <v>3626</v>
      </c>
      <c r="C1732" t="s">
        <v>30</v>
      </c>
      <c r="D1732" t="s">
        <v>299</v>
      </c>
      <c r="E1732" t="s">
        <v>1087</v>
      </c>
      <c r="F1732" t="str">
        <f t="shared" si="29"/>
        <v>2018-05-20</v>
      </c>
      <c r="G1732">
        <v>11.59</v>
      </c>
      <c r="H1732" t="str">
        <f>"2018-02-11"</f>
        <v>2018-02-11</v>
      </c>
      <c r="I1732" t="s">
        <v>57</v>
      </c>
      <c r="J1732" t="str">
        <f>"2018-01-18"</f>
        <v>2018-01-18</v>
      </c>
      <c r="K1732" t="s">
        <v>40</v>
      </c>
      <c r="L1732">
        <v>-2.8600241500000001</v>
      </c>
      <c r="M1732">
        <v>1731</v>
      </c>
      <c r="N1732" s="1">
        <v>0.1091</v>
      </c>
      <c r="O1732" s="1">
        <v>-0.16009999999999999</v>
      </c>
      <c r="P1732" s="1">
        <v>0.15440000000000001</v>
      </c>
      <c r="Q1732" s="1">
        <v>1.3100000000000001E-2</v>
      </c>
      <c r="R1732" s="1">
        <v>-5.1999999999999998E-3</v>
      </c>
      <c r="S1732" s="1">
        <v>3.3000000000000002E-2</v>
      </c>
      <c r="T1732" s="1">
        <v>0.1144</v>
      </c>
      <c r="U1732" s="1">
        <v>-4.8399999999999999E-2</v>
      </c>
    </row>
    <row r="1733" spans="1:21" x14ac:dyDescent="0.25">
      <c r="A1733" t="s">
        <v>3627</v>
      </c>
      <c r="B1733" t="s">
        <v>3628</v>
      </c>
      <c r="C1733" t="s">
        <v>30</v>
      </c>
      <c r="D1733" t="s">
        <v>299</v>
      </c>
      <c r="E1733" t="s">
        <v>2289</v>
      </c>
      <c r="F1733" t="str">
        <f t="shared" si="29"/>
        <v>2018-05-20</v>
      </c>
      <c r="G1733">
        <v>25</v>
      </c>
      <c r="H1733" t="str">
        <f>"2018-03-13"</f>
        <v>2018-03-13</v>
      </c>
      <c r="I1733" t="s">
        <v>57</v>
      </c>
      <c r="J1733" t="str">
        <f>"2018-02-05"</f>
        <v>2018-02-05</v>
      </c>
      <c r="K1733" t="s">
        <v>40</v>
      </c>
      <c r="L1733">
        <v>-2.86027275</v>
      </c>
      <c r="M1733">
        <v>1732</v>
      </c>
      <c r="N1733" s="1">
        <v>-1.7299999999999999E-2</v>
      </c>
      <c r="O1733" s="1">
        <v>-0.16159999999999999</v>
      </c>
      <c r="P1733" s="1">
        <v>0.1018</v>
      </c>
      <c r="Q1733" s="1">
        <v>1.7899999999999999E-2</v>
      </c>
      <c r="R1733" s="1">
        <v>5.1999999999999998E-3</v>
      </c>
      <c r="S1733" s="1">
        <v>1.4999999999999999E-2</v>
      </c>
      <c r="T1733" s="1">
        <v>2.63E-2</v>
      </c>
      <c r="U1733" s="1">
        <v>-1.11E-2</v>
      </c>
    </row>
    <row r="1734" spans="1:21" x14ac:dyDescent="0.25">
      <c r="A1734" t="s">
        <v>3629</v>
      </c>
      <c r="B1734" t="s">
        <v>3630</v>
      </c>
      <c r="C1734" t="s">
        <v>100</v>
      </c>
      <c r="D1734" t="s">
        <v>199</v>
      </c>
      <c r="E1734" t="s">
        <v>200</v>
      </c>
      <c r="F1734" t="str">
        <f t="shared" si="29"/>
        <v>2018-05-20</v>
      </c>
      <c r="G1734">
        <v>47.91</v>
      </c>
      <c r="H1734" t="str">
        <f>"2018-03-01"</f>
        <v>2018-03-01</v>
      </c>
      <c r="I1734" t="s">
        <v>57</v>
      </c>
      <c r="J1734" t="str">
        <f>"2016-05-29"</f>
        <v>2016-05-29</v>
      </c>
      <c r="K1734" t="s">
        <v>26</v>
      </c>
      <c r="L1734">
        <v>-2.8603044099999999</v>
      </c>
      <c r="M1734">
        <v>1733</v>
      </c>
      <c r="N1734" s="1">
        <v>0.1497</v>
      </c>
      <c r="O1734" s="1">
        <v>-0.1618</v>
      </c>
      <c r="P1734" s="1">
        <v>0.23480000000000001</v>
      </c>
      <c r="Q1734" s="1">
        <v>1.12E-2</v>
      </c>
      <c r="R1734" s="1">
        <v>2.7199999999999998E-2</v>
      </c>
      <c r="S1734" s="1">
        <v>0.13020000000000001</v>
      </c>
      <c r="T1734" s="1">
        <v>8.6599999999999996E-2</v>
      </c>
      <c r="U1734" s="1">
        <v>0.122</v>
      </c>
    </row>
    <row r="1735" spans="1:21" x14ac:dyDescent="0.25">
      <c r="A1735" t="s">
        <v>3631</v>
      </c>
      <c r="B1735" t="s">
        <v>3632</v>
      </c>
      <c r="C1735" t="s">
        <v>30</v>
      </c>
      <c r="D1735" t="s">
        <v>299</v>
      </c>
      <c r="E1735" t="s">
        <v>2289</v>
      </c>
      <c r="F1735" t="str">
        <f t="shared" si="29"/>
        <v>2018-05-20</v>
      </c>
      <c r="G1735">
        <v>10.11</v>
      </c>
      <c r="H1735" t="str">
        <f>"2018-03-15"</f>
        <v>2018-03-15</v>
      </c>
      <c r="I1735" t="s">
        <v>57</v>
      </c>
      <c r="J1735" t="str">
        <f>"2018-01-03"</f>
        <v>2018-01-03</v>
      </c>
      <c r="K1735" t="s">
        <v>26</v>
      </c>
      <c r="L1735">
        <v>-2.8607437999999998</v>
      </c>
      <c r="M1735">
        <v>1734</v>
      </c>
      <c r="N1735" s="1">
        <v>5.8599999999999999E-2</v>
      </c>
      <c r="O1735" s="1">
        <v>-0.16450000000000001</v>
      </c>
      <c r="P1735" s="1">
        <v>0.12709999999999999</v>
      </c>
      <c r="Q1735" s="1">
        <v>2.0199999999999999E-2</v>
      </c>
      <c r="R1735" s="1">
        <v>4.7699999999999999E-2</v>
      </c>
      <c r="S1735" s="1">
        <v>0.1258</v>
      </c>
      <c r="T1735" s="1">
        <v>-6.4799999999999996E-2</v>
      </c>
      <c r="U1735" s="1">
        <v>-6.7299999999999999E-2</v>
      </c>
    </row>
    <row r="1736" spans="1:21" x14ac:dyDescent="0.25">
      <c r="A1736" t="s">
        <v>3633</v>
      </c>
      <c r="B1736" t="s">
        <v>3634</v>
      </c>
      <c r="C1736" t="s">
        <v>43</v>
      </c>
      <c r="D1736" t="s">
        <v>119</v>
      </c>
      <c r="E1736" t="s">
        <v>205</v>
      </c>
      <c r="F1736" t="str">
        <f t="shared" si="29"/>
        <v>2018-05-20</v>
      </c>
      <c r="G1736">
        <v>16.18</v>
      </c>
      <c r="H1736" t="str">
        <f>"2018-05-01"</f>
        <v>2018-05-01</v>
      </c>
      <c r="I1736" t="s">
        <v>57</v>
      </c>
      <c r="J1736" t="str">
        <f>"2016-06-22"</f>
        <v>2016-06-22</v>
      </c>
      <c r="K1736" t="s">
        <v>26</v>
      </c>
      <c r="L1736">
        <v>-2.8607812799999999</v>
      </c>
      <c r="M1736">
        <v>1735</v>
      </c>
      <c r="N1736" s="1">
        <v>0.1394</v>
      </c>
      <c r="O1736" s="1">
        <v>-0.16470000000000001</v>
      </c>
      <c r="P1736" s="1">
        <v>0.2631</v>
      </c>
      <c r="Q1736" s="1">
        <v>2.0799999999999999E-2</v>
      </c>
      <c r="R1736" s="1">
        <v>9.4000000000000004E-3</v>
      </c>
      <c r="S1736" s="1">
        <v>9.4E-2</v>
      </c>
      <c r="T1736" s="1">
        <v>-8.6E-3</v>
      </c>
      <c r="U1736" s="1">
        <v>1.1900000000000001E-2</v>
      </c>
    </row>
    <row r="1737" spans="1:21" x14ac:dyDescent="0.25">
      <c r="A1737" t="s">
        <v>3635</v>
      </c>
      <c r="B1737" t="s">
        <v>3636</v>
      </c>
      <c r="C1737" t="s">
        <v>518</v>
      </c>
      <c r="D1737" t="s">
        <v>519</v>
      </c>
      <c r="E1737" t="s">
        <v>1639</v>
      </c>
      <c r="F1737" t="str">
        <f t="shared" si="29"/>
        <v>2018-05-20</v>
      </c>
      <c r="G1737">
        <v>38</v>
      </c>
      <c r="H1737" t="str">
        <f>"2018-03-18"</f>
        <v>2018-03-18</v>
      </c>
      <c r="I1737" t="s">
        <v>57</v>
      </c>
      <c r="J1737" t="str">
        <f>"2016-11-08"</f>
        <v>2016-11-08</v>
      </c>
      <c r="K1737" t="s">
        <v>26</v>
      </c>
      <c r="L1737">
        <v>-2.8608058600000001</v>
      </c>
      <c r="M1737">
        <v>1736</v>
      </c>
      <c r="N1737" s="1">
        <v>2.7E-2</v>
      </c>
      <c r="O1737" s="1">
        <v>-0.1648</v>
      </c>
      <c r="P1737" s="1">
        <v>0.12429999999999999</v>
      </c>
      <c r="Q1737" s="1">
        <v>2.5999999999999999E-3</v>
      </c>
      <c r="R1737" s="1">
        <v>-1.2999999999999999E-2</v>
      </c>
      <c r="S1737" s="1">
        <v>-2.4400000000000002E-2</v>
      </c>
      <c r="T1737" s="1">
        <v>4.6800000000000001E-2</v>
      </c>
      <c r="U1737" s="1">
        <v>3.4000000000000002E-2</v>
      </c>
    </row>
    <row r="1738" spans="1:21" x14ac:dyDescent="0.25">
      <c r="A1738" t="s">
        <v>3637</v>
      </c>
      <c r="B1738" t="s">
        <v>3638</v>
      </c>
      <c r="C1738" t="s">
        <v>109</v>
      </c>
      <c r="D1738" t="s">
        <v>156</v>
      </c>
      <c r="E1738" t="s">
        <v>284</v>
      </c>
      <c r="F1738" t="str">
        <f t="shared" si="29"/>
        <v>2018-05-20</v>
      </c>
      <c r="G1738">
        <v>25.9</v>
      </c>
      <c r="H1738" t="str">
        <f>"2018-04-23"</f>
        <v>2018-04-23</v>
      </c>
      <c r="I1738" t="s">
        <v>57</v>
      </c>
      <c r="J1738" t="str">
        <f>"2018-01-17"</f>
        <v>2018-01-17</v>
      </c>
      <c r="K1738" t="s">
        <v>40</v>
      </c>
      <c r="L1738">
        <v>-2.8610664099999998</v>
      </c>
      <c r="M1738">
        <v>1737</v>
      </c>
      <c r="N1738" s="1">
        <v>3.5200000000000002E-2</v>
      </c>
      <c r="O1738" s="1">
        <v>-0.16639999999999999</v>
      </c>
      <c r="P1738" s="1">
        <v>0.13350000000000001</v>
      </c>
      <c r="Q1738" s="1">
        <v>8.0000000000000004E-4</v>
      </c>
      <c r="R1738" s="1">
        <v>6.4100000000000004E-2</v>
      </c>
      <c r="S1738" s="1">
        <v>3.5200000000000002E-2</v>
      </c>
      <c r="T1738" s="1">
        <v>-5.2999999999999999E-2</v>
      </c>
      <c r="U1738" s="1">
        <v>6.1999999999999998E-3</v>
      </c>
    </row>
    <row r="1739" spans="1:21" x14ac:dyDescent="0.25">
      <c r="A1739" t="s">
        <v>3639</v>
      </c>
      <c r="B1739" t="s">
        <v>3640</v>
      </c>
      <c r="C1739" t="s">
        <v>114</v>
      </c>
      <c r="D1739" t="s">
        <v>646</v>
      </c>
      <c r="E1739" t="s">
        <v>647</v>
      </c>
      <c r="F1739" t="str">
        <f t="shared" si="29"/>
        <v>2018-05-20</v>
      </c>
      <c r="G1739">
        <v>16.27</v>
      </c>
      <c r="H1739" t="str">
        <f>"2018-03-29"</f>
        <v>2018-03-29</v>
      </c>
      <c r="I1739" t="s">
        <v>57</v>
      </c>
      <c r="J1739" t="str">
        <f>"2017-11-01"</f>
        <v>2017-11-01</v>
      </c>
      <c r="K1739" t="s">
        <v>26</v>
      </c>
      <c r="L1739">
        <v>-2.8615790400000001</v>
      </c>
      <c r="M1739">
        <v>1738</v>
      </c>
      <c r="N1739" s="1">
        <v>6.9000000000000006E-2</v>
      </c>
      <c r="O1739" s="1">
        <v>-0.16950000000000001</v>
      </c>
      <c r="P1739" s="1">
        <v>0.1394</v>
      </c>
      <c r="Q1739" s="1">
        <v>9.2999999999999992E-3</v>
      </c>
      <c r="R1739" s="1">
        <v>4.9000000000000002E-2</v>
      </c>
      <c r="S1739" s="1">
        <v>4.36E-2</v>
      </c>
      <c r="T1739" s="1">
        <v>1.8800000000000001E-2</v>
      </c>
      <c r="U1739" s="1">
        <v>3.9E-2</v>
      </c>
    </row>
    <row r="1740" spans="1:21" x14ac:dyDescent="0.25">
      <c r="A1740" t="s">
        <v>3641</v>
      </c>
      <c r="B1740" t="s">
        <v>3642</v>
      </c>
      <c r="C1740" t="s">
        <v>100</v>
      </c>
      <c r="D1740" t="s">
        <v>199</v>
      </c>
      <c r="E1740" t="s">
        <v>200</v>
      </c>
      <c r="F1740" t="str">
        <f t="shared" si="29"/>
        <v>2018-05-20</v>
      </c>
      <c r="G1740">
        <v>13.52</v>
      </c>
      <c r="H1740" t="str">
        <f>"2018-02-21"</f>
        <v>2018-02-21</v>
      </c>
      <c r="I1740" t="s">
        <v>57</v>
      </c>
      <c r="J1740" t="str">
        <f>"2018-01-29"</f>
        <v>2018-01-29</v>
      </c>
      <c r="K1740" t="s">
        <v>40</v>
      </c>
      <c r="L1740">
        <v>-2.86218145</v>
      </c>
      <c r="M1740">
        <v>1739</v>
      </c>
      <c r="N1740" s="1">
        <v>5.5399999999999998E-2</v>
      </c>
      <c r="O1740" s="1">
        <v>-0.1731</v>
      </c>
      <c r="P1740" s="1">
        <v>0.1777</v>
      </c>
      <c r="Q1740" s="1">
        <v>6.9999999999999999E-4</v>
      </c>
      <c r="R1740" s="1">
        <v>0.1361</v>
      </c>
      <c r="S1740" s="1">
        <v>0.13039999999999999</v>
      </c>
      <c r="T1740" s="1">
        <v>6.6199999999999995E-2</v>
      </c>
      <c r="U1740" s="1">
        <v>-4.0500000000000001E-2</v>
      </c>
    </row>
    <row r="1741" spans="1:21" x14ac:dyDescent="0.25">
      <c r="A1741" t="s">
        <v>3643</v>
      </c>
      <c r="B1741" t="s">
        <v>3644</v>
      </c>
      <c r="C1741" t="s">
        <v>30</v>
      </c>
      <c r="D1741" t="s">
        <v>299</v>
      </c>
      <c r="E1741" t="s">
        <v>2984</v>
      </c>
      <c r="F1741" t="str">
        <f t="shared" ref="F1741:F1804" si="30">"2018-05-20"</f>
        <v>2018-05-20</v>
      </c>
      <c r="G1741">
        <v>5.18</v>
      </c>
      <c r="H1741" t="str">
        <f>"2017-12-05"</f>
        <v>2017-12-05</v>
      </c>
      <c r="I1741" t="s">
        <v>57</v>
      </c>
      <c r="J1741" t="str">
        <f>"2017-10-16"</f>
        <v>2017-10-16</v>
      </c>
      <c r="K1741" t="s">
        <v>27</v>
      </c>
      <c r="L1741">
        <v>-2.8625265400000002</v>
      </c>
      <c r="M1741">
        <v>1740</v>
      </c>
      <c r="N1741" s="1">
        <v>-0.1235</v>
      </c>
      <c r="O1741" s="1">
        <v>-0.17519999999999999</v>
      </c>
      <c r="P1741" s="1">
        <v>0.114</v>
      </c>
      <c r="Q1741" s="1">
        <v>7.7999999999999996E-3</v>
      </c>
      <c r="R1741" s="1">
        <v>0</v>
      </c>
      <c r="S1741" s="1">
        <v>0</v>
      </c>
      <c r="T1741" s="1">
        <v>5.9299999999999999E-2</v>
      </c>
      <c r="U1741" s="1">
        <v>-0.155</v>
      </c>
    </row>
    <row r="1742" spans="1:21" x14ac:dyDescent="0.25">
      <c r="A1742" t="s">
        <v>3645</v>
      </c>
      <c r="B1742" t="s">
        <v>3646</v>
      </c>
      <c r="C1742" t="s">
        <v>109</v>
      </c>
      <c r="D1742" t="s">
        <v>110</v>
      </c>
      <c r="E1742" t="s">
        <v>732</v>
      </c>
      <c r="F1742" t="str">
        <f t="shared" si="30"/>
        <v>2018-05-20</v>
      </c>
      <c r="G1742">
        <v>15.1</v>
      </c>
      <c r="H1742" t="str">
        <f>"2018-03-01"</f>
        <v>2018-03-01</v>
      </c>
      <c r="I1742" t="s">
        <v>57</v>
      </c>
      <c r="J1742" t="str">
        <f>"2017-12-11"</f>
        <v>2017-12-11</v>
      </c>
      <c r="K1742" t="s">
        <v>27</v>
      </c>
      <c r="L1742">
        <v>-2.86285195</v>
      </c>
      <c r="M1742">
        <v>1741</v>
      </c>
      <c r="N1742" s="1">
        <v>0.1227</v>
      </c>
      <c r="O1742" s="1">
        <v>-0.17710000000000001</v>
      </c>
      <c r="P1742" s="1">
        <v>0.17050000000000001</v>
      </c>
      <c r="Q1742" s="1">
        <v>-4.1300000000000003E-2</v>
      </c>
      <c r="R1742" s="1">
        <v>-2.8899999999999999E-2</v>
      </c>
      <c r="S1742" s="1">
        <v>4.4999999999999998E-2</v>
      </c>
      <c r="T1742" s="1">
        <v>7.4700000000000003E-2</v>
      </c>
      <c r="U1742" s="1">
        <v>-0.25979999999999998</v>
      </c>
    </row>
    <row r="1743" spans="1:21" x14ac:dyDescent="0.25">
      <c r="A1743" t="s">
        <v>3647</v>
      </c>
      <c r="B1743" t="s">
        <v>3648</v>
      </c>
      <c r="C1743" t="s">
        <v>30</v>
      </c>
      <c r="D1743" t="s">
        <v>299</v>
      </c>
      <c r="E1743" t="s">
        <v>2120</v>
      </c>
      <c r="F1743" t="str">
        <f t="shared" si="30"/>
        <v>2018-05-20</v>
      </c>
      <c r="G1743">
        <v>7.32</v>
      </c>
      <c r="H1743" t="str">
        <f>"2018-02-05"</f>
        <v>2018-02-05</v>
      </c>
      <c r="I1743" t="s">
        <v>57</v>
      </c>
      <c r="J1743" t="str">
        <f>"2017-11-13"</f>
        <v>2017-11-13</v>
      </c>
      <c r="K1743" t="s">
        <v>40</v>
      </c>
      <c r="L1743">
        <v>-2.8632287000000001</v>
      </c>
      <c r="M1743">
        <v>1742</v>
      </c>
      <c r="N1743" s="1">
        <v>0.14549999999999999</v>
      </c>
      <c r="O1743" s="1">
        <v>-0.1794</v>
      </c>
      <c r="P1743" s="1">
        <v>0.15820000000000001</v>
      </c>
      <c r="Q1743" s="1">
        <v>2.3800000000000002E-2</v>
      </c>
      <c r="R1743" s="1">
        <v>4.1000000000000003E-3</v>
      </c>
      <c r="S1743" s="1">
        <v>0.1108</v>
      </c>
      <c r="T1743" s="1">
        <v>0.1091</v>
      </c>
      <c r="U1743" s="1">
        <v>-0.1191</v>
      </c>
    </row>
    <row r="1744" spans="1:21" x14ac:dyDescent="0.25">
      <c r="A1744" t="s">
        <v>3649</v>
      </c>
      <c r="B1744" t="s">
        <v>3650</v>
      </c>
      <c r="C1744" t="s">
        <v>518</v>
      </c>
      <c r="D1744" t="s">
        <v>573</v>
      </c>
      <c r="E1744" t="s">
        <v>1385</v>
      </c>
      <c r="F1744" t="str">
        <f t="shared" si="30"/>
        <v>2018-05-20</v>
      </c>
      <c r="G1744">
        <v>70.709999999999994</v>
      </c>
      <c r="H1744" t="str">
        <f>"2018-02-14"</f>
        <v>2018-02-14</v>
      </c>
      <c r="I1744" t="s">
        <v>57</v>
      </c>
      <c r="J1744" t="str">
        <f>"2017-09-07"</f>
        <v>2017-09-07</v>
      </c>
      <c r="K1744" t="s">
        <v>26</v>
      </c>
      <c r="L1744">
        <v>-2.8633306300000001</v>
      </c>
      <c r="M1744">
        <v>1743</v>
      </c>
      <c r="N1744" s="1">
        <v>5.4600000000000003E-2</v>
      </c>
      <c r="O1744" s="1">
        <v>-0.18</v>
      </c>
      <c r="P1744" s="1">
        <v>0.1024</v>
      </c>
      <c r="Q1744" s="1">
        <v>-1.1000000000000001E-3</v>
      </c>
      <c r="R1744" s="1">
        <v>-3.32E-2</v>
      </c>
      <c r="S1744" s="1">
        <v>-1.9400000000000001E-2</v>
      </c>
      <c r="T1744" s="1">
        <v>2.6599999999999999E-2</v>
      </c>
      <c r="U1744" s="1">
        <v>-8.5099999999999995E-2</v>
      </c>
    </row>
    <row r="1745" spans="1:21" x14ac:dyDescent="0.25">
      <c r="A1745" t="s">
        <v>3651</v>
      </c>
      <c r="B1745" t="s">
        <v>3652</v>
      </c>
      <c r="C1745" t="s">
        <v>114</v>
      </c>
      <c r="D1745" t="s">
        <v>115</v>
      </c>
      <c r="E1745" t="s">
        <v>116</v>
      </c>
      <c r="F1745" t="str">
        <f t="shared" si="30"/>
        <v>2018-05-20</v>
      </c>
      <c r="G1745">
        <v>27.45</v>
      </c>
      <c r="H1745" t="str">
        <f>"2018-04-02"</f>
        <v>2018-04-02</v>
      </c>
      <c r="I1745" t="s">
        <v>57</v>
      </c>
      <c r="J1745" t="str">
        <f>"2018-03-12"</f>
        <v>2018-03-12</v>
      </c>
      <c r="K1745" t="s">
        <v>27</v>
      </c>
      <c r="L1745">
        <v>-2.8634328400000002</v>
      </c>
      <c r="M1745">
        <v>1744</v>
      </c>
      <c r="N1745" s="1">
        <v>-6.6299999999999998E-2</v>
      </c>
      <c r="O1745" s="1">
        <v>-0.18060000000000001</v>
      </c>
      <c r="P1745" s="1">
        <v>0.14610000000000001</v>
      </c>
      <c r="Q1745" s="1">
        <v>2.4299999999999999E-2</v>
      </c>
      <c r="R1745" s="1">
        <v>0.14610000000000001</v>
      </c>
      <c r="S1745" s="1">
        <v>-5.1799999999999999E-2</v>
      </c>
      <c r="T1745" s="1">
        <v>-0.1903</v>
      </c>
      <c r="U1745" s="1">
        <v>-8.9599999999999999E-2</v>
      </c>
    </row>
    <row r="1746" spans="1:21" x14ac:dyDescent="0.25">
      <c r="A1746" t="s">
        <v>3653</v>
      </c>
      <c r="B1746" t="s">
        <v>3654</v>
      </c>
      <c r="C1746" t="s">
        <v>43</v>
      </c>
      <c r="D1746" t="s">
        <v>150</v>
      </c>
      <c r="E1746" t="s">
        <v>151</v>
      </c>
      <c r="F1746" t="str">
        <f t="shared" si="30"/>
        <v>2018-05-20</v>
      </c>
      <c r="G1746">
        <v>30.32</v>
      </c>
      <c r="H1746" t="str">
        <f>"2018-03-22"</f>
        <v>2018-03-22</v>
      </c>
      <c r="I1746" t="s">
        <v>57</v>
      </c>
      <c r="J1746" t="str">
        <f>"2017-10-24"</f>
        <v>2017-10-24</v>
      </c>
      <c r="K1746" t="s">
        <v>26</v>
      </c>
      <c r="L1746">
        <v>-2.8634603300000001</v>
      </c>
      <c r="M1746">
        <v>1745</v>
      </c>
      <c r="N1746" s="1">
        <v>0.152</v>
      </c>
      <c r="O1746" s="1">
        <v>-0.18079999999999999</v>
      </c>
      <c r="P1746" s="1">
        <v>0.1918</v>
      </c>
      <c r="Q1746" s="1">
        <v>1.2699999999999999E-2</v>
      </c>
      <c r="R1746" s="1">
        <v>4.2999999999999997E-2</v>
      </c>
      <c r="S1746" s="1">
        <v>0.11020000000000001</v>
      </c>
      <c r="T1746" s="1">
        <v>9.3799999999999994E-2</v>
      </c>
      <c r="U1746" s="1">
        <v>5.3499999999999999E-2</v>
      </c>
    </row>
    <row r="1747" spans="1:21" x14ac:dyDescent="0.25">
      <c r="A1747" t="s">
        <v>3655</v>
      </c>
      <c r="B1747" t="s">
        <v>3656</v>
      </c>
      <c r="C1747" t="s">
        <v>43</v>
      </c>
      <c r="D1747" t="s">
        <v>119</v>
      </c>
      <c r="E1747" t="s">
        <v>120</v>
      </c>
      <c r="F1747" t="str">
        <f t="shared" si="30"/>
        <v>2018-05-20</v>
      </c>
      <c r="G1747">
        <v>18.100000000000001</v>
      </c>
      <c r="H1747" t="str">
        <f>"2018-04-24"</f>
        <v>2018-04-24</v>
      </c>
      <c r="I1747" t="s">
        <v>57</v>
      </c>
      <c r="J1747" t="str">
        <f>"2018-02-06"</f>
        <v>2018-02-06</v>
      </c>
      <c r="K1747" t="s">
        <v>40</v>
      </c>
      <c r="L1747">
        <v>-2.86411411</v>
      </c>
      <c r="M1747">
        <v>1746</v>
      </c>
      <c r="N1747" s="1">
        <v>8.3799999999999999E-2</v>
      </c>
      <c r="O1747" s="1">
        <v>-0.1847</v>
      </c>
      <c r="P1747" s="1">
        <v>0.14199999999999999</v>
      </c>
      <c r="Q1747" s="1">
        <v>8.3999999999999995E-3</v>
      </c>
      <c r="R1747" s="1">
        <v>1.4E-2</v>
      </c>
      <c r="S1747" s="1">
        <v>7.7399999999999997E-2</v>
      </c>
      <c r="T1747" s="1">
        <v>-2.8E-3</v>
      </c>
      <c r="U1747" s="1">
        <v>9.0399999999999994E-2</v>
      </c>
    </row>
    <row r="1748" spans="1:21" x14ac:dyDescent="0.25">
      <c r="A1748" t="s">
        <v>3657</v>
      </c>
      <c r="B1748" t="s">
        <v>3658</v>
      </c>
      <c r="C1748" t="s">
        <v>43</v>
      </c>
      <c r="D1748" t="s">
        <v>44</v>
      </c>
      <c r="E1748" t="s">
        <v>246</v>
      </c>
      <c r="F1748" t="str">
        <f t="shared" si="30"/>
        <v>2018-05-20</v>
      </c>
      <c r="G1748">
        <v>34.950000000000003</v>
      </c>
      <c r="H1748" t="str">
        <f>"2018-04-12"</f>
        <v>2018-04-12</v>
      </c>
      <c r="I1748" t="s">
        <v>57</v>
      </c>
      <c r="J1748" t="str">
        <f>"2018-02-08"</f>
        <v>2018-02-08</v>
      </c>
      <c r="K1748" t="s">
        <v>40</v>
      </c>
      <c r="L1748">
        <v>-2.8656286</v>
      </c>
      <c r="M1748">
        <v>1747</v>
      </c>
      <c r="N1748" s="1">
        <v>0.12379999999999999</v>
      </c>
      <c r="O1748" s="1">
        <v>-0.1938</v>
      </c>
      <c r="P1748" s="1">
        <v>0.1573</v>
      </c>
      <c r="Q1748" s="1">
        <v>2.7900000000000001E-2</v>
      </c>
      <c r="R1748" s="1">
        <v>7.8700000000000006E-2</v>
      </c>
      <c r="S1748" s="1">
        <v>9.9099999999999994E-2</v>
      </c>
      <c r="T1748" s="1">
        <v>-4.5100000000000001E-2</v>
      </c>
      <c r="U1748" s="1">
        <v>-0.11409999999999999</v>
      </c>
    </row>
    <row r="1749" spans="1:21" x14ac:dyDescent="0.25">
      <c r="A1749" t="s">
        <v>3659</v>
      </c>
      <c r="B1749" t="s">
        <v>3660</v>
      </c>
      <c r="C1749" t="s">
        <v>43</v>
      </c>
      <c r="D1749" t="s">
        <v>193</v>
      </c>
      <c r="E1749" t="s">
        <v>239</v>
      </c>
      <c r="F1749" t="str">
        <f t="shared" si="30"/>
        <v>2018-05-20</v>
      </c>
      <c r="G1749">
        <v>79.540000000000006</v>
      </c>
      <c r="H1749" t="str">
        <f>"2018-02-22"</f>
        <v>2018-02-22</v>
      </c>
      <c r="I1749" t="s">
        <v>57</v>
      </c>
      <c r="J1749" t="str">
        <f>"2018-01-24"</f>
        <v>2018-01-24</v>
      </c>
      <c r="K1749" t="s">
        <v>40</v>
      </c>
      <c r="L1749">
        <v>-2.8656736600000001</v>
      </c>
      <c r="M1749">
        <v>1748</v>
      </c>
      <c r="N1749" s="1">
        <v>5.91E-2</v>
      </c>
      <c r="O1749" s="1">
        <v>-0.19400000000000001</v>
      </c>
      <c r="P1749" s="1">
        <v>0.1193</v>
      </c>
      <c r="Q1749" s="1">
        <v>1.18E-2</v>
      </c>
      <c r="R1749" s="1">
        <v>3.6999999999999998E-2</v>
      </c>
      <c r="S1749" s="1">
        <v>6.7500000000000004E-2</v>
      </c>
      <c r="T1749" s="1">
        <v>8.4400000000000003E-2</v>
      </c>
      <c r="U1749" s="1">
        <v>2.58E-2</v>
      </c>
    </row>
    <row r="1750" spans="1:21" x14ac:dyDescent="0.25">
      <c r="A1750" t="s">
        <v>3661</v>
      </c>
      <c r="B1750" t="s">
        <v>3662</v>
      </c>
      <c r="C1750" t="s">
        <v>43</v>
      </c>
      <c r="D1750" t="s">
        <v>193</v>
      </c>
      <c r="E1750" t="s">
        <v>239</v>
      </c>
      <c r="F1750" t="str">
        <f t="shared" si="30"/>
        <v>2018-05-20</v>
      </c>
      <c r="G1750">
        <v>20.45</v>
      </c>
      <c r="H1750" t="str">
        <f>"2018-03-21"</f>
        <v>2018-03-21</v>
      </c>
      <c r="I1750" t="s">
        <v>57</v>
      </c>
      <c r="J1750" t="str">
        <f>"2017-11-09"</f>
        <v>2017-11-09</v>
      </c>
      <c r="K1750" t="s">
        <v>26</v>
      </c>
      <c r="L1750">
        <v>-2.8658136500000002</v>
      </c>
      <c r="M1750">
        <v>1749</v>
      </c>
      <c r="N1750" s="1">
        <v>2.5100000000000001E-2</v>
      </c>
      <c r="O1750" s="1">
        <v>-0.19489999999999999</v>
      </c>
      <c r="P1750" s="1">
        <v>0.1855</v>
      </c>
      <c r="Q1750" s="1">
        <v>2.2499999999999999E-2</v>
      </c>
      <c r="R1750" s="1">
        <v>3.2800000000000003E-2</v>
      </c>
      <c r="S1750" s="1">
        <v>0.13300000000000001</v>
      </c>
      <c r="T1750" s="1">
        <v>3.0200000000000001E-2</v>
      </c>
      <c r="U1750" s="1">
        <v>-2.3999999999999998E-3</v>
      </c>
    </row>
    <row r="1751" spans="1:21" x14ac:dyDescent="0.25">
      <c r="A1751" t="s">
        <v>3663</v>
      </c>
      <c r="B1751" t="s">
        <v>3664</v>
      </c>
      <c r="C1751" t="s">
        <v>30</v>
      </c>
      <c r="D1751" t="s">
        <v>299</v>
      </c>
      <c r="E1751" t="s">
        <v>2984</v>
      </c>
      <c r="F1751" t="str">
        <f t="shared" si="30"/>
        <v>2018-05-20</v>
      </c>
      <c r="G1751">
        <v>11.99</v>
      </c>
      <c r="H1751" t="str">
        <f>"2018-03-12"</f>
        <v>2018-03-12</v>
      </c>
      <c r="I1751" t="s">
        <v>57</v>
      </c>
      <c r="J1751" t="str">
        <f>"2018-02-12"</f>
        <v>2018-02-12</v>
      </c>
      <c r="K1751" t="s">
        <v>40</v>
      </c>
      <c r="L1751">
        <v>-2.8659736200000001</v>
      </c>
      <c r="M1751">
        <v>1750</v>
      </c>
      <c r="N1751" s="1">
        <v>0.1081</v>
      </c>
      <c r="O1751" s="1">
        <v>-0.1958</v>
      </c>
      <c r="P1751" s="1">
        <v>0.18479999999999999</v>
      </c>
      <c r="Q1751" s="1">
        <v>2.3E-2</v>
      </c>
      <c r="R1751" s="1">
        <v>2.3900000000000001E-2</v>
      </c>
      <c r="S1751" s="1">
        <v>0.13869999999999999</v>
      </c>
      <c r="T1751" s="1">
        <v>-5.4399999999999997E-2</v>
      </c>
      <c r="U1751" s="1">
        <v>1.6999999999999999E-3</v>
      </c>
    </row>
    <row r="1752" spans="1:21" x14ac:dyDescent="0.25">
      <c r="A1752" t="s">
        <v>3665</v>
      </c>
      <c r="B1752" t="s">
        <v>3666</v>
      </c>
      <c r="C1752" t="s">
        <v>518</v>
      </c>
      <c r="D1752" t="s">
        <v>573</v>
      </c>
      <c r="E1752" t="s">
        <v>574</v>
      </c>
      <c r="F1752" t="str">
        <f t="shared" si="30"/>
        <v>2018-05-20</v>
      </c>
      <c r="G1752">
        <v>31.85</v>
      </c>
      <c r="H1752" t="str">
        <f>"2018-02-12"</f>
        <v>2018-02-12</v>
      </c>
      <c r="I1752" t="s">
        <v>57</v>
      </c>
      <c r="J1752" t="str">
        <f>"2014-10-26"</f>
        <v>2014-10-26</v>
      </c>
      <c r="K1752" t="s">
        <v>26</v>
      </c>
      <c r="L1752">
        <v>-2.86612022</v>
      </c>
      <c r="M1752">
        <v>1751</v>
      </c>
      <c r="N1752" s="1">
        <v>5.6399999999999999E-2</v>
      </c>
      <c r="O1752" s="1">
        <v>-0.19670000000000001</v>
      </c>
      <c r="P1752" s="1">
        <v>0.13350000000000001</v>
      </c>
      <c r="Q1752" s="1">
        <v>6.3E-3</v>
      </c>
      <c r="R1752" s="1">
        <v>1.43E-2</v>
      </c>
      <c r="S1752" s="1">
        <v>-1.7000000000000001E-2</v>
      </c>
      <c r="T1752" s="1">
        <v>8.1500000000000003E-2</v>
      </c>
      <c r="U1752" s="1">
        <v>-1.55E-2</v>
      </c>
    </row>
    <row r="1753" spans="1:21" x14ac:dyDescent="0.25">
      <c r="A1753" t="s">
        <v>3667</v>
      </c>
      <c r="B1753" t="s">
        <v>3668</v>
      </c>
      <c r="C1753" t="s">
        <v>30</v>
      </c>
      <c r="D1753" t="s">
        <v>299</v>
      </c>
      <c r="E1753" t="s">
        <v>2984</v>
      </c>
      <c r="F1753" t="str">
        <f t="shared" si="30"/>
        <v>2018-05-20</v>
      </c>
      <c r="G1753">
        <v>20.73</v>
      </c>
      <c r="H1753" t="str">
        <f>"2018-03-04"</f>
        <v>2018-03-04</v>
      </c>
      <c r="I1753" t="s">
        <v>57</v>
      </c>
      <c r="J1753" t="str">
        <f>"2017-11-26"</f>
        <v>2017-11-26</v>
      </c>
      <c r="K1753" t="s">
        <v>26</v>
      </c>
      <c r="L1753">
        <v>-2.8663442899999998</v>
      </c>
      <c r="M1753">
        <v>1752</v>
      </c>
      <c r="N1753" s="1">
        <v>0.12540000000000001</v>
      </c>
      <c r="O1753" s="1">
        <v>-0.1981</v>
      </c>
      <c r="P1753" s="1">
        <v>0.1409</v>
      </c>
      <c r="Q1753" s="1">
        <v>1.52E-2</v>
      </c>
      <c r="R1753" s="1">
        <v>8.3000000000000001E-3</v>
      </c>
      <c r="S1753" s="1">
        <v>9.8599999999999993E-2</v>
      </c>
      <c r="T1753" s="1">
        <v>9.6799999999999997E-2</v>
      </c>
      <c r="U1753" s="1">
        <v>-0.1409</v>
      </c>
    </row>
    <row r="1754" spans="1:21" x14ac:dyDescent="0.25">
      <c r="A1754" t="s">
        <v>3669</v>
      </c>
      <c r="B1754" t="s">
        <v>3670</v>
      </c>
      <c r="C1754" t="s">
        <v>30</v>
      </c>
      <c r="D1754" t="s">
        <v>299</v>
      </c>
      <c r="E1754" t="s">
        <v>2289</v>
      </c>
      <c r="F1754" t="str">
        <f t="shared" si="30"/>
        <v>2018-05-20</v>
      </c>
      <c r="G1754">
        <v>24.42</v>
      </c>
      <c r="H1754" t="str">
        <f>"2018-01-08"</f>
        <v>2018-01-08</v>
      </c>
      <c r="I1754" t="s">
        <v>57</v>
      </c>
      <c r="J1754" t="str">
        <f>"2017-09-11"</f>
        <v>2017-09-11</v>
      </c>
      <c r="K1754" t="s">
        <v>27</v>
      </c>
      <c r="L1754">
        <v>-2.8663821399999998</v>
      </c>
      <c r="M1754">
        <v>1753</v>
      </c>
      <c r="N1754" s="1">
        <v>-9.1499999999999998E-2</v>
      </c>
      <c r="O1754" s="1">
        <v>-0.1983</v>
      </c>
      <c r="P1754" s="1">
        <v>0.11459999999999999</v>
      </c>
      <c r="Q1754" s="1">
        <v>2.4299999999999999E-2</v>
      </c>
      <c r="R1754" s="1">
        <v>2.2599999999999999E-2</v>
      </c>
      <c r="S1754" s="1">
        <v>8.3400000000000002E-2</v>
      </c>
      <c r="T1754" s="1">
        <v>-1.61E-2</v>
      </c>
      <c r="U1754" s="1">
        <v>-0.1101</v>
      </c>
    </row>
    <row r="1755" spans="1:21" x14ac:dyDescent="0.25">
      <c r="A1755" t="s">
        <v>3671</v>
      </c>
      <c r="B1755" t="s">
        <v>3672</v>
      </c>
      <c r="C1755" t="s">
        <v>87</v>
      </c>
      <c r="D1755" t="s">
        <v>88</v>
      </c>
      <c r="E1755" t="s">
        <v>89</v>
      </c>
      <c r="F1755" t="str">
        <f t="shared" si="30"/>
        <v>2018-05-20</v>
      </c>
      <c r="G1755">
        <v>19.850000000000001</v>
      </c>
      <c r="H1755" t="str">
        <f>"2018-04-03"</f>
        <v>2018-04-03</v>
      </c>
      <c r="I1755" t="s">
        <v>57</v>
      </c>
      <c r="J1755" t="str">
        <f>"2017-12-10"</f>
        <v>2017-12-10</v>
      </c>
      <c r="K1755" t="s">
        <v>40</v>
      </c>
      <c r="L1755">
        <v>-2.8671352099999998</v>
      </c>
      <c r="M1755">
        <v>1754</v>
      </c>
      <c r="N1755" s="1">
        <v>2.06E-2</v>
      </c>
      <c r="O1755" s="1">
        <v>-0.20280000000000001</v>
      </c>
      <c r="P1755" s="1">
        <v>0.112</v>
      </c>
      <c r="Q1755" s="1">
        <v>-7.6700000000000004E-2</v>
      </c>
      <c r="R1755" s="1">
        <v>-6.59E-2</v>
      </c>
      <c r="S1755" s="1">
        <v>-3.4099999999999998E-2</v>
      </c>
      <c r="T1755" s="1">
        <v>5.3100000000000001E-2</v>
      </c>
      <c r="U1755" s="1">
        <v>5.3100000000000001E-2</v>
      </c>
    </row>
    <row r="1756" spans="1:21" x14ac:dyDescent="0.25">
      <c r="A1756" t="s">
        <v>3673</v>
      </c>
      <c r="B1756" t="s">
        <v>3674</v>
      </c>
      <c r="C1756" t="s">
        <v>30</v>
      </c>
      <c r="D1756" t="s">
        <v>299</v>
      </c>
      <c r="E1756" t="s">
        <v>2172</v>
      </c>
      <c r="F1756" t="str">
        <f t="shared" si="30"/>
        <v>2018-05-20</v>
      </c>
      <c r="G1756">
        <v>14.26</v>
      </c>
      <c r="H1756" t="str">
        <f>"2018-02-01"</f>
        <v>2018-02-01</v>
      </c>
      <c r="I1756" t="s">
        <v>57</v>
      </c>
      <c r="J1756" t="str">
        <f>"2017-08-17"</f>
        <v>2017-08-17</v>
      </c>
      <c r="K1756" t="s">
        <v>40</v>
      </c>
      <c r="L1756">
        <v>-2.86715111</v>
      </c>
      <c r="M1756">
        <v>1755</v>
      </c>
      <c r="N1756" s="1">
        <v>0.1046</v>
      </c>
      <c r="O1756" s="1">
        <v>-0.2029</v>
      </c>
      <c r="P1756" s="1">
        <v>0.22189999999999999</v>
      </c>
      <c r="Q1756" s="1">
        <v>2.3699999999999999E-2</v>
      </c>
      <c r="R1756" s="1">
        <v>2.6599999999999999E-2</v>
      </c>
      <c r="S1756" s="1">
        <v>9.9500000000000005E-2</v>
      </c>
      <c r="T1756" s="1">
        <v>0.15559999999999999</v>
      </c>
      <c r="U1756" s="1">
        <v>-0.13370000000000001</v>
      </c>
    </row>
    <row r="1757" spans="1:21" x14ac:dyDescent="0.25">
      <c r="A1757" t="s">
        <v>3675</v>
      </c>
      <c r="B1757" t="s">
        <v>3676</v>
      </c>
      <c r="C1757" t="s">
        <v>43</v>
      </c>
      <c r="D1757" t="s">
        <v>193</v>
      </c>
      <c r="E1757" t="s">
        <v>239</v>
      </c>
      <c r="F1757" t="str">
        <f t="shared" si="30"/>
        <v>2018-05-20</v>
      </c>
      <c r="G1757">
        <v>66.55</v>
      </c>
      <c r="H1757" t="str">
        <f>"2018-03-29"</f>
        <v>2018-03-29</v>
      </c>
      <c r="I1757" t="s">
        <v>57</v>
      </c>
      <c r="J1757" t="str">
        <f>"2016-04-18"</f>
        <v>2016-04-18</v>
      </c>
      <c r="K1757" t="s">
        <v>26</v>
      </c>
      <c r="L1757">
        <v>-2.8682699899999999</v>
      </c>
      <c r="M1757">
        <v>1756</v>
      </c>
      <c r="N1757" s="1">
        <v>8.48E-2</v>
      </c>
      <c r="O1757" s="1">
        <v>-0.20960000000000001</v>
      </c>
      <c r="P1757" s="1">
        <v>0.14050000000000001</v>
      </c>
      <c r="Q1757" s="1">
        <v>1.5E-3</v>
      </c>
      <c r="R1757" s="1">
        <v>3.9800000000000002E-2</v>
      </c>
      <c r="S1757" s="1">
        <v>7.7700000000000005E-2</v>
      </c>
      <c r="T1757" s="1">
        <v>2.3800000000000002E-2</v>
      </c>
      <c r="U1757" s="1">
        <v>-0.115</v>
      </c>
    </row>
    <row r="1758" spans="1:21" x14ac:dyDescent="0.25">
      <c r="A1758" t="s">
        <v>3677</v>
      </c>
      <c r="B1758" t="s">
        <v>3678</v>
      </c>
      <c r="C1758" t="s">
        <v>37</v>
      </c>
      <c r="D1758" t="s">
        <v>66</v>
      </c>
      <c r="E1758" t="s">
        <v>94</v>
      </c>
      <c r="F1758" t="str">
        <f t="shared" si="30"/>
        <v>2018-05-20</v>
      </c>
      <c r="G1758">
        <v>15.6</v>
      </c>
      <c r="H1758" t="str">
        <f>"2018-02-26"</f>
        <v>2018-02-26</v>
      </c>
      <c r="I1758" t="s">
        <v>57</v>
      </c>
      <c r="J1758" t="str">
        <f>"2017-09-10"</f>
        <v>2017-09-10</v>
      </c>
      <c r="K1758" t="s">
        <v>26</v>
      </c>
      <c r="L1758">
        <v>-2.8686868699999999</v>
      </c>
      <c r="M1758">
        <v>1757</v>
      </c>
      <c r="N1758" s="1">
        <v>0.1908</v>
      </c>
      <c r="O1758" s="1">
        <v>-0.21210000000000001</v>
      </c>
      <c r="P1758" s="1">
        <v>0.37440000000000001</v>
      </c>
      <c r="Q1758" s="1">
        <v>1.2999999999999999E-2</v>
      </c>
      <c r="R1758" s="1">
        <v>8.3299999999999999E-2</v>
      </c>
      <c r="S1758" s="1">
        <v>7.9600000000000004E-2</v>
      </c>
      <c r="T1758" s="1">
        <v>0.1908</v>
      </c>
      <c r="U1758" s="1">
        <v>-3.6999999999999998E-2</v>
      </c>
    </row>
    <row r="1759" spans="1:21" x14ac:dyDescent="0.25">
      <c r="A1759" t="s">
        <v>3679</v>
      </c>
      <c r="B1759" t="s">
        <v>3680</v>
      </c>
      <c r="C1759" t="s">
        <v>30</v>
      </c>
      <c r="D1759" t="s">
        <v>299</v>
      </c>
      <c r="E1759" t="s">
        <v>2289</v>
      </c>
      <c r="F1759" t="str">
        <f t="shared" si="30"/>
        <v>2018-05-20</v>
      </c>
      <c r="G1759">
        <v>38.56</v>
      </c>
      <c r="H1759" t="str">
        <f>"2017-12-19"</f>
        <v>2017-12-19</v>
      </c>
      <c r="I1759" t="s">
        <v>57</v>
      </c>
      <c r="J1759" t="str">
        <f>"2017-10-17"</f>
        <v>2017-10-17</v>
      </c>
      <c r="K1759" t="s">
        <v>40</v>
      </c>
      <c r="L1759">
        <v>-2.8687899799999999</v>
      </c>
      <c r="M1759">
        <v>1758</v>
      </c>
      <c r="N1759" s="1">
        <v>-3.3599999999999998E-2</v>
      </c>
      <c r="O1759" s="1">
        <v>-0.2127</v>
      </c>
      <c r="P1759" s="1">
        <v>0.1177</v>
      </c>
      <c r="Q1759" s="1">
        <v>2.64E-2</v>
      </c>
      <c r="R1759" s="1">
        <v>3.1600000000000003E-2</v>
      </c>
      <c r="S1759" s="1">
        <v>8.7400000000000005E-2</v>
      </c>
      <c r="T1759" s="1">
        <v>-6.5699999999999995E-2</v>
      </c>
      <c r="U1759" s="1">
        <v>-3.04E-2</v>
      </c>
    </row>
    <row r="1760" spans="1:21" x14ac:dyDescent="0.25">
      <c r="A1760" t="s">
        <v>3681</v>
      </c>
      <c r="B1760" t="s">
        <v>3682</v>
      </c>
      <c r="C1760" t="s">
        <v>30</v>
      </c>
      <c r="D1760" t="s">
        <v>299</v>
      </c>
      <c r="E1760" t="s">
        <v>300</v>
      </c>
      <c r="F1760" t="str">
        <f t="shared" si="30"/>
        <v>2018-05-20</v>
      </c>
      <c r="G1760">
        <v>15.46</v>
      </c>
      <c r="H1760" t="str">
        <f>"2018-02-25"</f>
        <v>2018-02-25</v>
      </c>
      <c r="I1760" t="s">
        <v>57</v>
      </c>
      <c r="J1760" t="str">
        <f>"2017-12-03"</f>
        <v>2017-12-03</v>
      </c>
      <c r="K1760" t="s">
        <v>40</v>
      </c>
      <c r="L1760">
        <v>-2.8690718199999998</v>
      </c>
      <c r="M1760">
        <v>1759</v>
      </c>
      <c r="N1760" s="1">
        <v>3.7600000000000001E-2</v>
      </c>
      <c r="O1760" s="1">
        <v>-0.21440000000000001</v>
      </c>
      <c r="P1760" s="1">
        <v>0.20119999999999999</v>
      </c>
      <c r="Q1760" s="1">
        <v>1.3100000000000001E-2</v>
      </c>
      <c r="R1760" s="1">
        <v>2.2499999999999999E-2</v>
      </c>
      <c r="S1760" s="1">
        <v>0.20119999999999999</v>
      </c>
      <c r="T1760" s="1">
        <v>5.7500000000000002E-2</v>
      </c>
      <c r="U1760" s="1">
        <v>-0.16070000000000001</v>
      </c>
    </row>
    <row r="1761" spans="1:21" x14ac:dyDescent="0.25">
      <c r="A1761" t="s">
        <v>3683</v>
      </c>
      <c r="B1761" t="s">
        <v>3684</v>
      </c>
      <c r="C1761" t="s">
        <v>37</v>
      </c>
      <c r="D1761" t="s">
        <v>38</v>
      </c>
      <c r="E1761" t="s">
        <v>97</v>
      </c>
      <c r="F1761" t="str">
        <f t="shared" si="30"/>
        <v>2018-05-20</v>
      </c>
      <c r="G1761">
        <v>20.79</v>
      </c>
      <c r="H1761" t="str">
        <f>"2018-03-20"</f>
        <v>2018-03-20</v>
      </c>
      <c r="I1761" t="s">
        <v>57</v>
      </c>
      <c r="J1761" t="str">
        <f>"2017-03-28"</f>
        <v>2017-03-28</v>
      </c>
      <c r="K1761" t="s">
        <v>26</v>
      </c>
      <c r="L1761">
        <v>-2.86963883</v>
      </c>
      <c r="M1761">
        <v>1760</v>
      </c>
      <c r="N1761" s="1">
        <v>0.84309999999999996</v>
      </c>
      <c r="O1761" s="1">
        <v>-0.21779999999999999</v>
      </c>
      <c r="P1761" s="1">
        <v>1.31</v>
      </c>
      <c r="Q1761" s="1">
        <v>3.3300000000000003E-2</v>
      </c>
      <c r="R1761" s="1">
        <v>-8.2900000000000001E-2</v>
      </c>
      <c r="S1761" s="1">
        <v>0.44169999999999998</v>
      </c>
      <c r="T1761" s="1">
        <v>0.87970000000000004</v>
      </c>
      <c r="U1761" s="1">
        <v>0.315</v>
      </c>
    </row>
    <row r="1762" spans="1:21" x14ac:dyDescent="0.25">
      <c r="A1762" t="s">
        <v>3685</v>
      </c>
      <c r="B1762" t="s">
        <v>3686</v>
      </c>
      <c r="C1762" t="s">
        <v>43</v>
      </c>
      <c r="D1762" t="s">
        <v>193</v>
      </c>
      <c r="E1762" t="s">
        <v>239</v>
      </c>
      <c r="F1762" t="str">
        <f t="shared" si="30"/>
        <v>2018-05-20</v>
      </c>
      <c r="G1762">
        <v>13.73</v>
      </c>
      <c r="H1762" t="str">
        <f>"2018-02-12"</f>
        <v>2018-02-12</v>
      </c>
      <c r="I1762" t="s">
        <v>57</v>
      </c>
      <c r="J1762" t="str">
        <f>"2017-11-28"</f>
        <v>2017-11-28</v>
      </c>
      <c r="K1762" t="s">
        <v>27</v>
      </c>
      <c r="L1762">
        <v>-2.8697590599999998</v>
      </c>
      <c r="M1762">
        <v>1761</v>
      </c>
      <c r="N1762" s="1">
        <v>-3.3799999999999997E-2</v>
      </c>
      <c r="O1762" s="1">
        <v>-0.21859999999999999</v>
      </c>
      <c r="P1762" s="1">
        <v>0.1172</v>
      </c>
      <c r="Q1762" s="1">
        <v>1.18E-2</v>
      </c>
      <c r="R1762" s="1">
        <v>4.5699999999999998E-2</v>
      </c>
      <c r="S1762" s="1">
        <v>0.03</v>
      </c>
      <c r="T1762" s="1">
        <v>-5.96E-2</v>
      </c>
      <c r="U1762" s="1">
        <v>-0.28489999999999999</v>
      </c>
    </row>
    <row r="1763" spans="1:21" x14ac:dyDescent="0.25">
      <c r="A1763" t="s">
        <v>3687</v>
      </c>
      <c r="B1763" t="s">
        <v>3688</v>
      </c>
      <c r="C1763" t="s">
        <v>109</v>
      </c>
      <c r="D1763" t="s">
        <v>156</v>
      </c>
      <c r="E1763" t="s">
        <v>157</v>
      </c>
      <c r="F1763" t="str">
        <f t="shared" si="30"/>
        <v>2018-05-20</v>
      </c>
      <c r="G1763">
        <v>109.9</v>
      </c>
      <c r="H1763" t="str">
        <f>"2018-04-30"</f>
        <v>2018-04-30</v>
      </c>
      <c r="I1763" t="s">
        <v>57</v>
      </c>
      <c r="J1763" t="str">
        <f>"2017-06-21"</f>
        <v>2017-06-21</v>
      </c>
      <c r="K1763" t="s">
        <v>26</v>
      </c>
      <c r="L1763">
        <v>-2.8698175799999999</v>
      </c>
      <c r="M1763">
        <v>1762</v>
      </c>
      <c r="N1763" s="1">
        <v>9.7100000000000006E-2</v>
      </c>
      <c r="O1763" s="1">
        <v>-0.21890000000000001</v>
      </c>
      <c r="P1763" s="1">
        <v>0.15310000000000001</v>
      </c>
      <c r="Q1763" s="1">
        <v>7.1000000000000004E-3</v>
      </c>
      <c r="R1763" s="1">
        <v>-2E-3</v>
      </c>
      <c r="S1763" s="1">
        <v>5.9900000000000002E-2</v>
      </c>
      <c r="T1763" s="1">
        <v>-0.13830000000000001</v>
      </c>
      <c r="U1763" s="1">
        <v>-1.8E-3</v>
      </c>
    </row>
    <row r="1764" spans="1:21" x14ac:dyDescent="0.25">
      <c r="A1764" t="s">
        <v>3689</v>
      </c>
      <c r="B1764" t="s">
        <v>3690</v>
      </c>
      <c r="C1764" t="s">
        <v>23</v>
      </c>
      <c r="D1764" t="s">
        <v>173</v>
      </c>
      <c r="E1764" t="s">
        <v>1429</v>
      </c>
      <c r="F1764" t="str">
        <f t="shared" si="30"/>
        <v>2018-05-20</v>
      </c>
      <c r="G1764">
        <v>31</v>
      </c>
      <c r="H1764" t="str">
        <f>"2018-05-01"</f>
        <v>2018-05-01</v>
      </c>
      <c r="I1764" t="s">
        <v>57</v>
      </c>
      <c r="J1764" t="str">
        <f>"2018-04-02"</f>
        <v>2018-04-02</v>
      </c>
      <c r="K1764" t="s">
        <v>40</v>
      </c>
      <c r="L1764">
        <v>-2.87050961</v>
      </c>
      <c r="M1764">
        <v>1763</v>
      </c>
      <c r="N1764" s="1">
        <v>0.1032</v>
      </c>
      <c r="O1764" s="1">
        <v>-0.22309999999999999</v>
      </c>
      <c r="P1764" s="1">
        <v>0.14599999999999999</v>
      </c>
      <c r="Q1764" s="1">
        <v>6.4999999999999997E-3</v>
      </c>
      <c r="R1764" s="1">
        <v>2.4799999999999999E-2</v>
      </c>
      <c r="S1764" s="1">
        <v>6.7100000000000007E-2</v>
      </c>
      <c r="T1764" s="1">
        <v>-0.1542</v>
      </c>
      <c r="U1764" s="1">
        <v>-7.7399999999999997E-2</v>
      </c>
    </row>
    <row r="1765" spans="1:21" x14ac:dyDescent="0.25">
      <c r="A1765" t="s">
        <v>3691</v>
      </c>
      <c r="B1765" t="s">
        <v>3692</v>
      </c>
      <c r="C1765" t="s">
        <v>43</v>
      </c>
      <c r="D1765" t="s">
        <v>374</v>
      </c>
      <c r="E1765" t="s">
        <v>378</v>
      </c>
      <c r="F1765" t="str">
        <f t="shared" si="30"/>
        <v>2018-05-20</v>
      </c>
      <c r="G1765">
        <v>78.75</v>
      </c>
      <c r="H1765" t="str">
        <f>"2017-11-22"</f>
        <v>2017-11-22</v>
      </c>
      <c r="I1765" t="s">
        <v>57</v>
      </c>
      <c r="J1765" t="str">
        <f>"2017-08-22"</f>
        <v>2017-08-22</v>
      </c>
      <c r="K1765" t="s">
        <v>40</v>
      </c>
      <c r="L1765">
        <v>-2.8708169300000002</v>
      </c>
      <c r="M1765">
        <v>1764</v>
      </c>
      <c r="N1765" s="1">
        <v>9.9099999999999994E-2</v>
      </c>
      <c r="O1765" s="1">
        <v>-0.22489999999999999</v>
      </c>
      <c r="P1765" s="1">
        <v>0.15049999999999999</v>
      </c>
      <c r="Q1765" s="1">
        <v>2.5399999999999999E-2</v>
      </c>
      <c r="R1765" s="1">
        <v>3.8199999999999998E-2</v>
      </c>
      <c r="S1765" s="1">
        <v>4.7899999999999998E-2</v>
      </c>
      <c r="T1765" s="1">
        <v>2.41E-2</v>
      </c>
      <c r="U1765" s="1">
        <v>-0.1573</v>
      </c>
    </row>
    <row r="1766" spans="1:21" x14ac:dyDescent="0.25">
      <c r="A1766" t="s">
        <v>3693</v>
      </c>
      <c r="B1766" t="s">
        <v>3694</v>
      </c>
      <c r="C1766" t="s">
        <v>83</v>
      </c>
      <c r="D1766" t="s">
        <v>342</v>
      </c>
      <c r="E1766" t="s">
        <v>342</v>
      </c>
      <c r="F1766" t="str">
        <f t="shared" si="30"/>
        <v>2018-05-20</v>
      </c>
      <c r="G1766">
        <v>17</v>
      </c>
      <c r="H1766" t="str">
        <f>"2018-02-15"</f>
        <v>2018-02-15</v>
      </c>
      <c r="I1766" t="s">
        <v>57</v>
      </c>
      <c r="J1766" t="str">
        <f>"2017-11-29"</f>
        <v>2017-11-29</v>
      </c>
      <c r="K1766" t="s">
        <v>26</v>
      </c>
      <c r="L1766">
        <v>-2.87121212</v>
      </c>
      <c r="M1766">
        <v>1765</v>
      </c>
      <c r="N1766" s="1">
        <v>0.1221</v>
      </c>
      <c r="O1766" s="1">
        <v>-0.2273</v>
      </c>
      <c r="P1766" s="1">
        <v>0.29770000000000002</v>
      </c>
      <c r="Q1766" s="1">
        <v>-2.8999999999999998E-3</v>
      </c>
      <c r="R1766" s="1">
        <v>1.1900000000000001E-2</v>
      </c>
      <c r="S1766" s="1">
        <v>0.14480000000000001</v>
      </c>
      <c r="T1766" s="1">
        <v>7.5899999999999995E-2</v>
      </c>
      <c r="U1766" s="1">
        <v>-8.6999999999999994E-3</v>
      </c>
    </row>
    <row r="1767" spans="1:21" x14ac:dyDescent="0.25">
      <c r="A1767" t="s">
        <v>3695</v>
      </c>
      <c r="B1767" t="s">
        <v>3696</v>
      </c>
      <c r="C1767" t="s">
        <v>30</v>
      </c>
      <c r="D1767" t="s">
        <v>299</v>
      </c>
      <c r="E1767" t="s">
        <v>1250</v>
      </c>
      <c r="F1767" t="str">
        <f t="shared" si="30"/>
        <v>2018-05-20</v>
      </c>
      <c r="G1767">
        <v>14.85</v>
      </c>
      <c r="H1767" t="str">
        <f>"2018-01-02"</f>
        <v>2018-01-02</v>
      </c>
      <c r="I1767" t="s">
        <v>57</v>
      </c>
      <c r="J1767" t="str">
        <f>"2017-11-27"</f>
        <v>2017-11-27</v>
      </c>
      <c r="K1767" t="s">
        <v>40</v>
      </c>
      <c r="L1767">
        <v>-2.8712278900000001</v>
      </c>
      <c r="M1767">
        <v>1766</v>
      </c>
      <c r="N1767" s="1">
        <v>-2.5600000000000001E-2</v>
      </c>
      <c r="O1767" s="1">
        <v>-0.22739999999999999</v>
      </c>
      <c r="P1767" s="1">
        <v>0.15379999999999999</v>
      </c>
      <c r="Q1767" s="1">
        <v>6.7999999999999996E-3</v>
      </c>
      <c r="R1767" s="1">
        <v>3.3999999999999998E-3</v>
      </c>
      <c r="S1767" s="1">
        <v>2.3400000000000001E-2</v>
      </c>
      <c r="T1767" s="1">
        <v>7.4499999999999997E-2</v>
      </c>
      <c r="U1767" s="1">
        <v>-0.15190000000000001</v>
      </c>
    </row>
    <row r="1768" spans="1:21" x14ac:dyDescent="0.25">
      <c r="A1768" t="s">
        <v>3697</v>
      </c>
      <c r="B1768" t="s">
        <v>3698</v>
      </c>
      <c r="C1768" t="s">
        <v>43</v>
      </c>
      <c r="D1768" t="s">
        <v>119</v>
      </c>
      <c r="E1768" t="s">
        <v>205</v>
      </c>
      <c r="F1768" t="str">
        <f t="shared" si="30"/>
        <v>2018-05-20</v>
      </c>
      <c r="G1768">
        <v>49.77</v>
      </c>
      <c r="H1768" t="str">
        <f>"2018-04-26"</f>
        <v>2018-04-26</v>
      </c>
      <c r="I1768" t="s">
        <v>57</v>
      </c>
      <c r="J1768" t="str">
        <f>"2018-04-09"</f>
        <v>2018-04-09</v>
      </c>
      <c r="K1768" t="s">
        <v>40</v>
      </c>
      <c r="L1768">
        <v>-2.8713354999999998</v>
      </c>
      <c r="M1768">
        <v>1767</v>
      </c>
      <c r="N1768" s="1">
        <v>4.2299999999999997E-2</v>
      </c>
      <c r="O1768" s="1">
        <v>-0.22800000000000001</v>
      </c>
      <c r="P1768" s="1">
        <v>0.1207</v>
      </c>
      <c r="Q1768" s="1">
        <v>-1.37E-2</v>
      </c>
      <c r="R1768" s="1">
        <v>-3.8399999999999997E-2</v>
      </c>
      <c r="S1768" s="1">
        <v>4.8000000000000001E-2</v>
      </c>
      <c r="T1768" s="1">
        <v>4.4000000000000003E-3</v>
      </c>
      <c r="U1768" s="1">
        <v>-0.223</v>
      </c>
    </row>
    <row r="1769" spans="1:21" x14ac:dyDescent="0.25">
      <c r="A1769" t="s">
        <v>3699</v>
      </c>
      <c r="B1769" t="s">
        <v>3700</v>
      </c>
      <c r="C1769" t="s">
        <v>23</v>
      </c>
      <c r="D1769" t="s">
        <v>52</v>
      </c>
      <c r="E1769" t="s">
        <v>56</v>
      </c>
      <c r="F1769" t="str">
        <f t="shared" si="30"/>
        <v>2018-05-20</v>
      </c>
      <c r="G1769">
        <v>15.99</v>
      </c>
      <c r="H1769" t="str">
        <f>"2018-01-04"</f>
        <v>2018-01-04</v>
      </c>
      <c r="I1769" t="s">
        <v>57</v>
      </c>
      <c r="J1769" t="str">
        <f>"2016-05-24"</f>
        <v>2016-05-24</v>
      </c>
      <c r="K1769" t="s">
        <v>26</v>
      </c>
      <c r="L1769">
        <v>-2.8725490200000001</v>
      </c>
      <c r="M1769">
        <v>1768</v>
      </c>
      <c r="N1769" s="1">
        <v>1.6500000000000001E-2</v>
      </c>
      <c r="O1769" s="1">
        <v>-0.23530000000000001</v>
      </c>
      <c r="P1769" s="1">
        <v>0.23380000000000001</v>
      </c>
      <c r="Q1769" s="1">
        <v>0</v>
      </c>
      <c r="R1769" s="1">
        <v>5.6800000000000003E-2</v>
      </c>
      <c r="S1769" s="1">
        <v>0.152</v>
      </c>
      <c r="T1769" s="1">
        <v>4.3700000000000003E-2</v>
      </c>
      <c r="U1769" s="1">
        <v>-0.17319999999999999</v>
      </c>
    </row>
    <row r="1770" spans="1:21" x14ac:dyDescent="0.25">
      <c r="A1770" t="s">
        <v>3701</v>
      </c>
      <c r="B1770" t="s">
        <v>3702</v>
      </c>
      <c r="C1770" t="s">
        <v>43</v>
      </c>
      <c r="D1770" t="s">
        <v>169</v>
      </c>
      <c r="E1770" t="s">
        <v>641</v>
      </c>
      <c r="F1770" t="str">
        <f t="shared" si="30"/>
        <v>2018-05-20</v>
      </c>
      <c r="G1770">
        <v>10.87</v>
      </c>
      <c r="H1770" t="str">
        <f>"2017-11-16"</f>
        <v>2017-11-16</v>
      </c>
      <c r="I1770" t="s">
        <v>57</v>
      </c>
      <c r="J1770" t="str">
        <f>"2017-11-13"</f>
        <v>2017-11-13</v>
      </c>
      <c r="K1770" t="s">
        <v>40</v>
      </c>
      <c r="L1770">
        <v>-2.8728655000000001</v>
      </c>
      <c r="M1770">
        <v>1769</v>
      </c>
      <c r="N1770" s="1">
        <v>-1.8100000000000002E-2</v>
      </c>
      <c r="O1770" s="1">
        <v>-0.23719999999999999</v>
      </c>
      <c r="P1770" s="1">
        <v>0.3503</v>
      </c>
      <c r="Q1770" s="1">
        <v>2.8E-3</v>
      </c>
      <c r="R1770" s="1">
        <v>3.4299999999999997E-2</v>
      </c>
      <c r="S1770" s="1">
        <v>2.7400000000000001E-2</v>
      </c>
      <c r="T1770" s="1">
        <v>0.2296</v>
      </c>
      <c r="U1770" s="1">
        <v>-0.20480000000000001</v>
      </c>
    </row>
    <row r="1771" spans="1:21" x14ac:dyDescent="0.25">
      <c r="A1771" t="s">
        <v>3703</v>
      </c>
      <c r="B1771" t="s">
        <v>3704</v>
      </c>
      <c r="C1771" t="s">
        <v>114</v>
      </c>
      <c r="D1771" t="s">
        <v>809</v>
      </c>
      <c r="E1771" t="s">
        <v>1783</v>
      </c>
      <c r="F1771" t="str">
        <f t="shared" si="30"/>
        <v>2018-05-20</v>
      </c>
      <c r="G1771">
        <v>24.65</v>
      </c>
      <c r="H1771" t="str">
        <f>"2017-12-14"</f>
        <v>2017-12-14</v>
      </c>
      <c r="I1771" t="s">
        <v>57</v>
      </c>
      <c r="J1771" t="str">
        <f>"2017-08-14"</f>
        <v>2017-08-14</v>
      </c>
      <c r="K1771" t="s">
        <v>26</v>
      </c>
      <c r="L1771">
        <v>-2.8737839200000002</v>
      </c>
      <c r="M1771">
        <v>1770</v>
      </c>
      <c r="N1771" s="1">
        <v>-0.1036</v>
      </c>
      <c r="O1771" s="1">
        <v>-0.2427</v>
      </c>
      <c r="P1771" s="1">
        <v>0.1179</v>
      </c>
      <c r="Q1771" s="1">
        <v>-4.0000000000000001E-3</v>
      </c>
      <c r="R1771" s="1">
        <v>2.92E-2</v>
      </c>
      <c r="S1771" s="1">
        <v>0.1004</v>
      </c>
      <c r="T1771" s="1">
        <v>0</v>
      </c>
      <c r="U1771" s="1">
        <v>-9.7100000000000006E-2</v>
      </c>
    </row>
    <row r="1772" spans="1:21" x14ac:dyDescent="0.25">
      <c r="A1772" t="s">
        <v>3705</v>
      </c>
      <c r="B1772" t="s">
        <v>3706</v>
      </c>
      <c r="C1772" t="s">
        <v>87</v>
      </c>
      <c r="D1772" t="s">
        <v>144</v>
      </c>
      <c r="E1772" t="s">
        <v>145</v>
      </c>
      <c r="F1772" t="str">
        <f t="shared" si="30"/>
        <v>2018-05-20</v>
      </c>
      <c r="G1772">
        <v>10.5</v>
      </c>
      <c r="H1772" t="str">
        <f>"2018-04-17"</f>
        <v>2018-04-17</v>
      </c>
      <c r="I1772" t="s">
        <v>57</v>
      </c>
      <c r="J1772" t="str">
        <f>"2018-03-28"</f>
        <v>2018-03-28</v>
      </c>
      <c r="K1772" t="s">
        <v>40</v>
      </c>
      <c r="L1772">
        <v>-2.8741007199999999</v>
      </c>
      <c r="M1772">
        <v>1771</v>
      </c>
      <c r="N1772" s="1">
        <v>0.2281</v>
      </c>
      <c r="O1772" s="1">
        <v>-0.24460000000000001</v>
      </c>
      <c r="P1772" s="1">
        <v>0.4894</v>
      </c>
      <c r="Q1772" s="1">
        <v>2.9399999999999999E-2</v>
      </c>
      <c r="R1772" s="1">
        <v>5.5300000000000002E-2</v>
      </c>
      <c r="S1772" s="1">
        <v>9.9500000000000005E-2</v>
      </c>
      <c r="T1772" s="1">
        <v>-0.10639999999999999</v>
      </c>
      <c r="U1772" s="1">
        <v>0.1351</v>
      </c>
    </row>
    <row r="1773" spans="1:21" x14ac:dyDescent="0.25">
      <c r="A1773" t="s">
        <v>3707</v>
      </c>
      <c r="B1773" t="s">
        <v>3708</v>
      </c>
      <c r="C1773" t="s">
        <v>87</v>
      </c>
      <c r="D1773" t="s">
        <v>88</v>
      </c>
      <c r="E1773" t="s">
        <v>89</v>
      </c>
      <c r="F1773" t="str">
        <f t="shared" si="30"/>
        <v>2018-05-20</v>
      </c>
      <c r="G1773">
        <v>14.11</v>
      </c>
      <c r="H1773" t="str">
        <f>"2018-03-26"</f>
        <v>2018-03-26</v>
      </c>
      <c r="I1773" t="s">
        <v>57</v>
      </c>
      <c r="J1773" t="str">
        <f>"2017-12-13"</f>
        <v>2017-12-13</v>
      </c>
      <c r="K1773" t="s">
        <v>26</v>
      </c>
      <c r="L1773">
        <v>-2.8742424199999999</v>
      </c>
      <c r="M1773">
        <v>1772</v>
      </c>
      <c r="N1773" s="1">
        <v>6.3299999999999995E-2</v>
      </c>
      <c r="O1773" s="1">
        <v>-0.2455</v>
      </c>
      <c r="P1773" s="1">
        <v>0.13239999999999999</v>
      </c>
      <c r="Q1773" s="1">
        <v>1.5100000000000001E-2</v>
      </c>
      <c r="R1773" s="1">
        <v>6.4100000000000004E-2</v>
      </c>
      <c r="S1773" s="1">
        <v>-1.8800000000000001E-2</v>
      </c>
      <c r="T1773" s="1">
        <v>-5.62E-2</v>
      </c>
      <c r="U1773" s="1">
        <v>-0.1983</v>
      </c>
    </row>
    <row r="1774" spans="1:21" x14ac:dyDescent="0.25">
      <c r="A1774" t="s">
        <v>3709</v>
      </c>
      <c r="B1774" t="s">
        <v>3710</v>
      </c>
      <c r="C1774" t="s">
        <v>30</v>
      </c>
      <c r="D1774" t="s">
        <v>299</v>
      </c>
      <c r="E1774" t="s">
        <v>2120</v>
      </c>
      <c r="F1774" t="str">
        <f t="shared" si="30"/>
        <v>2018-05-20</v>
      </c>
      <c r="G1774">
        <v>11.26</v>
      </c>
      <c r="H1774" t="str">
        <f>"2017-09-06"</f>
        <v>2017-09-06</v>
      </c>
      <c r="I1774" t="s">
        <v>57</v>
      </c>
      <c r="J1774" t="str">
        <f>"2017-06-26"</f>
        <v>2017-06-26</v>
      </c>
      <c r="K1774" t="s">
        <v>26</v>
      </c>
      <c r="L1774">
        <v>-2.8748888899999998</v>
      </c>
      <c r="M1774">
        <v>1773</v>
      </c>
      <c r="N1774" s="1">
        <v>-0.1244</v>
      </c>
      <c r="O1774" s="1">
        <v>-0.24929999999999999</v>
      </c>
      <c r="P1774" s="1">
        <v>0.12039999999999999</v>
      </c>
      <c r="Q1774" s="1">
        <v>1.44E-2</v>
      </c>
      <c r="R1774" s="1">
        <v>2.93E-2</v>
      </c>
      <c r="S1774" s="1">
        <v>1.17E-2</v>
      </c>
      <c r="T1774" s="1">
        <v>-1.0500000000000001E-2</v>
      </c>
      <c r="U1774" s="1">
        <v>-0.21479999999999999</v>
      </c>
    </row>
    <row r="1775" spans="1:21" x14ac:dyDescent="0.25">
      <c r="A1775" t="s">
        <v>3711</v>
      </c>
      <c r="B1775" t="s">
        <v>3712</v>
      </c>
      <c r="C1775" t="s">
        <v>30</v>
      </c>
      <c r="D1775" t="s">
        <v>299</v>
      </c>
      <c r="E1775" t="s">
        <v>300</v>
      </c>
      <c r="F1775" t="str">
        <f t="shared" si="30"/>
        <v>2018-05-20</v>
      </c>
      <c r="G1775">
        <v>39.49</v>
      </c>
      <c r="H1775" t="str">
        <f>"2017-12-13"</f>
        <v>2017-12-13</v>
      </c>
      <c r="I1775" t="s">
        <v>57</v>
      </c>
      <c r="J1775" t="str">
        <f>"2017-12-06"</f>
        <v>2017-12-06</v>
      </c>
      <c r="K1775" t="s">
        <v>40</v>
      </c>
      <c r="L1775">
        <v>-2.8749920900000001</v>
      </c>
      <c r="M1775">
        <v>1774</v>
      </c>
      <c r="N1775" s="1">
        <v>-0.14080000000000001</v>
      </c>
      <c r="O1775" s="1">
        <v>-0.25</v>
      </c>
      <c r="P1775" s="1">
        <v>0.1331</v>
      </c>
      <c r="Q1775" s="1">
        <v>1.23E-2</v>
      </c>
      <c r="R1775" s="1">
        <v>1E-3</v>
      </c>
      <c r="S1775" s="1">
        <v>0.1318</v>
      </c>
      <c r="T1775" s="1">
        <v>2.52E-2</v>
      </c>
      <c r="U1775" s="1">
        <v>-0.18659999999999999</v>
      </c>
    </row>
    <row r="1776" spans="1:21" x14ac:dyDescent="0.25">
      <c r="A1776" t="s">
        <v>3713</v>
      </c>
      <c r="B1776" t="s">
        <v>3714</v>
      </c>
      <c r="C1776" t="s">
        <v>37</v>
      </c>
      <c r="D1776" t="s">
        <v>38</v>
      </c>
      <c r="E1776" t="s">
        <v>39</v>
      </c>
      <c r="F1776" t="str">
        <f t="shared" si="30"/>
        <v>2018-05-20</v>
      </c>
      <c r="G1776">
        <v>43.42</v>
      </c>
      <c r="H1776" t="str">
        <f>"2017-10-12"</f>
        <v>2017-10-12</v>
      </c>
      <c r="I1776" t="s">
        <v>57</v>
      </c>
      <c r="J1776" t="str">
        <f>"2016-08-14"</f>
        <v>2016-08-14</v>
      </c>
      <c r="K1776" t="s">
        <v>26</v>
      </c>
      <c r="L1776">
        <v>-2.87522989</v>
      </c>
      <c r="M1776">
        <v>1775</v>
      </c>
      <c r="N1776" s="1">
        <v>-8.9200000000000002E-2</v>
      </c>
      <c r="O1776" s="1">
        <v>-0.25140000000000001</v>
      </c>
      <c r="P1776" s="1">
        <v>0.12720000000000001</v>
      </c>
      <c r="Q1776" s="1">
        <v>5.1000000000000004E-3</v>
      </c>
      <c r="R1776" s="1">
        <v>4.4999999999999998E-2</v>
      </c>
      <c r="S1776" s="1">
        <v>0.02</v>
      </c>
      <c r="T1776" s="1">
        <v>9.5899999999999999E-2</v>
      </c>
      <c r="U1776" s="1">
        <v>-0.15029999999999999</v>
      </c>
    </row>
    <row r="1777" spans="1:21" x14ac:dyDescent="0.25">
      <c r="A1777" t="s">
        <v>3715</v>
      </c>
      <c r="B1777" t="s">
        <v>3716</v>
      </c>
      <c r="C1777" t="s">
        <v>43</v>
      </c>
      <c r="D1777" t="s">
        <v>169</v>
      </c>
      <c r="E1777" t="s">
        <v>904</v>
      </c>
      <c r="F1777" t="str">
        <f t="shared" si="30"/>
        <v>2018-05-20</v>
      </c>
      <c r="G1777">
        <v>4.79</v>
      </c>
      <c r="H1777" t="str">
        <f>"2018-01-17"</f>
        <v>2018-01-17</v>
      </c>
      <c r="I1777" t="s">
        <v>57</v>
      </c>
      <c r="J1777" t="str">
        <f>"2017-10-01"</f>
        <v>2017-10-01</v>
      </c>
      <c r="K1777" t="s">
        <v>27</v>
      </c>
      <c r="L1777">
        <v>-2.87526042</v>
      </c>
      <c r="M1777">
        <v>1776</v>
      </c>
      <c r="N1777" s="1">
        <v>-5.1499999999999997E-2</v>
      </c>
      <c r="O1777" s="1">
        <v>-0.25159999999999999</v>
      </c>
      <c r="P1777" s="1">
        <v>0.23769999999999999</v>
      </c>
      <c r="Q1777" s="1">
        <v>1.4800000000000001E-2</v>
      </c>
      <c r="R1777" s="1">
        <v>1.0500000000000001E-2</v>
      </c>
      <c r="S1777" s="1">
        <v>-1.44E-2</v>
      </c>
      <c r="T1777" s="1">
        <v>0.15140000000000001</v>
      </c>
      <c r="U1777" s="1">
        <v>-0.24210000000000001</v>
      </c>
    </row>
    <row r="1778" spans="1:21" x14ac:dyDescent="0.25">
      <c r="A1778" t="s">
        <v>3717</v>
      </c>
      <c r="B1778" t="s">
        <v>3718</v>
      </c>
      <c r="C1778" t="s">
        <v>23</v>
      </c>
      <c r="D1778" t="s">
        <v>52</v>
      </c>
      <c r="E1778" t="s">
        <v>2885</v>
      </c>
      <c r="F1778" t="str">
        <f t="shared" si="30"/>
        <v>2018-05-20</v>
      </c>
      <c r="G1778">
        <v>20.2</v>
      </c>
      <c r="H1778" t="str">
        <f>"2018-02-12"</f>
        <v>2018-02-12</v>
      </c>
      <c r="I1778" t="s">
        <v>57</v>
      </c>
      <c r="J1778" t="str">
        <f>"2018-02-08"</f>
        <v>2018-02-08</v>
      </c>
      <c r="K1778" t="s">
        <v>40</v>
      </c>
      <c r="L1778">
        <v>-2.8753086400000001</v>
      </c>
      <c r="M1778">
        <v>1777</v>
      </c>
      <c r="N1778" s="1">
        <v>-5.3900000000000003E-2</v>
      </c>
      <c r="O1778" s="1">
        <v>-0.25190000000000001</v>
      </c>
      <c r="P1778" s="1">
        <v>0.13170000000000001</v>
      </c>
      <c r="Q1778" s="1">
        <v>2.5000000000000001E-3</v>
      </c>
      <c r="R1778" s="1">
        <v>3.0599999999999999E-2</v>
      </c>
      <c r="S1778" s="1">
        <v>0.13170000000000001</v>
      </c>
      <c r="T1778" s="1">
        <v>-3.8100000000000002E-2</v>
      </c>
      <c r="U1778" s="1">
        <v>-0.13300000000000001</v>
      </c>
    </row>
    <row r="1779" spans="1:21" x14ac:dyDescent="0.25">
      <c r="A1779" t="s">
        <v>3719</v>
      </c>
      <c r="B1779" t="s">
        <v>3720</v>
      </c>
      <c r="C1779" t="s">
        <v>37</v>
      </c>
      <c r="D1779" t="s">
        <v>38</v>
      </c>
      <c r="E1779" t="s">
        <v>97</v>
      </c>
      <c r="F1779" t="str">
        <f t="shared" si="30"/>
        <v>2018-05-20</v>
      </c>
      <c r="G1779">
        <v>9.98</v>
      </c>
      <c r="H1779" t="str">
        <f>"2018-02-22"</f>
        <v>2018-02-22</v>
      </c>
      <c r="I1779" t="s">
        <v>57</v>
      </c>
      <c r="J1779" t="str">
        <f>"2017-12-28"</f>
        <v>2017-12-28</v>
      </c>
      <c r="K1779" t="s">
        <v>27</v>
      </c>
      <c r="L1779">
        <v>-2.8764239699999998</v>
      </c>
      <c r="M1779">
        <v>1778</v>
      </c>
      <c r="N1779" s="1">
        <v>-6.1100000000000002E-2</v>
      </c>
      <c r="O1779" s="1">
        <v>-0.25850000000000001</v>
      </c>
      <c r="P1779" s="1">
        <v>0.25059999999999999</v>
      </c>
      <c r="Q1779" s="1">
        <v>-2.92E-2</v>
      </c>
      <c r="R1779" s="1">
        <v>5.7200000000000001E-2</v>
      </c>
      <c r="S1779" s="1">
        <v>-3.6700000000000003E-2</v>
      </c>
      <c r="T1779" s="1">
        <v>-4.41E-2</v>
      </c>
      <c r="U1779" s="1">
        <v>-0.45369999999999999</v>
      </c>
    </row>
    <row r="1780" spans="1:21" x14ac:dyDescent="0.25">
      <c r="A1780" t="s">
        <v>3721</v>
      </c>
      <c r="B1780" t="s">
        <v>3722</v>
      </c>
      <c r="C1780" t="s">
        <v>114</v>
      </c>
      <c r="D1780" t="s">
        <v>254</v>
      </c>
      <c r="E1780" t="s">
        <v>255</v>
      </c>
      <c r="F1780" t="str">
        <f t="shared" si="30"/>
        <v>2018-05-20</v>
      </c>
      <c r="G1780">
        <v>5.25</v>
      </c>
      <c r="H1780" t="str">
        <f>"2018-02-27"</f>
        <v>2018-02-27</v>
      </c>
      <c r="I1780" t="s">
        <v>57</v>
      </c>
      <c r="J1780" t="str">
        <f>"2017-09-21"</f>
        <v>2017-09-21</v>
      </c>
      <c r="K1780" t="s">
        <v>26</v>
      </c>
      <c r="L1780">
        <v>-2.8774509799999999</v>
      </c>
      <c r="M1780">
        <v>1779</v>
      </c>
      <c r="N1780" s="1">
        <v>8.0199999999999994E-2</v>
      </c>
      <c r="O1780" s="1">
        <v>-0.26469999999999999</v>
      </c>
      <c r="P1780" s="1">
        <v>0.13639999999999999</v>
      </c>
      <c r="Q1780" s="1">
        <v>1.1599999999999999E-2</v>
      </c>
      <c r="R1780" s="1">
        <v>1.1599999999999999E-2</v>
      </c>
      <c r="S1780" s="1">
        <v>2.5399999999999999E-2</v>
      </c>
      <c r="T1780" s="1">
        <v>-5.2299999999999999E-2</v>
      </c>
      <c r="U1780" s="1">
        <v>-6.4199999999999993E-2</v>
      </c>
    </row>
    <row r="1781" spans="1:21" x14ac:dyDescent="0.25">
      <c r="A1781" t="s">
        <v>3723</v>
      </c>
      <c r="B1781" t="s">
        <v>3724</v>
      </c>
      <c r="C1781" t="s">
        <v>43</v>
      </c>
      <c r="D1781" t="s">
        <v>119</v>
      </c>
      <c r="E1781" t="s">
        <v>205</v>
      </c>
      <c r="F1781" t="str">
        <f t="shared" si="30"/>
        <v>2018-05-20</v>
      </c>
      <c r="G1781">
        <v>14.33</v>
      </c>
      <c r="H1781" t="str">
        <f>"2017-10-10"</f>
        <v>2017-10-10</v>
      </c>
      <c r="I1781" t="s">
        <v>57</v>
      </c>
      <c r="J1781" t="str">
        <f>"2017-07-09"</f>
        <v>2017-07-09</v>
      </c>
      <c r="K1781" t="s">
        <v>40</v>
      </c>
      <c r="L1781">
        <v>-2.8780840599999999</v>
      </c>
      <c r="M1781">
        <v>1780</v>
      </c>
      <c r="N1781" s="1">
        <v>-8.3199999999999996E-2</v>
      </c>
      <c r="O1781" s="1">
        <v>-0.26850000000000002</v>
      </c>
      <c r="P1781" s="1">
        <v>0.30270000000000002</v>
      </c>
      <c r="Q1781" s="1">
        <v>0</v>
      </c>
      <c r="R1781" s="1">
        <v>1.6299999999999999E-2</v>
      </c>
      <c r="S1781" s="1">
        <v>0.23849999999999999</v>
      </c>
      <c r="T1781" s="1">
        <v>-3.04E-2</v>
      </c>
      <c r="U1781" s="1">
        <v>-0.18809999999999999</v>
      </c>
    </row>
    <row r="1782" spans="1:21" x14ac:dyDescent="0.25">
      <c r="A1782" t="s">
        <v>3725</v>
      </c>
      <c r="B1782" t="s">
        <v>3726</v>
      </c>
      <c r="C1782" t="s">
        <v>30</v>
      </c>
      <c r="D1782" t="s">
        <v>299</v>
      </c>
      <c r="E1782" t="s">
        <v>300</v>
      </c>
      <c r="F1782" t="str">
        <f t="shared" si="30"/>
        <v>2018-05-20</v>
      </c>
      <c r="G1782">
        <v>13.63</v>
      </c>
      <c r="H1782" t="str">
        <f>"2018-01-03"</f>
        <v>2018-01-03</v>
      </c>
      <c r="I1782" t="s">
        <v>57</v>
      </c>
      <c r="J1782" t="str">
        <f>"2017-12-26"</f>
        <v>2017-12-26</v>
      </c>
      <c r="K1782" t="s">
        <v>27</v>
      </c>
      <c r="L1782">
        <v>-2.87839044</v>
      </c>
      <c r="M1782">
        <v>1781</v>
      </c>
      <c r="N1782" s="1">
        <v>-0.24940000000000001</v>
      </c>
      <c r="O1782" s="1">
        <v>-0.27029999999999998</v>
      </c>
      <c r="P1782" s="1">
        <v>0.14729999999999999</v>
      </c>
      <c r="Q1782" s="1">
        <v>1.9400000000000001E-2</v>
      </c>
      <c r="R1782" s="1">
        <v>7.4000000000000003E-3</v>
      </c>
      <c r="S1782" s="1">
        <v>0.10009999999999999</v>
      </c>
      <c r="T1782" s="1">
        <v>-8.09E-2</v>
      </c>
      <c r="U1782" s="1">
        <v>-0.38519999999999999</v>
      </c>
    </row>
    <row r="1783" spans="1:21" x14ac:dyDescent="0.25">
      <c r="A1783" t="s">
        <v>3727</v>
      </c>
      <c r="B1783" t="s">
        <v>3728</v>
      </c>
      <c r="C1783" t="s">
        <v>43</v>
      </c>
      <c r="D1783" t="s">
        <v>374</v>
      </c>
      <c r="E1783" t="s">
        <v>378</v>
      </c>
      <c r="F1783" t="str">
        <f t="shared" si="30"/>
        <v>2018-05-20</v>
      </c>
      <c r="G1783">
        <v>25.1</v>
      </c>
      <c r="H1783" t="str">
        <f>"2018-04-11"</f>
        <v>2018-04-11</v>
      </c>
      <c r="I1783" t="s">
        <v>57</v>
      </c>
      <c r="J1783" t="str">
        <f>"2017-06-08"</f>
        <v>2017-06-08</v>
      </c>
      <c r="K1783" t="s">
        <v>26</v>
      </c>
      <c r="L1783">
        <v>-2.87874396</v>
      </c>
      <c r="M1783">
        <v>1782</v>
      </c>
      <c r="N1783" s="1">
        <v>-5.28E-2</v>
      </c>
      <c r="O1783" s="1">
        <v>-0.27250000000000002</v>
      </c>
      <c r="P1783" s="1">
        <v>0.11559999999999999</v>
      </c>
      <c r="Q1783" s="1">
        <v>1.83E-2</v>
      </c>
      <c r="R1783" s="1">
        <v>0.11559999999999999</v>
      </c>
      <c r="S1783" s="1">
        <v>4.0000000000000001E-3</v>
      </c>
      <c r="T1783" s="1">
        <v>-9.8699999999999996E-2</v>
      </c>
      <c r="U1783" s="1">
        <v>3.2899999999999999E-2</v>
      </c>
    </row>
    <row r="1784" spans="1:21" x14ac:dyDescent="0.25">
      <c r="A1784" t="s">
        <v>3729</v>
      </c>
      <c r="B1784" t="s">
        <v>3730</v>
      </c>
      <c r="C1784" t="s">
        <v>114</v>
      </c>
      <c r="D1784" t="s">
        <v>646</v>
      </c>
      <c r="E1784" t="s">
        <v>647</v>
      </c>
      <c r="F1784" t="str">
        <f t="shared" si="30"/>
        <v>2018-05-20</v>
      </c>
      <c r="G1784">
        <v>21.67</v>
      </c>
      <c r="H1784" t="str">
        <f>"2017-12-28"</f>
        <v>2017-12-28</v>
      </c>
      <c r="I1784" t="s">
        <v>57</v>
      </c>
      <c r="J1784" t="str">
        <f>"2017-10-04"</f>
        <v>2017-10-04</v>
      </c>
      <c r="K1784" t="s">
        <v>26</v>
      </c>
      <c r="L1784">
        <v>-2.87876245</v>
      </c>
      <c r="M1784">
        <v>1783</v>
      </c>
      <c r="N1784" s="1">
        <v>-0.1472</v>
      </c>
      <c r="O1784" s="1">
        <v>-0.27260000000000001</v>
      </c>
      <c r="P1784" s="1">
        <v>0.14779999999999999</v>
      </c>
      <c r="Q1784" s="1">
        <v>2.8E-3</v>
      </c>
      <c r="R1784" s="1">
        <v>8.8000000000000005E-3</v>
      </c>
      <c r="S1784" s="1">
        <v>8.4599999999999995E-2</v>
      </c>
      <c r="T1784" s="1">
        <v>1.26E-2</v>
      </c>
      <c r="U1784" s="1">
        <v>-0.27139999999999997</v>
      </c>
    </row>
    <row r="1785" spans="1:21" x14ac:dyDescent="0.25">
      <c r="A1785" t="s">
        <v>3731</v>
      </c>
      <c r="B1785" t="s">
        <v>3732</v>
      </c>
      <c r="C1785" t="s">
        <v>37</v>
      </c>
      <c r="D1785" t="s">
        <v>38</v>
      </c>
      <c r="E1785" t="s">
        <v>97</v>
      </c>
      <c r="F1785" t="str">
        <f t="shared" si="30"/>
        <v>2018-05-20</v>
      </c>
      <c r="G1785">
        <v>34.15</v>
      </c>
      <c r="H1785" t="str">
        <f>"2018-02-11"</f>
        <v>2018-02-11</v>
      </c>
      <c r="I1785" t="s">
        <v>57</v>
      </c>
      <c r="J1785" t="str">
        <f>"2017-11-21"</f>
        <v>2017-11-21</v>
      </c>
      <c r="K1785" t="s">
        <v>26</v>
      </c>
      <c r="L1785">
        <v>-2.8787717399999999</v>
      </c>
      <c r="M1785">
        <v>1784</v>
      </c>
      <c r="N1785" s="1">
        <v>-8.6900000000000005E-2</v>
      </c>
      <c r="O1785" s="1">
        <v>-0.27260000000000001</v>
      </c>
      <c r="P1785" s="1">
        <v>0.24179999999999999</v>
      </c>
      <c r="Q1785" s="1">
        <v>-2.1499999999999998E-2</v>
      </c>
      <c r="R1785" s="1">
        <v>-1.8700000000000001E-2</v>
      </c>
      <c r="S1785" s="1">
        <v>-3.5299999999999998E-2</v>
      </c>
      <c r="T1785" s="1">
        <v>7.3899999999999993E-2</v>
      </c>
      <c r="U1785" s="1">
        <v>-0.27339999999999998</v>
      </c>
    </row>
    <row r="1786" spans="1:21" x14ac:dyDescent="0.25">
      <c r="A1786" t="s">
        <v>3733</v>
      </c>
      <c r="B1786" t="s">
        <v>3734</v>
      </c>
      <c r="C1786" t="s">
        <v>23</v>
      </c>
      <c r="D1786" t="s">
        <v>52</v>
      </c>
      <c r="E1786" t="s">
        <v>56</v>
      </c>
      <c r="F1786" t="str">
        <f t="shared" si="30"/>
        <v>2018-05-20</v>
      </c>
      <c r="G1786">
        <v>10.55</v>
      </c>
      <c r="H1786" t="str">
        <f>"2017-12-10"</f>
        <v>2017-12-10</v>
      </c>
      <c r="I1786" t="s">
        <v>57</v>
      </c>
      <c r="J1786" t="str">
        <f>"2017-07-20"</f>
        <v>2017-07-20</v>
      </c>
      <c r="K1786" t="s">
        <v>26</v>
      </c>
      <c r="L1786">
        <v>-2.87915235</v>
      </c>
      <c r="M1786">
        <v>1785</v>
      </c>
      <c r="N1786" s="1">
        <v>-0.1172</v>
      </c>
      <c r="O1786" s="1">
        <v>-0.27489999999999998</v>
      </c>
      <c r="P1786" s="1">
        <v>0.35260000000000002</v>
      </c>
      <c r="Q1786" s="1">
        <v>4.7999999999999996E-3</v>
      </c>
      <c r="R1786" s="1">
        <v>-4.7000000000000002E-3</v>
      </c>
      <c r="S1786" s="1">
        <v>2.93E-2</v>
      </c>
      <c r="T1786" s="1">
        <v>0.27489999999999998</v>
      </c>
      <c r="U1786" s="1">
        <v>-0.28720000000000001</v>
      </c>
    </row>
    <row r="1787" spans="1:21" x14ac:dyDescent="0.25">
      <c r="A1787" t="s">
        <v>3735</v>
      </c>
      <c r="B1787" t="s">
        <v>3736</v>
      </c>
      <c r="C1787" t="s">
        <v>43</v>
      </c>
      <c r="D1787" t="s">
        <v>119</v>
      </c>
      <c r="E1787" t="s">
        <v>205</v>
      </c>
      <c r="F1787" t="str">
        <f t="shared" si="30"/>
        <v>2018-05-20</v>
      </c>
      <c r="G1787">
        <v>63.75</v>
      </c>
      <c r="H1787" t="str">
        <f>"2018-04-26"</f>
        <v>2018-04-26</v>
      </c>
      <c r="I1787" t="s">
        <v>57</v>
      </c>
      <c r="J1787" t="str">
        <f>"2017-09-18"</f>
        <v>2017-09-18</v>
      </c>
      <c r="K1787" t="s">
        <v>26</v>
      </c>
      <c r="L1787">
        <v>-2.8792613600000001</v>
      </c>
      <c r="M1787">
        <v>1786</v>
      </c>
      <c r="N1787" s="1">
        <v>6.0699999999999997E-2</v>
      </c>
      <c r="O1787" s="1">
        <v>-0.27560000000000001</v>
      </c>
      <c r="P1787" s="1">
        <v>0.12330000000000001</v>
      </c>
      <c r="Q1787" s="1">
        <v>1.9199999999999998E-2</v>
      </c>
      <c r="R1787" s="1">
        <v>8.0000000000000004E-4</v>
      </c>
      <c r="S1787" s="1">
        <v>-0.18429999999999999</v>
      </c>
      <c r="T1787" s="1">
        <v>-0.19350000000000001</v>
      </c>
      <c r="U1787" s="1">
        <v>-0.1726</v>
      </c>
    </row>
    <row r="1788" spans="1:21" x14ac:dyDescent="0.25">
      <c r="A1788" t="s">
        <v>3737</v>
      </c>
      <c r="B1788" t="s">
        <v>3738</v>
      </c>
      <c r="C1788" t="s">
        <v>23</v>
      </c>
      <c r="D1788" t="s">
        <v>24</v>
      </c>
      <c r="E1788" t="s">
        <v>25</v>
      </c>
      <c r="F1788" t="str">
        <f t="shared" si="30"/>
        <v>2018-05-20</v>
      </c>
      <c r="G1788">
        <v>22.25</v>
      </c>
      <c r="H1788" t="str">
        <f>"2018-04-16"</f>
        <v>2018-04-16</v>
      </c>
      <c r="I1788" t="s">
        <v>57</v>
      </c>
      <c r="J1788" t="str">
        <f>"2017-12-11"</f>
        <v>2017-12-11</v>
      </c>
      <c r="K1788" t="s">
        <v>26</v>
      </c>
      <c r="L1788">
        <v>-2.8799892100000002</v>
      </c>
      <c r="M1788">
        <v>1787</v>
      </c>
      <c r="N1788" s="1">
        <v>0.1153</v>
      </c>
      <c r="O1788" s="1">
        <v>-0.27989999999999998</v>
      </c>
      <c r="P1788" s="1">
        <v>0.34439999999999998</v>
      </c>
      <c r="Q1788" s="1">
        <v>-1.11E-2</v>
      </c>
      <c r="R1788" s="1">
        <v>-1.11E-2</v>
      </c>
      <c r="S1788" s="1">
        <v>0.1125</v>
      </c>
      <c r="T1788" s="1">
        <v>-0.1046</v>
      </c>
      <c r="U1788" s="1">
        <v>-5.9200000000000003E-2</v>
      </c>
    </row>
    <row r="1789" spans="1:21" x14ac:dyDescent="0.25">
      <c r="A1789" t="s">
        <v>3739</v>
      </c>
      <c r="B1789" t="s">
        <v>3740</v>
      </c>
      <c r="C1789" t="s">
        <v>43</v>
      </c>
      <c r="D1789" t="s">
        <v>150</v>
      </c>
      <c r="E1789" t="s">
        <v>151</v>
      </c>
      <c r="F1789" t="str">
        <f t="shared" si="30"/>
        <v>2018-05-20</v>
      </c>
      <c r="G1789">
        <v>51.69</v>
      </c>
      <c r="H1789" t="str">
        <f>"2017-08-29"</f>
        <v>2017-08-29</v>
      </c>
      <c r="I1789" t="s">
        <v>57</v>
      </c>
      <c r="J1789" t="str">
        <f>"2016-04-14"</f>
        <v>2016-04-14</v>
      </c>
      <c r="K1789" t="s">
        <v>26</v>
      </c>
      <c r="L1789">
        <v>-2.8800139300000001</v>
      </c>
      <c r="M1789">
        <v>1788</v>
      </c>
      <c r="N1789" s="1">
        <v>7.5800000000000006E-2</v>
      </c>
      <c r="O1789" s="1">
        <v>-0.28010000000000002</v>
      </c>
      <c r="P1789" s="1">
        <v>0.2641</v>
      </c>
      <c r="Q1789" s="1">
        <v>1.61E-2</v>
      </c>
      <c r="R1789" s="1">
        <v>5.3800000000000001E-2</v>
      </c>
      <c r="S1789" s="1">
        <v>0.15509999999999999</v>
      </c>
      <c r="T1789" s="1">
        <v>2.46E-2</v>
      </c>
      <c r="U1789" s="1">
        <v>-0.1812</v>
      </c>
    </row>
    <row r="1790" spans="1:21" x14ac:dyDescent="0.25">
      <c r="A1790" t="s">
        <v>3741</v>
      </c>
      <c r="B1790" t="s">
        <v>3742</v>
      </c>
      <c r="C1790" t="s">
        <v>30</v>
      </c>
      <c r="D1790" t="s">
        <v>482</v>
      </c>
      <c r="E1790" t="s">
        <v>482</v>
      </c>
      <c r="F1790" t="str">
        <f t="shared" si="30"/>
        <v>2018-05-20</v>
      </c>
      <c r="G1790">
        <v>20.07</v>
      </c>
      <c r="H1790" t="str">
        <f>"2018-04-17"</f>
        <v>2018-04-17</v>
      </c>
      <c r="I1790" t="s">
        <v>57</v>
      </c>
      <c r="J1790" t="str">
        <f>"2018-01-18"</f>
        <v>2018-01-18</v>
      </c>
      <c r="K1790" t="s">
        <v>40</v>
      </c>
      <c r="L1790">
        <v>-2.8801075300000001</v>
      </c>
      <c r="M1790">
        <v>1789</v>
      </c>
      <c r="N1790" s="1">
        <v>0.2792</v>
      </c>
      <c r="O1790" s="1">
        <v>-0.28060000000000002</v>
      </c>
      <c r="P1790" s="1">
        <v>0.4703</v>
      </c>
      <c r="Q1790" s="1">
        <v>1.5699999999999999E-2</v>
      </c>
      <c r="R1790" s="1">
        <v>8.2500000000000004E-2</v>
      </c>
      <c r="S1790" s="1">
        <v>0.29899999999999999</v>
      </c>
      <c r="T1790" s="1">
        <v>0.21709999999999999</v>
      </c>
      <c r="U1790" s="1">
        <v>0.13070000000000001</v>
      </c>
    </row>
    <row r="1791" spans="1:21" x14ac:dyDescent="0.25">
      <c r="A1791" t="s">
        <v>3743</v>
      </c>
      <c r="B1791" t="s">
        <v>3744</v>
      </c>
      <c r="C1791" t="s">
        <v>100</v>
      </c>
      <c r="D1791" t="s">
        <v>1034</v>
      </c>
      <c r="E1791" t="s">
        <v>3745</v>
      </c>
      <c r="F1791" t="str">
        <f t="shared" si="30"/>
        <v>2018-05-20</v>
      </c>
      <c r="G1791">
        <v>3.98</v>
      </c>
      <c r="H1791" t="str">
        <f>"2017-08-02"</f>
        <v>2017-08-02</v>
      </c>
      <c r="I1791" t="s">
        <v>57</v>
      </c>
      <c r="J1791" t="str">
        <f>"2017-08-01"</f>
        <v>2017-08-01</v>
      </c>
      <c r="K1791" t="s">
        <v>27</v>
      </c>
      <c r="L1791">
        <v>-2.8802647399999999</v>
      </c>
      <c r="M1791">
        <v>1790</v>
      </c>
      <c r="N1791" s="1">
        <v>-0.26700000000000002</v>
      </c>
      <c r="O1791" s="1">
        <v>-0.28160000000000002</v>
      </c>
      <c r="P1791" s="1">
        <v>0.21709999999999999</v>
      </c>
      <c r="Q1791" s="1">
        <v>5.1000000000000004E-3</v>
      </c>
      <c r="R1791" s="1">
        <v>1.5299999999999999E-2</v>
      </c>
      <c r="S1791" s="1">
        <v>5.2900000000000003E-2</v>
      </c>
      <c r="T1791" s="1">
        <v>3.3799999999999997E-2</v>
      </c>
      <c r="U1791" s="1">
        <v>-0.34210000000000002</v>
      </c>
    </row>
    <row r="1792" spans="1:21" x14ac:dyDescent="0.25">
      <c r="A1792" t="s">
        <v>3746</v>
      </c>
      <c r="B1792" t="s">
        <v>3747</v>
      </c>
      <c r="C1792" t="s">
        <v>37</v>
      </c>
      <c r="D1792" t="s">
        <v>38</v>
      </c>
      <c r="E1792" t="s">
        <v>39</v>
      </c>
      <c r="F1792" t="str">
        <f t="shared" si="30"/>
        <v>2018-05-20</v>
      </c>
      <c r="G1792">
        <v>5.65</v>
      </c>
      <c r="H1792" t="str">
        <f>"2018-04-08"</f>
        <v>2018-04-08</v>
      </c>
      <c r="I1792" t="s">
        <v>57</v>
      </c>
      <c r="J1792" t="str">
        <f>"2018-01-23"</f>
        <v>2018-01-23</v>
      </c>
      <c r="K1792" t="s">
        <v>26</v>
      </c>
      <c r="L1792">
        <v>-2.8808016900000002</v>
      </c>
      <c r="M1792">
        <v>1791</v>
      </c>
      <c r="N1792" s="1">
        <v>0.1414</v>
      </c>
      <c r="O1792" s="1">
        <v>-0.2848</v>
      </c>
      <c r="P1792" s="1">
        <v>0.21510000000000001</v>
      </c>
      <c r="Q1792" s="1">
        <v>-2.5899999999999999E-2</v>
      </c>
      <c r="R1792" s="1">
        <v>3.6700000000000003E-2</v>
      </c>
      <c r="S1792" s="1">
        <v>0.21510000000000001</v>
      </c>
      <c r="T1792" s="1">
        <v>-2.5899999999999999E-2</v>
      </c>
      <c r="U1792" s="1">
        <v>-5.8299999999999998E-2</v>
      </c>
    </row>
    <row r="1793" spans="1:21" x14ac:dyDescent="0.25">
      <c r="A1793" t="s">
        <v>3748</v>
      </c>
      <c r="B1793" t="s">
        <v>3749</v>
      </c>
      <c r="C1793" t="s">
        <v>37</v>
      </c>
      <c r="D1793" t="s">
        <v>38</v>
      </c>
      <c r="E1793" t="s">
        <v>39</v>
      </c>
      <c r="F1793" t="str">
        <f t="shared" si="30"/>
        <v>2018-05-20</v>
      </c>
      <c r="G1793">
        <v>7.48</v>
      </c>
      <c r="H1793" t="str">
        <f>"2018-03-13"</f>
        <v>2018-03-13</v>
      </c>
      <c r="I1793" t="s">
        <v>57</v>
      </c>
      <c r="J1793" t="str">
        <f>"2017-12-24"</f>
        <v>2017-12-24</v>
      </c>
      <c r="K1793" t="s">
        <v>27</v>
      </c>
      <c r="L1793">
        <v>-2.8812698399999999</v>
      </c>
      <c r="M1793">
        <v>1792</v>
      </c>
      <c r="N1793" s="1">
        <v>6.5500000000000003E-2</v>
      </c>
      <c r="O1793" s="1">
        <v>-0.28760000000000002</v>
      </c>
      <c r="P1793" s="1">
        <v>0.39029999999999998</v>
      </c>
      <c r="Q1793" s="1">
        <v>1.2999999999999999E-3</v>
      </c>
      <c r="R1793" s="1">
        <v>-2.98E-2</v>
      </c>
      <c r="S1793" s="1">
        <v>0.1164</v>
      </c>
      <c r="T1793" s="1">
        <v>0.33100000000000002</v>
      </c>
      <c r="U1793" s="1">
        <v>-0.34670000000000001</v>
      </c>
    </row>
    <row r="1794" spans="1:21" x14ac:dyDescent="0.25">
      <c r="A1794" t="s">
        <v>3750</v>
      </c>
      <c r="B1794" t="s">
        <v>3751</v>
      </c>
      <c r="C1794" t="s">
        <v>37</v>
      </c>
      <c r="D1794" t="s">
        <v>66</v>
      </c>
      <c r="E1794" t="s">
        <v>72</v>
      </c>
      <c r="F1794" t="str">
        <f t="shared" si="30"/>
        <v>2018-05-20</v>
      </c>
      <c r="G1794">
        <v>13.75</v>
      </c>
      <c r="H1794" t="str">
        <f>"2018-01-09"</f>
        <v>2018-01-09</v>
      </c>
      <c r="I1794" t="s">
        <v>57</v>
      </c>
      <c r="J1794" t="str">
        <f>"2017-10-31"</f>
        <v>2017-10-31</v>
      </c>
      <c r="K1794" t="s">
        <v>40</v>
      </c>
      <c r="L1794">
        <v>-2.88132229</v>
      </c>
      <c r="M1794">
        <v>1793</v>
      </c>
      <c r="N1794" s="1">
        <v>0.2321</v>
      </c>
      <c r="O1794" s="1">
        <v>-0.28789999999999999</v>
      </c>
      <c r="P1794" s="1">
        <v>0.26150000000000001</v>
      </c>
      <c r="Q1794" s="1">
        <v>1.78E-2</v>
      </c>
      <c r="R1794" s="1">
        <v>3.3799999999999997E-2</v>
      </c>
      <c r="S1794" s="1">
        <v>0.11700000000000001</v>
      </c>
      <c r="T1794" s="1">
        <v>0.14580000000000001</v>
      </c>
      <c r="U1794" s="1">
        <v>-1.3599999999999999E-2</v>
      </c>
    </row>
    <row r="1795" spans="1:21" x14ac:dyDescent="0.25">
      <c r="A1795" t="s">
        <v>3752</v>
      </c>
      <c r="B1795" t="s">
        <v>3753</v>
      </c>
      <c r="C1795" t="s">
        <v>43</v>
      </c>
      <c r="D1795" t="s">
        <v>119</v>
      </c>
      <c r="E1795" t="s">
        <v>205</v>
      </c>
      <c r="F1795" t="str">
        <f t="shared" si="30"/>
        <v>2018-05-20</v>
      </c>
      <c r="G1795">
        <v>30.024999999999999</v>
      </c>
      <c r="H1795" t="str">
        <f>"2018-01-10"</f>
        <v>2018-01-10</v>
      </c>
      <c r="I1795" t="s">
        <v>57</v>
      </c>
      <c r="J1795" t="str">
        <f>"2017-12-11"</f>
        <v>2017-12-11</v>
      </c>
      <c r="K1795" t="s">
        <v>40</v>
      </c>
      <c r="L1795">
        <v>-2.8821162199999999</v>
      </c>
      <c r="M1795">
        <v>1794</v>
      </c>
      <c r="N1795" s="1">
        <v>-0.1037</v>
      </c>
      <c r="O1795" s="1">
        <v>-0.29270000000000002</v>
      </c>
      <c r="P1795" s="1">
        <v>0.17510000000000001</v>
      </c>
      <c r="Q1795" s="1">
        <v>1.09E-2</v>
      </c>
      <c r="R1795" s="1">
        <v>-1.0699999999999999E-2</v>
      </c>
      <c r="S1795" s="1">
        <v>8.3900000000000002E-2</v>
      </c>
      <c r="T1795" s="1">
        <v>8.2000000000000003E-2</v>
      </c>
      <c r="U1795" s="1">
        <v>-0.18410000000000001</v>
      </c>
    </row>
    <row r="1796" spans="1:21" x14ac:dyDescent="0.25">
      <c r="A1796" t="s">
        <v>3754</v>
      </c>
      <c r="B1796" t="s">
        <v>3755</v>
      </c>
      <c r="C1796" t="s">
        <v>43</v>
      </c>
      <c r="D1796" t="s">
        <v>119</v>
      </c>
      <c r="E1796" t="s">
        <v>120</v>
      </c>
      <c r="F1796" t="str">
        <f t="shared" si="30"/>
        <v>2018-05-20</v>
      </c>
      <c r="G1796">
        <v>67.61</v>
      </c>
      <c r="H1796" t="str">
        <f>"2018-02-04"</f>
        <v>2018-02-04</v>
      </c>
      <c r="I1796" t="s">
        <v>57</v>
      </c>
      <c r="J1796" t="str">
        <f>"2016-08-30"</f>
        <v>2016-08-30</v>
      </c>
      <c r="K1796" t="s">
        <v>26</v>
      </c>
      <c r="L1796">
        <v>-2.8823273500000002</v>
      </c>
      <c r="M1796">
        <v>1795</v>
      </c>
      <c r="N1796" s="1">
        <v>0.23830000000000001</v>
      </c>
      <c r="O1796" s="1">
        <v>-0.29399999999999998</v>
      </c>
      <c r="P1796" s="1">
        <v>0.23830000000000001</v>
      </c>
      <c r="Q1796" s="1">
        <v>-5.9999999999999995E-4</v>
      </c>
      <c r="R1796" s="1">
        <v>-1.23E-2</v>
      </c>
      <c r="S1796" s="1">
        <v>-8.8999999999999999E-3</v>
      </c>
      <c r="T1796" s="1">
        <v>4.9500000000000002E-2</v>
      </c>
      <c r="U1796" s="1">
        <v>-0.1285</v>
      </c>
    </row>
    <row r="1797" spans="1:21" x14ac:dyDescent="0.25">
      <c r="A1797" t="s">
        <v>3756</v>
      </c>
      <c r="B1797" t="s">
        <v>3757</v>
      </c>
      <c r="C1797" t="s">
        <v>114</v>
      </c>
      <c r="D1797" t="s">
        <v>809</v>
      </c>
      <c r="E1797" t="s">
        <v>1529</v>
      </c>
      <c r="F1797" t="str">
        <f t="shared" si="30"/>
        <v>2018-05-20</v>
      </c>
      <c r="G1797">
        <v>19.190000000000001</v>
      </c>
      <c r="H1797" t="str">
        <f>"2018-04-08"</f>
        <v>2018-04-08</v>
      </c>
      <c r="I1797" t="s">
        <v>57</v>
      </c>
      <c r="J1797" t="str">
        <f>"2016-02-25"</f>
        <v>2016-02-25</v>
      </c>
      <c r="K1797" t="s">
        <v>26</v>
      </c>
      <c r="L1797">
        <v>-2.8823709700000002</v>
      </c>
      <c r="M1797">
        <v>1796</v>
      </c>
      <c r="N1797" s="1">
        <v>-5.7500000000000002E-2</v>
      </c>
      <c r="O1797" s="1">
        <v>-0.29420000000000002</v>
      </c>
      <c r="P1797" s="1">
        <v>0.1041</v>
      </c>
      <c r="Q1797" s="1">
        <v>9.4999999999999998E-3</v>
      </c>
      <c r="R1797" s="1">
        <v>3.8399999999999997E-2</v>
      </c>
      <c r="S1797" s="1">
        <v>-5.7500000000000002E-2</v>
      </c>
      <c r="T1797" s="1">
        <v>-0.1479</v>
      </c>
      <c r="U1797" s="1">
        <v>-0.191</v>
      </c>
    </row>
    <row r="1798" spans="1:21" x14ac:dyDescent="0.25">
      <c r="A1798" t="s">
        <v>3758</v>
      </c>
      <c r="B1798" t="s">
        <v>3759</v>
      </c>
      <c r="C1798" t="s">
        <v>87</v>
      </c>
      <c r="D1798" t="s">
        <v>664</v>
      </c>
      <c r="E1798" t="s">
        <v>665</v>
      </c>
      <c r="F1798" t="str">
        <f t="shared" si="30"/>
        <v>2018-05-20</v>
      </c>
      <c r="G1798">
        <v>2.2200000000000002</v>
      </c>
      <c r="H1798" t="str">
        <f>"2018-04-04"</f>
        <v>2018-04-04</v>
      </c>
      <c r="I1798" t="s">
        <v>57</v>
      </c>
      <c r="J1798" t="str">
        <f>"2018-01-29"</f>
        <v>2018-01-29</v>
      </c>
      <c r="K1798" t="s">
        <v>40</v>
      </c>
      <c r="L1798">
        <v>-2.8825396799999998</v>
      </c>
      <c r="M1798">
        <v>1797</v>
      </c>
      <c r="N1798" s="1">
        <v>0.21310000000000001</v>
      </c>
      <c r="O1798" s="1">
        <v>-0.29520000000000002</v>
      </c>
      <c r="P1798" s="1">
        <v>0.30590000000000001</v>
      </c>
      <c r="Q1798" s="1">
        <v>4.7199999999999999E-2</v>
      </c>
      <c r="R1798" s="1">
        <v>1.37E-2</v>
      </c>
      <c r="S1798" s="1">
        <v>0.16839999999999999</v>
      </c>
      <c r="T1798" s="1">
        <v>0.13270000000000001</v>
      </c>
      <c r="U1798" s="1">
        <v>0.14430000000000001</v>
      </c>
    </row>
    <row r="1799" spans="1:21" x14ac:dyDescent="0.25">
      <c r="A1799" t="s">
        <v>3760</v>
      </c>
      <c r="B1799" t="s">
        <v>3761</v>
      </c>
      <c r="C1799" t="s">
        <v>37</v>
      </c>
      <c r="D1799" t="s">
        <v>66</v>
      </c>
      <c r="E1799" t="s">
        <v>67</v>
      </c>
      <c r="F1799" t="str">
        <f t="shared" si="30"/>
        <v>2018-05-20</v>
      </c>
      <c r="G1799">
        <v>6</v>
      </c>
      <c r="H1799" t="str">
        <f>"2018-02-01"</f>
        <v>2018-02-01</v>
      </c>
      <c r="I1799" t="s">
        <v>57</v>
      </c>
      <c r="J1799" t="str">
        <f>"2017-09-28"</f>
        <v>2017-09-28</v>
      </c>
      <c r="K1799" t="s">
        <v>26</v>
      </c>
      <c r="L1799">
        <v>-2.88317757</v>
      </c>
      <c r="M1799">
        <v>1798</v>
      </c>
      <c r="N1799" s="1">
        <v>9.69E-2</v>
      </c>
      <c r="O1799" s="1">
        <v>-0.29909999999999998</v>
      </c>
      <c r="P1799" s="1">
        <v>0.1673</v>
      </c>
      <c r="Q1799" s="1">
        <v>5.0000000000000001E-3</v>
      </c>
      <c r="R1799" s="1">
        <v>0.105</v>
      </c>
      <c r="S1799" s="1">
        <v>9.2899999999999996E-2</v>
      </c>
      <c r="T1799" s="1">
        <v>-6.6E-3</v>
      </c>
      <c r="U1799" s="1">
        <v>-9.5000000000000001E-2</v>
      </c>
    </row>
    <row r="1800" spans="1:21" x14ac:dyDescent="0.25">
      <c r="A1800" t="s">
        <v>3762</v>
      </c>
      <c r="B1800" t="s">
        <v>3763</v>
      </c>
      <c r="C1800" t="s">
        <v>114</v>
      </c>
      <c r="D1800" t="s">
        <v>115</v>
      </c>
      <c r="E1800" t="s">
        <v>116</v>
      </c>
      <c r="F1800" t="str">
        <f t="shared" si="30"/>
        <v>2018-05-20</v>
      </c>
      <c r="G1800">
        <v>27.3</v>
      </c>
      <c r="H1800" t="str">
        <f>"2018-02-15"</f>
        <v>2018-02-15</v>
      </c>
      <c r="I1800" t="s">
        <v>57</v>
      </c>
      <c r="J1800" t="str">
        <f>"2017-11-27"</f>
        <v>2017-11-27</v>
      </c>
      <c r="K1800" t="s">
        <v>27</v>
      </c>
      <c r="L1800">
        <v>-2.8833333300000001</v>
      </c>
      <c r="M1800">
        <v>1799</v>
      </c>
      <c r="N1800" s="1">
        <v>-0.1651</v>
      </c>
      <c r="O1800" s="1">
        <v>-0.3</v>
      </c>
      <c r="P1800" s="1">
        <v>0.23250000000000001</v>
      </c>
      <c r="Q1800" s="1">
        <v>1.8700000000000001E-2</v>
      </c>
      <c r="R1800" s="1">
        <v>2.8199999999999999E-2</v>
      </c>
      <c r="S1800" s="1">
        <v>0.2026</v>
      </c>
      <c r="T1800" s="1">
        <v>-0.1469</v>
      </c>
      <c r="U1800" s="1">
        <v>-0.32340000000000002</v>
      </c>
    </row>
    <row r="1801" spans="1:21" x14ac:dyDescent="0.25">
      <c r="A1801" t="s">
        <v>3764</v>
      </c>
      <c r="B1801" t="s">
        <v>3765</v>
      </c>
      <c r="C1801" t="s">
        <v>43</v>
      </c>
      <c r="D1801" t="s">
        <v>150</v>
      </c>
      <c r="E1801" t="s">
        <v>151</v>
      </c>
      <c r="F1801" t="str">
        <f t="shared" si="30"/>
        <v>2018-05-20</v>
      </c>
      <c r="G1801">
        <v>22.65</v>
      </c>
      <c r="H1801" t="str">
        <f>"2018-04-05"</f>
        <v>2018-04-05</v>
      </c>
      <c r="I1801" t="s">
        <v>57</v>
      </c>
      <c r="J1801" t="str">
        <f>"2016-06-05"</f>
        <v>2016-06-05</v>
      </c>
      <c r="K1801" t="s">
        <v>26</v>
      </c>
      <c r="L1801">
        <v>-2.8834876500000002</v>
      </c>
      <c r="M1801">
        <v>1800</v>
      </c>
      <c r="N1801" s="1">
        <v>-1.7399999999999999E-2</v>
      </c>
      <c r="O1801" s="1">
        <v>-0.3009</v>
      </c>
      <c r="P1801" s="1">
        <v>0.1241</v>
      </c>
      <c r="Q1801" s="1">
        <v>0</v>
      </c>
      <c r="R1801" s="1">
        <v>1.12E-2</v>
      </c>
      <c r="S1801" s="1">
        <v>3.9E-2</v>
      </c>
      <c r="T1801" s="1">
        <v>-9.7600000000000006E-2</v>
      </c>
      <c r="U1801" s="1">
        <v>-0.1779</v>
      </c>
    </row>
    <row r="1802" spans="1:21" x14ac:dyDescent="0.25">
      <c r="A1802" t="s">
        <v>3766</v>
      </c>
      <c r="B1802" t="s">
        <v>3767</v>
      </c>
      <c r="C1802" t="s">
        <v>87</v>
      </c>
      <c r="D1802" t="s">
        <v>88</v>
      </c>
      <c r="E1802" t="s">
        <v>89</v>
      </c>
      <c r="F1802" t="str">
        <f t="shared" si="30"/>
        <v>2018-05-20</v>
      </c>
      <c r="G1802">
        <v>15.1</v>
      </c>
      <c r="H1802" t="str">
        <f>"2018-03-18"</f>
        <v>2018-03-18</v>
      </c>
      <c r="I1802" t="s">
        <v>57</v>
      </c>
      <c r="J1802" t="str">
        <f>"2018-01-02"</f>
        <v>2018-01-02</v>
      </c>
      <c r="K1802" t="s">
        <v>26</v>
      </c>
      <c r="L1802">
        <v>-2.8838104000000002</v>
      </c>
      <c r="M1802">
        <v>1801</v>
      </c>
      <c r="N1802" s="1">
        <v>4.1399999999999999E-2</v>
      </c>
      <c r="O1802" s="1">
        <v>-0.3029</v>
      </c>
      <c r="P1802" s="1">
        <v>0.13189999999999999</v>
      </c>
      <c r="Q1802" s="1">
        <v>0.01</v>
      </c>
      <c r="R1802" s="1">
        <v>5.0799999999999998E-2</v>
      </c>
      <c r="S1802" s="1">
        <v>1.6799999999999999E-2</v>
      </c>
      <c r="T1802" s="1">
        <v>-3.6999999999999998E-2</v>
      </c>
      <c r="U1802" s="1">
        <v>-0.25650000000000001</v>
      </c>
    </row>
    <row r="1803" spans="1:21" x14ac:dyDescent="0.25">
      <c r="A1803" t="s">
        <v>3768</v>
      </c>
      <c r="B1803" t="s">
        <v>3769</v>
      </c>
      <c r="C1803" t="s">
        <v>43</v>
      </c>
      <c r="D1803" t="s">
        <v>119</v>
      </c>
      <c r="E1803" t="s">
        <v>120</v>
      </c>
      <c r="F1803" t="str">
        <f t="shared" si="30"/>
        <v>2018-05-20</v>
      </c>
      <c r="G1803">
        <v>5.51</v>
      </c>
      <c r="H1803" t="str">
        <f>"2018-04-17"</f>
        <v>2018-04-17</v>
      </c>
      <c r="I1803" t="s">
        <v>57</v>
      </c>
      <c r="J1803" t="str">
        <f>"2018-02-07"</f>
        <v>2018-02-07</v>
      </c>
      <c r="K1803" t="s">
        <v>40</v>
      </c>
      <c r="L1803">
        <v>-2.8839022299999999</v>
      </c>
      <c r="M1803">
        <v>1802</v>
      </c>
      <c r="N1803" s="1">
        <v>1.0999999999999999E-2</v>
      </c>
      <c r="O1803" s="1">
        <v>-0.3034</v>
      </c>
      <c r="P1803" s="1">
        <v>0.30570000000000003</v>
      </c>
      <c r="Q1803" s="1">
        <v>-1.78E-2</v>
      </c>
      <c r="R1803" s="1">
        <v>0.10639999999999999</v>
      </c>
      <c r="S1803" s="1">
        <v>9.3299999999999994E-2</v>
      </c>
      <c r="T1803" s="1">
        <v>-6.13E-2</v>
      </c>
      <c r="U1803" s="1">
        <v>-6.7699999999999996E-2</v>
      </c>
    </row>
    <row r="1804" spans="1:21" x14ac:dyDescent="0.25">
      <c r="A1804" t="s">
        <v>3770</v>
      </c>
      <c r="B1804" t="s">
        <v>3771</v>
      </c>
      <c r="C1804" t="s">
        <v>37</v>
      </c>
      <c r="D1804" t="s">
        <v>38</v>
      </c>
      <c r="E1804" t="s">
        <v>39</v>
      </c>
      <c r="F1804" t="str">
        <f t="shared" si="30"/>
        <v>2018-05-20</v>
      </c>
      <c r="G1804">
        <v>40.950000000000003</v>
      </c>
      <c r="H1804" t="str">
        <f>"2017-11-28"</f>
        <v>2017-11-28</v>
      </c>
      <c r="I1804" t="s">
        <v>57</v>
      </c>
      <c r="J1804" t="str">
        <f>"2017-10-29"</f>
        <v>2017-10-29</v>
      </c>
      <c r="K1804" t="s">
        <v>26</v>
      </c>
      <c r="L1804">
        <v>-2.8843220299999999</v>
      </c>
      <c r="M1804">
        <v>1803</v>
      </c>
      <c r="N1804" s="1">
        <v>0.14069999999999999</v>
      </c>
      <c r="O1804" s="1">
        <v>-0.30590000000000001</v>
      </c>
      <c r="P1804" s="1">
        <v>0.2918</v>
      </c>
      <c r="Q1804" s="1">
        <v>1.3599999999999999E-2</v>
      </c>
      <c r="R1804" s="1">
        <v>-1.6799999999999999E-2</v>
      </c>
      <c r="S1804" s="1">
        <v>7.1999999999999995E-2</v>
      </c>
      <c r="T1804" s="1">
        <v>0.17499999999999999</v>
      </c>
      <c r="U1804" s="1">
        <v>-0.27139999999999997</v>
      </c>
    </row>
    <row r="1805" spans="1:21" x14ac:dyDescent="0.25">
      <c r="A1805" t="s">
        <v>3772</v>
      </c>
      <c r="B1805" t="s">
        <v>3773</v>
      </c>
      <c r="C1805" t="s">
        <v>23</v>
      </c>
      <c r="D1805" t="s">
        <v>52</v>
      </c>
      <c r="E1805" t="s">
        <v>56</v>
      </c>
      <c r="F1805" t="str">
        <f t="shared" ref="F1805:F1868" si="31">"2018-05-20"</f>
        <v>2018-05-20</v>
      </c>
      <c r="G1805">
        <v>53.4</v>
      </c>
      <c r="H1805" t="str">
        <f>"2017-09-19"</f>
        <v>2017-09-19</v>
      </c>
      <c r="I1805" t="s">
        <v>57</v>
      </c>
      <c r="J1805" t="str">
        <f>"2017-05-17"</f>
        <v>2017-05-17</v>
      </c>
      <c r="K1805" t="s">
        <v>40</v>
      </c>
      <c r="L1805">
        <v>-2.8843404800000001</v>
      </c>
      <c r="M1805">
        <v>1804</v>
      </c>
      <c r="N1805" s="1">
        <v>-0.104</v>
      </c>
      <c r="O1805" s="1">
        <v>-0.30599999999999999</v>
      </c>
      <c r="P1805" s="1">
        <v>0.1067</v>
      </c>
      <c r="Q1805" s="1">
        <v>1.3299999999999999E-2</v>
      </c>
      <c r="R1805" s="1">
        <v>3.9899999999999998E-2</v>
      </c>
      <c r="S1805" s="1">
        <v>3.9899999999999998E-2</v>
      </c>
      <c r="T1805" s="1">
        <v>1.9E-3</v>
      </c>
      <c r="U1805" s="1">
        <v>-0.16950000000000001</v>
      </c>
    </row>
    <row r="1806" spans="1:21" x14ac:dyDescent="0.25">
      <c r="A1806" t="s">
        <v>3774</v>
      </c>
      <c r="B1806" t="s">
        <v>3775</v>
      </c>
      <c r="C1806" t="s">
        <v>30</v>
      </c>
      <c r="D1806" t="s">
        <v>299</v>
      </c>
      <c r="E1806" t="s">
        <v>2172</v>
      </c>
      <c r="F1806" t="str">
        <f t="shared" si="31"/>
        <v>2018-05-20</v>
      </c>
      <c r="G1806">
        <v>10.77</v>
      </c>
      <c r="H1806" t="str">
        <f>"2017-11-07"</f>
        <v>2017-11-07</v>
      </c>
      <c r="I1806" t="s">
        <v>57</v>
      </c>
      <c r="J1806" t="str">
        <f>"2016-09-11"</f>
        <v>2016-09-11</v>
      </c>
      <c r="K1806" t="s">
        <v>26</v>
      </c>
      <c r="L1806">
        <v>-2.8846400999999999</v>
      </c>
      <c r="M1806">
        <v>1805</v>
      </c>
      <c r="N1806" s="1">
        <v>1.2200000000000001E-2</v>
      </c>
      <c r="O1806" s="1">
        <v>-0.30780000000000002</v>
      </c>
      <c r="P1806" s="1">
        <v>0.123</v>
      </c>
      <c r="Q1806" s="1">
        <v>-8.9999999999999998E-4</v>
      </c>
      <c r="R1806" s="1">
        <v>0</v>
      </c>
      <c r="S1806" s="1">
        <v>0.1195</v>
      </c>
      <c r="T1806" s="1">
        <v>8.9999999999999998E-4</v>
      </c>
      <c r="U1806" s="1">
        <v>-0.26279999999999998</v>
      </c>
    </row>
    <row r="1807" spans="1:21" x14ac:dyDescent="0.25">
      <c r="A1807" t="s">
        <v>3776</v>
      </c>
      <c r="B1807" t="s">
        <v>3777</v>
      </c>
      <c r="C1807" t="s">
        <v>109</v>
      </c>
      <c r="D1807" t="s">
        <v>110</v>
      </c>
      <c r="E1807" t="s">
        <v>251</v>
      </c>
      <c r="F1807" t="str">
        <f t="shared" si="31"/>
        <v>2018-05-20</v>
      </c>
      <c r="G1807">
        <v>4.32</v>
      </c>
      <c r="H1807" t="str">
        <f>"2018-05-06"</f>
        <v>2018-05-06</v>
      </c>
      <c r="I1807" t="s">
        <v>57</v>
      </c>
      <c r="J1807" t="str">
        <f>"2017-11-19"</f>
        <v>2017-11-19</v>
      </c>
      <c r="K1807" t="s">
        <v>26</v>
      </c>
      <c r="L1807">
        <v>-2.8851674599999999</v>
      </c>
      <c r="M1807">
        <v>1806</v>
      </c>
      <c r="N1807" s="1">
        <v>6.93E-2</v>
      </c>
      <c r="O1807" s="1">
        <v>-0.311</v>
      </c>
      <c r="P1807" s="1">
        <v>0.15509999999999999</v>
      </c>
      <c r="Q1807" s="1">
        <v>1.89E-2</v>
      </c>
      <c r="R1807" s="1">
        <v>4.1000000000000002E-2</v>
      </c>
      <c r="S1807" s="1">
        <v>4.3499999999999997E-2</v>
      </c>
      <c r="T1807" s="1">
        <v>-1.14E-2</v>
      </c>
      <c r="U1807" s="1">
        <v>-8.6699999999999999E-2</v>
      </c>
    </row>
    <row r="1808" spans="1:21" x14ac:dyDescent="0.25">
      <c r="A1808" t="s">
        <v>3778</v>
      </c>
      <c r="B1808" t="s">
        <v>3779</v>
      </c>
      <c r="C1808" t="s">
        <v>37</v>
      </c>
      <c r="D1808" t="s">
        <v>38</v>
      </c>
      <c r="E1808" t="s">
        <v>39</v>
      </c>
      <c r="F1808" t="str">
        <f t="shared" si="31"/>
        <v>2018-05-20</v>
      </c>
      <c r="G1808">
        <v>6.44</v>
      </c>
      <c r="H1808" t="str">
        <f>"2017-12-18"</f>
        <v>2017-12-18</v>
      </c>
      <c r="I1808" t="s">
        <v>57</v>
      </c>
      <c r="J1808" t="str">
        <f>"2017-08-31"</f>
        <v>2017-08-31</v>
      </c>
      <c r="K1808" t="s">
        <v>26</v>
      </c>
      <c r="L1808">
        <v>-2.8854500199999999</v>
      </c>
      <c r="M1808">
        <v>1807</v>
      </c>
      <c r="N1808" s="1">
        <v>-1.5299999999999999E-2</v>
      </c>
      <c r="O1808" s="1">
        <v>-0.31269999999999998</v>
      </c>
      <c r="P1808" s="1">
        <v>0.1948</v>
      </c>
      <c r="Q1808" s="1">
        <v>-1.6000000000000001E-3</v>
      </c>
      <c r="R1808" s="1">
        <v>-1.38E-2</v>
      </c>
      <c r="S1808" s="1">
        <v>2.7099999999999999E-2</v>
      </c>
      <c r="T1808" s="1">
        <v>8.0500000000000002E-2</v>
      </c>
      <c r="U1808" s="1">
        <v>-0.22220000000000001</v>
      </c>
    </row>
    <row r="1809" spans="1:21" x14ac:dyDescent="0.25">
      <c r="A1809" t="s">
        <v>3780</v>
      </c>
      <c r="B1809" t="s">
        <v>3781</v>
      </c>
      <c r="C1809" t="s">
        <v>109</v>
      </c>
      <c r="D1809" t="s">
        <v>110</v>
      </c>
      <c r="E1809" t="s">
        <v>111</v>
      </c>
      <c r="F1809" t="str">
        <f t="shared" si="31"/>
        <v>2018-05-20</v>
      </c>
      <c r="G1809">
        <v>28.3</v>
      </c>
      <c r="H1809" t="str">
        <f>"2018-04-03"</f>
        <v>2018-04-03</v>
      </c>
      <c r="I1809" t="s">
        <v>57</v>
      </c>
      <c r="J1809" t="str">
        <f>"2017-06-06"</f>
        <v>2017-06-06</v>
      </c>
      <c r="K1809" t="s">
        <v>26</v>
      </c>
      <c r="L1809">
        <v>-2.8855178000000001</v>
      </c>
      <c r="M1809">
        <v>1808</v>
      </c>
      <c r="N1809" s="1">
        <v>0.2225</v>
      </c>
      <c r="O1809" s="1">
        <v>-0.31309999999999999</v>
      </c>
      <c r="P1809" s="1">
        <v>0.2225</v>
      </c>
      <c r="Q1809" s="1">
        <v>1.2500000000000001E-2</v>
      </c>
      <c r="R1809" s="1">
        <v>-2.92E-2</v>
      </c>
      <c r="S1809" s="1">
        <v>8.2199999999999995E-2</v>
      </c>
      <c r="T1809" s="1">
        <v>6.59E-2</v>
      </c>
      <c r="U1809" s="1">
        <v>-6.7500000000000004E-2</v>
      </c>
    </row>
    <row r="1810" spans="1:21" x14ac:dyDescent="0.25">
      <c r="A1810" t="s">
        <v>3782</v>
      </c>
      <c r="B1810" t="s">
        <v>3783</v>
      </c>
      <c r="C1810" t="s">
        <v>87</v>
      </c>
      <c r="D1810" t="s">
        <v>88</v>
      </c>
      <c r="E1810" t="s">
        <v>89</v>
      </c>
      <c r="F1810" t="str">
        <f t="shared" si="31"/>
        <v>2018-05-20</v>
      </c>
      <c r="G1810">
        <v>4.0999999999999996</v>
      </c>
      <c r="H1810" t="str">
        <f>"2018-03-27"</f>
        <v>2018-03-27</v>
      </c>
      <c r="I1810" t="s">
        <v>57</v>
      </c>
      <c r="J1810" t="str">
        <f>"2017-12-03"</f>
        <v>2017-12-03</v>
      </c>
      <c r="K1810" t="s">
        <v>27</v>
      </c>
      <c r="L1810">
        <v>-2.8859209799999999</v>
      </c>
      <c r="M1810">
        <v>1809</v>
      </c>
      <c r="N1810" s="1">
        <v>0.33550000000000002</v>
      </c>
      <c r="O1810" s="1">
        <v>-0.3155</v>
      </c>
      <c r="P1810" s="1">
        <v>0.44879999999999998</v>
      </c>
      <c r="Q1810" s="1">
        <v>3.5400000000000001E-2</v>
      </c>
      <c r="R1810" s="1">
        <v>5.3999999999999999E-2</v>
      </c>
      <c r="S1810" s="1">
        <v>0.29749999999999999</v>
      </c>
      <c r="T1810" s="1">
        <v>5.9400000000000001E-2</v>
      </c>
      <c r="U1810" s="1">
        <v>-0.40749999999999997</v>
      </c>
    </row>
    <row r="1811" spans="1:21" x14ac:dyDescent="0.25">
      <c r="A1811" t="s">
        <v>3784</v>
      </c>
      <c r="B1811" t="s">
        <v>3785</v>
      </c>
      <c r="C1811" t="s">
        <v>114</v>
      </c>
      <c r="D1811" t="s">
        <v>809</v>
      </c>
      <c r="E1811" t="s">
        <v>1529</v>
      </c>
      <c r="F1811" t="str">
        <f t="shared" si="31"/>
        <v>2018-05-20</v>
      </c>
      <c r="G1811">
        <v>6.84</v>
      </c>
      <c r="H1811" t="str">
        <f>"2017-12-18"</f>
        <v>2017-12-18</v>
      </c>
      <c r="I1811" t="s">
        <v>57</v>
      </c>
      <c r="J1811" t="str">
        <f>"2017-09-27"</f>
        <v>2017-09-27</v>
      </c>
      <c r="K1811" t="s">
        <v>27</v>
      </c>
      <c r="L1811">
        <v>-2.8871287099999998</v>
      </c>
      <c r="M1811">
        <v>1810</v>
      </c>
      <c r="N1811" s="1">
        <v>2.24E-2</v>
      </c>
      <c r="O1811" s="1">
        <v>-0.32279999999999998</v>
      </c>
      <c r="P1811" s="1">
        <v>0.42499999999999999</v>
      </c>
      <c r="Q1811" s="1">
        <v>-3.7999999999999999E-2</v>
      </c>
      <c r="R1811" s="1">
        <v>3.7900000000000003E-2</v>
      </c>
      <c r="S1811" s="1">
        <v>0.2258</v>
      </c>
      <c r="T1811" s="1">
        <v>0.1158</v>
      </c>
      <c r="U1811" s="1">
        <v>-0.22800000000000001</v>
      </c>
    </row>
    <row r="1812" spans="1:21" x14ac:dyDescent="0.25">
      <c r="A1812" t="s">
        <v>3786</v>
      </c>
      <c r="B1812" t="s">
        <v>3787</v>
      </c>
      <c r="C1812" t="s">
        <v>23</v>
      </c>
      <c r="D1812" t="s">
        <v>173</v>
      </c>
      <c r="E1812" t="s">
        <v>212</v>
      </c>
      <c r="F1812" t="str">
        <f t="shared" si="31"/>
        <v>2018-05-20</v>
      </c>
      <c r="G1812">
        <v>2.75</v>
      </c>
      <c r="H1812" t="str">
        <f>"2018-03-25"</f>
        <v>2018-03-25</v>
      </c>
      <c r="I1812" t="s">
        <v>57</v>
      </c>
      <c r="J1812" t="str">
        <f>"2018-01-10"</f>
        <v>2018-01-10</v>
      </c>
      <c r="K1812" t="s">
        <v>26</v>
      </c>
      <c r="L1812">
        <v>-2.8871584100000001</v>
      </c>
      <c r="M1812">
        <v>1811</v>
      </c>
      <c r="N1812" s="1">
        <v>0.13539999999999999</v>
      </c>
      <c r="O1812" s="1">
        <v>-0.32300000000000001</v>
      </c>
      <c r="P1812" s="1">
        <v>0.41920000000000002</v>
      </c>
      <c r="Q1812" s="1">
        <v>-1.7899999999999999E-2</v>
      </c>
      <c r="R1812" s="1">
        <v>0.13400000000000001</v>
      </c>
      <c r="S1812" s="1">
        <v>5.7700000000000001E-2</v>
      </c>
      <c r="T1812" s="1">
        <v>0.23</v>
      </c>
      <c r="U1812" s="1">
        <v>-0.30380000000000001</v>
      </c>
    </row>
    <row r="1813" spans="1:21" x14ac:dyDescent="0.25">
      <c r="A1813" t="s">
        <v>3788</v>
      </c>
      <c r="B1813" t="s">
        <v>3789</v>
      </c>
      <c r="C1813" t="s">
        <v>114</v>
      </c>
      <c r="D1813" t="s">
        <v>809</v>
      </c>
      <c r="E1813" t="s">
        <v>1783</v>
      </c>
      <c r="F1813" t="str">
        <f t="shared" si="31"/>
        <v>2018-05-20</v>
      </c>
      <c r="G1813">
        <v>38.619999999999997</v>
      </c>
      <c r="H1813" t="str">
        <f>"2017-10-04"</f>
        <v>2017-10-04</v>
      </c>
      <c r="I1813" t="s">
        <v>57</v>
      </c>
      <c r="J1813" t="str">
        <f>"2017-06-01"</f>
        <v>2017-06-01</v>
      </c>
      <c r="K1813" t="s">
        <v>26</v>
      </c>
      <c r="L1813">
        <v>-2.88729353</v>
      </c>
      <c r="M1813">
        <v>1812</v>
      </c>
      <c r="N1813" s="1">
        <v>-0.2424</v>
      </c>
      <c r="O1813" s="1">
        <v>-0.32379999999999998</v>
      </c>
      <c r="P1813" s="1">
        <v>0.10249999999999999</v>
      </c>
      <c r="Q1813" s="1">
        <v>-8.5000000000000006E-3</v>
      </c>
      <c r="R1813" s="1">
        <v>2.9600000000000001E-2</v>
      </c>
      <c r="S1813" s="1">
        <v>2.5999999999999999E-3</v>
      </c>
      <c r="T1813" s="1">
        <v>-2.2800000000000001E-2</v>
      </c>
      <c r="U1813" s="1">
        <v>-0.21959999999999999</v>
      </c>
    </row>
    <row r="1814" spans="1:21" x14ac:dyDescent="0.25">
      <c r="A1814" t="s">
        <v>3790</v>
      </c>
      <c r="B1814" t="s">
        <v>3791</v>
      </c>
      <c r="C1814" t="s">
        <v>23</v>
      </c>
      <c r="D1814" t="s">
        <v>411</v>
      </c>
      <c r="E1814" t="s">
        <v>412</v>
      </c>
      <c r="F1814" t="str">
        <f t="shared" si="31"/>
        <v>2018-05-20</v>
      </c>
      <c r="G1814">
        <v>18.5</v>
      </c>
      <c r="H1814" t="str">
        <f>"2018-03-15"</f>
        <v>2018-03-15</v>
      </c>
      <c r="I1814" t="s">
        <v>57</v>
      </c>
      <c r="J1814" t="str">
        <f>"2017-12-24"</f>
        <v>2017-12-24</v>
      </c>
      <c r="K1814" t="s">
        <v>27</v>
      </c>
      <c r="L1814">
        <v>-2.8873462399999998</v>
      </c>
      <c r="M1814">
        <v>1813</v>
      </c>
      <c r="N1814" s="1">
        <v>2.7199999999999998E-2</v>
      </c>
      <c r="O1814" s="1">
        <v>-0.3241</v>
      </c>
      <c r="P1814" s="1">
        <v>0.1178</v>
      </c>
      <c r="Q1814" s="1">
        <v>1.7600000000000001E-2</v>
      </c>
      <c r="R1814" s="1">
        <v>4.7600000000000003E-2</v>
      </c>
      <c r="S1814" s="1">
        <v>3.0099999999999998E-2</v>
      </c>
      <c r="T1814" s="1">
        <v>8.3099999999999993E-2</v>
      </c>
      <c r="U1814" s="1">
        <v>-0.4955</v>
      </c>
    </row>
    <row r="1815" spans="1:21" x14ac:dyDescent="0.25">
      <c r="A1815" t="s">
        <v>3792</v>
      </c>
      <c r="B1815" t="s">
        <v>3793</v>
      </c>
      <c r="C1815" t="s">
        <v>87</v>
      </c>
      <c r="D1815" t="s">
        <v>144</v>
      </c>
      <c r="E1815" t="s">
        <v>145</v>
      </c>
      <c r="F1815" t="str">
        <f t="shared" si="31"/>
        <v>2018-05-20</v>
      </c>
      <c r="G1815">
        <v>12.2</v>
      </c>
      <c r="H1815" t="str">
        <f>"2017-12-13"</f>
        <v>2017-12-13</v>
      </c>
      <c r="I1815" t="s">
        <v>57</v>
      </c>
      <c r="J1815" t="str">
        <f>"2017-12-12"</f>
        <v>2017-12-12</v>
      </c>
      <c r="K1815" t="s">
        <v>40</v>
      </c>
      <c r="L1815">
        <v>-2.8878470300000001</v>
      </c>
      <c r="M1815">
        <v>1814</v>
      </c>
      <c r="N1815" s="1">
        <v>-0.1036</v>
      </c>
      <c r="O1815" s="1">
        <v>-0.3271</v>
      </c>
      <c r="P1815" s="1">
        <v>0.28289999999999998</v>
      </c>
      <c r="Q1815" s="1">
        <v>-4.3099999999999999E-2</v>
      </c>
      <c r="R1815" s="1">
        <v>9.0300000000000005E-2</v>
      </c>
      <c r="S1815" s="1">
        <v>0.1663</v>
      </c>
      <c r="T1815" s="1">
        <v>0.1011</v>
      </c>
      <c r="U1815" s="1">
        <v>-0.20050000000000001</v>
      </c>
    </row>
    <row r="1816" spans="1:21" x14ac:dyDescent="0.25">
      <c r="A1816" t="s">
        <v>3794</v>
      </c>
      <c r="B1816" t="s">
        <v>3795</v>
      </c>
      <c r="C1816" t="s">
        <v>109</v>
      </c>
      <c r="D1816" t="s">
        <v>156</v>
      </c>
      <c r="E1816" t="s">
        <v>157</v>
      </c>
      <c r="F1816" t="str">
        <f t="shared" si="31"/>
        <v>2018-05-20</v>
      </c>
      <c r="G1816">
        <v>33.9</v>
      </c>
      <c r="H1816" t="str">
        <f>"2017-08-15"</f>
        <v>2017-08-15</v>
      </c>
      <c r="I1816" t="s">
        <v>57</v>
      </c>
      <c r="J1816" t="str">
        <f>"2017-02-13"</f>
        <v>2017-02-13</v>
      </c>
      <c r="K1816" t="s">
        <v>26</v>
      </c>
      <c r="L1816">
        <v>-2.88888889</v>
      </c>
      <c r="M1816">
        <v>1815</v>
      </c>
      <c r="N1816" s="1">
        <v>4.4000000000000003E-3</v>
      </c>
      <c r="O1816" s="1">
        <v>-0.33329999999999999</v>
      </c>
      <c r="P1816" s="1">
        <v>0.3165</v>
      </c>
      <c r="Q1816" s="1">
        <v>-2.1600000000000001E-2</v>
      </c>
      <c r="R1816" s="1">
        <v>2.3599999999999999E-2</v>
      </c>
      <c r="S1816" s="1">
        <v>0.16619999999999999</v>
      </c>
      <c r="T1816" s="1">
        <v>0.17100000000000001</v>
      </c>
      <c r="U1816" s="1">
        <v>-0.28860000000000002</v>
      </c>
    </row>
    <row r="1817" spans="1:21" x14ac:dyDescent="0.25">
      <c r="A1817" t="s">
        <v>3796</v>
      </c>
      <c r="B1817" t="s">
        <v>3797</v>
      </c>
      <c r="C1817" t="s">
        <v>30</v>
      </c>
      <c r="D1817" t="s">
        <v>299</v>
      </c>
      <c r="E1817" t="s">
        <v>2289</v>
      </c>
      <c r="F1817" t="str">
        <f t="shared" si="31"/>
        <v>2018-05-20</v>
      </c>
      <c r="G1817">
        <v>4.0999999999999996</v>
      </c>
      <c r="H1817" t="str">
        <f>"2018-03-15"</f>
        <v>2018-03-15</v>
      </c>
      <c r="I1817" t="s">
        <v>57</v>
      </c>
      <c r="J1817" t="str">
        <f>"2017-10-08"</f>
        <v>2017-10-08</v>
      </c>
      <c r="K1817" t="s">
        <v>26</v>
      </c>
      <c r="L1817">
        <v>-2.8890692599999999</v>
      </c>
      <c r="M1817">
        <v>1816</v>
      </c>
      <c r="N1817" s="1">
        <v>0.1172</v>
      </c>
      <c r="O1817" s="1">
        <v>-0.33439999999999998</v>
      </c>
      <c r="P1817" s="1">
        <v>0.14849999999999999</v>
      </c>
      <c r="Q1817" s="1">
        <v>4.8999999999999998E-3</v>
      </c>
      <c r="R1817" s="1">
        <v>6.2199999999999998E-2</v>
      </c>
      <c r="S1817" s="1">
        <v>0.13569999999999999</v>
      </c>
      <c r="T1817" s="1">
        <v>-1.2E-2</v>
      </c>
      <c r="U1817" s="1">
        <v>-0.18329999999999999</v>
      </c>
    </row>
    <row r="1818" spans="1:21" x14ac:dyDescent="0.25">
      <c r="A1818" t="s">
        <v>3798</v>
      </c>
      <c r="B1818" t="s">
        <v>3799</v>
      </c>
      <c r="C1818" t="s">
        <v>30</v>
      </c>
      <c r="D1818" t="s">
        <v>3800</v>
      </c>
      <c r="E1818" t="s">
        <v>3801</v>
      </c>
      <c r="F1818" t="str">
        <f t="shared" si="31"/>
        <v>2018-05-20</v>
      </c>
      <c r="G1818">
        <v>9.58</v>
      </c>
      <c r="H1818" t="str">
        <f>"2018-04-30"</f>
        <v>2018-04-30</v>
      </c>
      <c r="I1818" t="s">
        <v>57</v>
      </c>
      <c r="J1818" t="str">
        <f>"2018-04-11"</f>
        <v>2018-04-11</v>
      </c>
      <c r="K1818" t="s">
        <v>40</v>
      </c>
      <c r="L1818">
        <v>-2.8896567599999998</v>
      </c>
      <c r="M1818">
        <v>1817</v>
      </c>
      <c r="N1818" s="1">
        <v>0.157</v>
      </c>
      <c r="O1818" s="1">
        <v>-0.33789999999999998</v>
      </c>
      <c r="P1818" s="1">
        <v>0.157</v>
      </c>
      <c r="Q1818" s="1">
        <v>1.4800000000000001E-2</v>
      </c>
      <c r="R1818" s="1">
        <v>2.6800000000000001E-2</v>
      </c>
      <c r="S1818" s="1">
        <v>0.1011</v>
      </c>
      <c r="T1818" s="1">
        <v>-0.1138</v>
      </c>
      <c r="U1818" s="1">
        <v>-2.1499999999999998E-2</v>
      </c>
    </row>
    <row r="1819" spans="1:21" x14ac:dyDescent="0.25">
      <c r="A1819" t="s">
        <v>3802</v>
      </c>
      <c r="B1819" t="s">
        <v>3803</v>
      </c>
      <c r="C1819" t="s">
        <v>109</v>
      </c>
      <c r="D1819" t="s">
        <v>156</v>
      </c>
      <c r="E1819" t="s">
        <v>277</v>
      </c>
      <c r="F1819" t="str">
        <f t="shared" si="31"/>
        <v>2018-05-20</v>
      </c>
      <c r="G1819">
        <v>33.799999999999997</v>
      </c>
      <c r="H1819" t="str">
        <f>"2018-04-08"</f>
        <v>2018-04-08</v>
      </c>
      <c r="I1819" t="s">
        <v>57</v>
      </c>
      <c r="J1819" t="str">
        <f>"2018-02-14"</f>
        <v>2018-02-14</v>
      </c>
      <c r="K1819" t="s">
        <v>40</v>
      </c>
      <c r="L1819">
        <v>-2.8897586400000002</v>
      </c>
      <c r="M1819">
        <v>1818</v>
      </c>
      <c r="N1819" s="1">
        <v>-3.9800000000000002E-2</v>
      </c>
      <c r="O1819" s="1">
        <v>-0.33860000000000001</v>
      </c>
      <c r="P1819" s="1">
        <v>0.12479999999999999</v>
      </c>
      <c r="Q1819" s="1">
        <v>1.5E-3</v>
      </c>
      <c r="R1819" s="1">
        <v>6.9599999999999995E-2</v>
      </c>
      <c r="S1819" s="1">
        <v>-2.3099999999999999E-2</v>
      </c>
      <c r="T1819" s="1">
        <v>-9.7500000000000003E-2</v>
      </c>
      <c r="U1819" s="1">
        <v>-0.21029999999999999</v>
      </c>
    </row>
    <row r="1820" spans="1:21" x14ac:dyDescent="0.25">
      <c r="A1820" t="s">
        <v>3804</v>
      </c>
      <c r="B1820" t="s">
        <v>3805</v>
      </c>
      <c r="C1820" t="s">
        <v>30</v>
      </c>
      <c r="D1820" t="s">
        <v>48</v>
      </c>
      <c r="E1820" t="s">
        <v>505</v>
      </c>
      <c r="F1820" t="str">
        <f t="shared" si="31"/>
        <v>2018-05-20</v>
      </c>
      <c r="G1820">
        <v>12.55</v>
      </c>
      <c r="H1820" t="str">
        <f>"2018-04-22"</f>
        <v>2018-04-22</v>
      </c>
      <c r="I1820" t="s">
        <v>57</v>
      </c>
      <c r="J1820" t="str">
        <f>"2018-01-25"</f>
        <v>2018-01-25</v>
      </c>
      <c r="K1820" t="s">
        <v>26</v>
      </c>
      <c r="L1820">
        <v>-2.8897962800000001</v>
      </c>
      <c r="M1820">
        <v>1819</v>
      </c>
      <c r="N1820" s="1">
        <v>-0.19500000000000001</v>
      </c>
      <c r="O1820" s="1">
        <v>-0.33879999999999999</v>
      </c>
      <c r="P1820" s="1">
        <v>0.12859999999999999</v>
      </c>
      <c r="Q1820" s="1">
        <v>2.12E-2</v>
      </c>
      <c r="R1820" s="1">
        <v>5.5500000000000001E-2</v>
      </c>
      <c r="S1820" s="1">
        <v>-0.1711</v>
      </c>
      <c r="T1820" s="1">
        <v>-0.24579999999999999</v>
      </c>
      <c r="U1820" s="1">
        <v>-0.2918</v>
      </c>
    </row>
    <row r="1821" spans="1:21" x14ac:dyDescent="0.25">
      <c r="A1821" t="s">
        <v>3806</v>
      </c>
      <c r="B1821" t="s">
        <v>3807</v>
      </c>
      <c r="C1821" t="s">
        <v>87</v>
      </c>
      <c r="D1821" t="s">
        <v>88</v>
      </c>
      <c r="E1821" t="s">
        <v>89</v>
      </c>
      <c r="F1821" t="str">
        <f t="shared" si="31"/>
        <v>2018-05-20</v>
      </c>
      <c r="G1821">
        <v>1.68</v>
      </c>
      <c r="H1821" t="str">
        <f>"2018-03-18"</f>
        <v>2018-03-18</v>
      </c>
      <c r="I1821" t="s">
        <v>57</v>
      </c>
      <c r="J1821" t="str">
        <f>"2018-01-17"</f>
        <v>2018-01-17</v>
      </c>
      <c r="K1821" t="s">
        <v>26</v>
      </c>
      <c r="L1821">
        <v>-2.890625</v>
      </c>
      <c r="M1821">
        <v>1820</v>
      </c>
      <c r="N1821" s="1">
        <v>0.1275</v>
      </c>
      <c r="O1821" s="1">
        <v>-0.34379999999999999</v>
      </c>
      <c r="P1821" s="1">
        <v>0.34399999999999997</v>
      </c>
      <c r="Q1821" s="1">
        <v>3.0700000000000002E-2</v>
      </c>
      <c r="R1821" s="1">
        <v>9.8000000000000004E-2</v>
      </c>
      <c r="S1821" s="1">
        <v>0.34399999999999997</v>
      </c>
      <c r="T1821" s="1">
        <v>-0.1016</v>
      </c>
      <c r="U1821" s="1">
        <v>-0.32529999999999998</v>
      </c>
    </row>
    <row r="1822" spans="1:21" x14ac:dyDescent="0.25">
      <c r="A1822" t="s">
        <v>3808</v>
      </c>
      <c r="B1822" t="s">
        <v>3809</v>
      </c>
      <c r="C1822" t="s">
        <v>30</v>
      </c>
      <c r="D1822" t="s">
        <v>299</v>
      </c>
      <c r="E1822" t="s">
        <v>2172</v>
      </c>
      <c r="F1822" t="str">
        <f t="shared" si="31"/>
        <v>2018-05-20</v>
      </c>
      <c r="G1822">
        <v>9.19</v>
      </c>
      <c r="H1822" t="str">
        <f>"2018-02-25"</f>
        <v>2018-02-25</v>
      </c>
      <c r="I1822" t="s">
        <v>57</v>
      </c>
      <c r="J1822" t="str">
        <f>"2017-02-12"</f>
        <v>2017-02-12</v>
      </c>
      <c r="K1822" t="s">
        <v>34</v>
      </c>
      <c r="L1822">
        <v>-2.8909069299999999</v>
      </c>
      <c r="M1822">
        <v>1821</v>
      </c>
      <c r="N1822" s="1">
        <v>4.5499999999999999E-2</v>
      </c>
      <c r="O1822" s="1">
        <v>-0.34539999999999998</v>
      </c>
      <c r="P1822" s="1">
        <v>0.19040000000000001</v>
      </c>
      <c r="Q1822" s="1">
        <v>1.1000000000000001E-3</v>
      </c>
      <c r="R1822" s="1">
        <v>8.3699999999999997E-2</v>
      </c>
      <c r="S1822" s="1">
        <v>0.18429999999999999</v>
      </c>
      <c r="T1822" s="1">
        <v>2.8000000000000001E-2</v>
      </c>
      <c r="U1822" s="1">
        <v>-0.15770000000000001</v>
      </c>
    </row>
    <row r="1823" spans="1:21" x14ac:dyDescent="0.25">
      <c r="A1823" t="s">
        <v>3810</v>
      </c>
      <c r="B1823" t="s">
        <v>3811</v>
      </c>
      <c r="C1823" t="s">
        <v>37</v>
      </c>
      <c r="D1823" t="s">
        <v>66</v>
      </c>
      <c r="E1823" t="s">
        <v>94</v>
      </c>
      <c r="F1823" t="str">
        <f t="shared" si="31"/>
        <v>2018-05-20</v>
      </c>
      <c r="G1823">
        <v>10.8</v>
      </c>
      <c r="H1823" t="str">
        <f>"2018-02-12"</f>
        <v>2018-02-12</v>
      </c>
      <c r="I1823" t="s">
        <v>57</v>
      </c>
      <c r="J1823" t="str">
        <f>"2017-11-27"</f>
        <v>2017-11-27</v>
      </c>
      <c r="K1823" t="s">
        <v>26</v>
      </c>
      <c r="L1823">
        <v>-2.8909090900000001</v>
      </c>
      <c r="M1823">
        <v>1822</v>
      </c>
      <c r="N1823" s="1">
        <v>-4.9299999999999997E-2</v>
      </c>
      <c r="O1823" s="1">
        <v>-0.34549999999999997</v>
      </c>
      <c r="P1823" s="1">
        <v>0.1333</v>
      </c>
      <c r="Q1823" s="1">
        <v>3.7000000000000002E-3</v>
      </c>
      <c r="R1823" s="1">
        <v>5.5999999999999999E-3</v>
      </c>
      <c r="S1823" s="1">
        <v>-7.5300000000000006E-2</v>
      </c>
      <c r="T1823" s="1">
        <v>-4.2599999999999999E-2</v>
      </c>
      <c r="U1823" s="1">
        <v>-0.24690000000000001</v>
      </c>
    </row>
    <row r="1824" spans="1:21" x14ac:dyDescent="0.25">
      <c r="A1824" t="s">
        <v>3812</v>
      </c>
      <c r="B1824" t="s">
        <v>3813</v>
      </c>
      <c r="C1824" t="s">
        <v>30</v>
      </c>
      <c r="D1824" t="s">
        <v>299</v>
      </c>
      <c r="E1824" t="s">
        <v>2172</v>
      </c>
      <c r="F1824" t="str">
        <f t="shared" si="31"/>
        <v>2018-05-20</v>
      </c>
      <c r="G1824">
        <v>8.9600000000000009</v>
      </c>
      <c r="H1824" t="str">
        <f>"2017-09-28"</f>
        <v>2017-09-28</v>
      </c>
      <c r="I1824" t="s">
        <v>57</v>
      </c>
      <c r="J1824" t="str">
        <f>"2017-06-12"</f>
        <v>2017-06-12</v>
      </c>
      <c r="K1824" t="s">
        <v>27</v>
      </c>
      <c r="L1824">
        <v>-2.89091794</v>
      </c>
      <c r="M1824">
        <v>1823</v>
      </c>
      <c r="N1824" s="1">
        <v>-0.16650000000000001</v>
      </c>
      <c r="O1824" s="1">
        <v>-0.34549999999999997</v>
      </c>
      <c r="P1824" s="1">
        <v>0.23760000000000001</v>
      </c>
      <c r="Q1824" s="1">
        <v>1.3599999999999999E-2</v>
      </c>
      <c r="R1824" s="1">
        <v>-1.0999999999999999E-2</v>
      </c>
      <c r="S1824" s="1">
        <v>3.6999999999999998E-2</v>
      </c>
      <c r="T1824" s="1">
        <v>0.1774</v>
      </c>
      <c r="U1824" s="1">
        <v>-0.3054</v>
      </c>
    </row>
    <row r="1825" spans="1:21" x14ac:dyDescent="0.25">
      <c r="A1825" t="s">
        <v>3814</v>
      </c>
      <c r="B1825" t="s">
        <v>3815</v>
      </c>
      <c r="C1825" t="s">
        <v>37</v>
      </c>
      <c r="D1825" t="s">
        <v>38</v>
      </c>
      <c r="E1825" t="s">
        <v>39</v>
      </c>
      <c r="F1825" t="str">
        <f t="shared" si="31"/>
        <v>2018-05-20</v>
      </c>
      <c r="G1825">
        <v>10.88</v>
      </c>
      <c r="H1825" t="str">
        <f>"2017-12-28"</f>
        <v>2017-12-28</v>
      </c>
      <c r="I1825" t="s">
        <v>57</v>
      </c>
      <c r="J1825" t="str">
        <f>"2017-11-28"</f>
        <v>2017-11-28</v>
      </c>
      <c r="K1825" t="s">
        <v>40</v>
      </c>
      <c r="L1825">
        <v>-2.8911564599999999</v>
      </c>
      <c r="M1825">
        <v>1824</v>
      </c>
      <c r="N1825" s="1">
        <v>3.1300000000000001E-2</v>
      </c>
      <c r="O1825" s="1">
        <v>-0.34689999999999999</v>
      </c>
      <c r="P1825" s="1">
        <v>0.45450000000000002</v>
      </c>
      <c r="Q1825" s="1">
        <v>-8.9999999999999998E-4</v>
      </c>
      <c r="R1825" s="1">
        <v>0.10680000000000001</v>
      </c>
      <c r="S1825" s="1">
        <v>4.82E-2</v>
      </c>
      <c r="T1825" s="1">
        <v>0.32840000000000003</v>
      </c>
      <c r="U1825" s="1">
        <v>-2.1600000000000001E-2</v>
      </c>
    </row>
    <row r="1826" spans="1:21" x14ac:dyDescent="0.25">
      <c r="A1826" t="s">
        <v>3816</v>
      </c>
      <c r="B1826" t="s">
        <v>3817</v>
      </c>
      <c r="C1826" t="s">
        <v>43</v>
      </c>
      <c r="D1826" t="s">
        <v>150</v>
      </c>
      <c r="E1826" t="s">
        <v>408</v>
      </c>
      <c r="F1826" t="str">
        <f t="shared" si="31"/>
        <v>2018-05-20</v>
      </c>
      <c r="G1826">
        <v>8.74</v>
      </c>
      <c r="H1826" t="str">
        <f>"2018-05-17"</f>
        <v>2018-05-17</v>
      </c>
      <c r="I1826" t="s">
        <v>57</v>
      </c>
      <c r="J1826" t="str">
        <f>"2017-10-03"</f>
        <v>2017-10-03</v>
      </c>
      <c r="K1826" t="s">
        <v>26</v>
      </c>
      <c r="L1826">
        <v>-2.8916170600000002</v>
      </c>
      <c r="M1826">
        <v>1825</v>
      </c>
      <c r="N1826" s="1">
        <v>3.9199999999999999E-2</v>
      </c>
      <c r="O1826" s="1">
        <v>-0.34970000000000001</v>
      </c>
      <c r="P1826" s="1">
        <v>0.30249999999999999</v>
      </c>
      <c r="Q1826" s="1">
        <v>1.6299999999999999E-2</v>
      </c>
      <c r="R1826" s="1">
        <v>4.1700000000000001E-2</v>
      </c>
      <c r="S1826" s="1">
        <v>0.19239999999999999</v>
      </c>
      <c r="T1826" s="1">
        <v>-0.1855</v>
      </c>
      <c r="U1826" s="1">
        <v>5.2999999999999999E-2</v>
      </c>
    </row>
    <row r="1827" spans="1:21" x14ac:dyDescent="0.25">
      <c r="A1827" t="s">
        <v>3818</v>
      </c>
      <c r="B1827" t="s">
        <v>3819</v>
      </c>
      <c r="C1827" t="s">
        <v>109</v>
      </c>
      <c r="D1827" t="s">
        <v>156</v>
      </c>
      <c r="E1827" t="s">
        <v>284</v>
      </c>
      <c r="F1827" t="str">
        <f t="shared" si="31"/>
        <v>2018-05-20</v>
      </c>
      <c r="G1827">
        <v>5.75</v>
      </c>
      <c r="H1827" t="str">
        <f>"2018-03-26"</f>
        <v>2018-03-26</v>
      </c>
      <c r="I1827" t="s">
        <v>57</v>
      </c>
      <c r="J1827" t="str">
        <f>"2016-11-22"</f>
        <v>2016-11-22</v>
      </c>
      <c r="K1827" t="s">
        <v>26</v>
      </c>
      <c r="L1827">
        <v>-2.8923220999999999</v>
      </c>
      <c r="M1827">
        <v>1826</v>
      </c>
      <c r="N1827" s="1">
        <v>0.11650000000000001</v>
      </c>
      <c r="O1827" s="1">
        <v>-0.35389999999999999</v>
      </c>
      <c r="P1827" s="1">
        <v>0.22339999999999999</v>
      </c>
      <c r="Q1827" s="1">
        <v>0</v>
      </c>
      <c r="R1827" s="1">
        <v>6.4799999999999996E-2</v>
      </c>
      <c r="S1827" s="1">
        <v>0.19789999999999999</v>
      </c>
      <c r="T1827" s="1">
        <v>0</v>
      </c>
      <c r="U1827" s="1">
        <v>-5.74E-2</v>
      </c>
    </row>
    <row r="1828" spans="1:21" x14ac:dyDescent="0.25">
      <c r="A1828" t="s">
        <v>3820</v>
      </c>
      <c r="B1828" t="s">
        <v>3821</v>
      </c>
      <c r="C1828" t="s">
        <v>87</v>
      </c>
      <c r="D1828" t="s">
        <v>88</v>
      </c>
      <c r="E1828" t="s">
        <v>89</v>
      </c>
      <c r="F1828" t="str">
        <f t="shared" si="31"/>
        <v>2018-05-20</v>
      </c>
      <c r="G1828">
        <v>5.49</v>
      </c>
      <c r="H1828" t="str">
        <f>"2018-03-27"</f>
        <v>2018-03-27</v>
      </c>
      <c r="I1828" t="s">
        <v>57</v>
      </c>
      <c r="J1828" t="str">
        <f>"2017-11-30"</f>
        <v>2017-11-30</v>
      </c>
      <c r="K1828" t="s">
        <v>26</v>
      </c>
      <c r="L1828">
        <v>-2.8928571399999998</v>
      </c>
      <c r="M1828">
        <v>1827</v>
      </c>
      <c r="N1828" s="1">
        <v>0.1706</v>
      </c>
      <c r="O1828" s="1">
        <v>-0.35709999999999997</v>
      </c>
      <c r="P1828" s="1">
        <v>0.17560000000000001</v>
      </c>
      <c r="Q1828" s="1">
        <v>-1.44E-2</v>
      </c>
      <c r="R1828" s="1">
        <v>0.1227</v>
      </c>
      <c r="S1828" s="1">
        <v>-5.4000000000000003E-3</v>
      </c>
      <c r="T1828" s="1">
        <v>-0.20780000000000001</v>
      </c>
      <c r="U1828" s="1">
        <v>-0.23219999999999999</v>
      </c>
    </row>
    <row r="1829" spans="1:21" x14ac:dyDescent="0.25">
      <c r="A1829" t="s">
        <v>3822</v>
      </c>
      <c r="B1829" t="s">
        <v>3823</v>
      </c>
      <c r="C1829" t="s">
        <v>43</v>
      </c>
      <c r="D1829" t="s">
        <v>169</v>
      </c>
      <c r="E1829" t="s">
        <v>641</v>
      </c>
      <c r="F1829" t="str">
        <f t="shared" si="31"/>
        <v>2018-05-20</v>
      </c>
      <c r="G1829">
        <v>4.1399999999999997</v>
      </c>
      <c r="H1829" t="str">
        <f>"2018-01-31"</f>
        <v>2018-01-31</v>
      </c>
      <c r="I1829" t="s">
        <v>57</v>
      </c>
      <c r="J1829" t="str">
        <f>"2017-11-08"</f>
        <v>2017-11-08</v>
      </c>
      <c r="K1829" t="s">
        <v>40</v>
      </c>
      <c r="L1829">
        <v>-2.8928571399999998</v>
      </c>
      <c r="M1829">
        <v>1828</v>
      </c>
      <c r="N1829" s="1">
        <v>-0.13930000000000001</v>
      </c>
      <c r="O1829" s="1">
        <v>-0.35709999999999997</v>
      </c>
      <c r="P1829" s="1">
        <v>0.17280000000000001</v>
      </c>
      <c r="Q1829" s="1">
        <v>3.2399999999999998E-2</v>
      </c>
      <c r="R1829" s="1">
        <v>8.9499999999999996E-2</v>
      </c>
      <c r="S1829" s="1">
        <v>0.1011</v>
      </c>
      <c r="T1829" s="1">
        <v>7.8100000000000003E-2</v>
      </c>
      <c r="U1829" s="1">
        <v>-0.29709999999999998</v>
      </c>
    </row>
    <row r="1830" spans="1:21" x14ac:dyDescent="0.25">
      <c r="A1830" t="s">
        <v>3824</v>
      </c>
      <c r="B1830" t="s">
        <v>3825</v>
      </c>
      <c r="C1830" t="s">
        <v>109</v>
      </c>
      <c r="D1830" t="s">
        <v>110</v>
      </c>
      <c r="E1830" t="s">
        <v>111</v>
      </c>
      <c r="F1830" t="str">
        <f t="shared" si="31"/>
        <v>2018-05-20</v>
      </c>
      <c r="G1830">
        <v>11.71</v>
      </c>
      <c r="H1830" t="str">
        <f>"2018-02-12"</f>
        <v>2018-02-12</v>
      </c>
      <c r="I1830" t="s">
        <v>57</v>
      </c>
      <c r="J1830" t="str">
        <f>"2017-11-27"</f>
        <v>2017-11-27</v>
      </c>
      <c r="K1830" t="s">
        <v>27</v>
      </c>
      <c r="L1830">
        <v>-2.8930007299999998</v>
      </c>
      <c r="M1830">
        <v>1829</v>
      </c>
      <c r="N1830" s="1">
        <v>-9.7100000000000006E-2</v>
      </c>
      <c r="O1830" s="1">
        <v>-0.35799999999999998</v>
      </c>
      <c r="P1830" s="1">
        <v>0.1424</v>
      </c>
      <c r="Q1830" s="1">
        <v>0</v>
      </c>
      <c r="R1830" s="1">
        <v>6.0000000000000001E-3</v>
      </c>
      <c r="S1830" s="1">
        <v>4.7399999999999998E-2</v>
      </c>
      <c r="T1830" s="1">
        <v>-4.3E-3</v>
      </c>
      <c r="U1830" s="1">
        <v>-0.30869999999999997</v>
      </c>
    </row>
    <row r="1831" spans="1:21" x14ac:dyDescent="0.25">
      <c r="A1831" t="s">
        <v>3826</v>
      </c>
      <c r="B1831" t="s">
        <v>3827</v>
      </c>
      <c r="C1831" t="s">
        <v>43</v>
      </c>
      <c r="D1831" t="s">
        <v>169</v>
      </c>
      <c r="E1831" t="s">
        <v>170</v>
      </c>
      <c r="F1831" t="str">
        <f t="shared" si="31"/>
        <v>2018-05-20</v>
      </c>
      <c r="G1831">
        <v>11</v>
      </c>
      <c r="H1831" t="str">
        <f>"2018-04-23"</f>
        <v>2018-04-23</v>
      </c>
      <c r="I1831" t="s">
        <v>57</v>
      </c>
      <c r="J1831" t="str">
        <f>"2017-08-28"</f>
        <v>2017-08-28</v>
      </c>
      <c r="K1831" t="s">
        <v>26</v>
      </c>
      <c r="L1831">
        <v>-2.8949379199999998</v>
      </c>
      <c r="M1831">
        <v>1830</v>
      </c>
      <c r="N1831" s="1">
        <v>0.25140000000000001</v>
      </c>
      <c r="O1831" s="1">
        <v>-0.36959999999999998</v>
      </c>
      <c r="P1831" s="1">
        <v>0.36309999999999998</v>
      </c>
      <c r="Q1831" s="1">
        <v>5.2600000000000001E-2</v>
      </c>
      <c r="R1831" s="1">
        <v>3.5799999999999998E-2</v>
      </c>
      <c r="S1831" s="1">
        <v>0.25140000000000001</v>
      </c>
      <c r="T1831" s="1">
        <v>0.16769999999999999</v>
      </c>
      <c r="U1831" s="1">
        <v>0.1918</v>
      </c>
    </row>
    <row r="1832" spans="1:21" x14ac:dyDescent="0.25">
      <c r="A1832" t="s">
        <v>3828</v>
      </c>
      <c r="B1832" t="s">
        <v>3829</v>
      </c>
      <c r="C1832" t="s">
        <v>37</v>
      </c>
      <c r="D1832" t="s">
        <v>38</v>
      </c>
      <c r="E1832" t="s">
        <v>39</v>
      </c>
      <c r="F1832" t="str">
        <f t="shared" si="31"/>
        <v>2018-05-20</v>
      </c>
      <c r="G1832">
        <v>7.24</v>
      </c>
      <c r="H1832" t="str">
        <f>"2018-03-20"</f>
        <v>2018-03-20</v>
      </c>
      <c r="I1832" t="s">
        <v>57</v>
      </c>
      <c r="J1832" t="str">
        <f>"2017-11-13"</f>
        <v>2017-11-13</v>
      </c>
      <c r="K1832" t="s">
        <v>40</v>
      </c>
      <c r="L1832">
        <v>-2.8951636299999999</v>
      </c>
      <c r="M1832">
        <v>1831</v>
      </c>
      <c r="N1832" s="1">
        <v>-8.2000000000000007E-3</v>
      </c>
      <c r="O1832" s="1">
        <v>-0.371</v>
      </c>
      <c r="P1832" s="1">
        <v>0.54369999999999996</v>
      </c>
      <c r="Q1832" s="1">
        <v>6.4699999999999994E-2</v>
      </c>
      <c r="R1832" s="1">
        <v>3.5799999999999998E-2</v>
      </c>
      <c r="S1832" s="1">
        <v>0.29520000000000002</v>
      </c>
      <c r="T1832" s="1">
        <v>0.1037</v>
      </c>
      <c r="U1832" s="1">
        <v>-0.18190000000000001</v>
      </c>
    </row>
    <row r="1833" spans="1:21" x14ac:dyDescent="0.25">
      <c r="A1833" t="s">
        <v>3830</v>
      </c>
      <c r="B1833" t="s">
        <v>3831</v>
      </c>
      <c r="C1833" t="s">
        <v>37</v>
      </c>
      <c r="D1833" t="s">
        <v>38</v>
      </c>
      <c r="E1833" t="s">
        <v>39</v>
      </c>
      <c r="F1833" t="str">
        <f t="shared" si="31"/>
        <v>2018-05-20</v>
      </c>
      <c r="G1833">
        <v>40.950000000000003</v>
      </c>
      <c r="H1833" t="str">
        <f>"2018-04-18"</f>
        <v>2018-04-18</v>
      </c>
      <c r="I1833" t="s">
        <v>57</v>
      </c>
      <c r="J1833" t="str">
        <f>"2017-10-16"</f>
        <v>2017-10-16</v>
      </c>
      <c r="K1833" t="s">
        <v>40</v>
      </c>
      <c r="L1833">
        <v>-2.89665354</v>
      </c>
      <c r="M1833">
        <v>1832</v>
      </c>
      <c r="N1833" s="1">
        <v>0.22789999999999999</v>
      </c>
      <c r="O1833" s="1">
        <v>-0.37990000000000002</v>
      </c>
      <c r="P1833" s="1">
        <v>0.33950000000000002</v>
      </c>
      <c r="Q1833" s="1">
        <v>-9.9000000000000008E-3</v>
      </c>
      <c r="R1833" s="1">
        <v>-2.4299999999999999E-2</v>
      </c>
      <c r="S1833" s="1">
        <v>0.1822</v>
      </c>
      <c r="T1833" s="1">
        <v>-0.1032</v>
      </c>
      <c r="U1833" s="1">
        <v>6.5600000000000006E-2</v>
      </c>
    </row>
    <row r="1834" spans="1:21" x14ac:dyDescent="0.25">
      <c r="A1834" t="s">
        <v>3832</v>
      </c>
      <c r="B1834" t="s">
        <v>3833</v>
      </c>
      <c r="C1834" t="s">
        <v>43</v>
      </c>
      <c r="D1834" t="s">
        <v>193</v>
      </c>
      <c r="E1834" t="s">
        <v>239</v>
      </c>
      <c r="F1834" t="str">
        <f t="shared" si="31"/>
        <v>2018-05-20</v>
      </c>
      <c r="G1834">
        <v>5.59</v>
      </c>
      <c r="H1834" t="str">
        <f>"2018-04-05"</f>
        <v>2018-04-05</v>
      </c>
      <c r="I1834" t="s">
        <v>57</v>
      </c>
      <c r="J1834" t="str">
        <f>"2018-02-04"</f>
        <v>2018-02-04</v>
      </c>
      <c r="K1834" t="s">
        <v>40</v>
      </c>
      <c r="L1834">
        <v>-2.8968254</v>
      </c>
      <c r="M1834">
        <v>1833</v>
      </c>
      <c r="N1834" s="1">
        <v>5.0799999999999998E-2</v>
      </c>
      <c r="O1834" s="1">
        <v>-0.38100000000000001</v>
      </c>
      <c r="P1834" s="1">
        <v>0.13389999999999999</v>
      </c>
      <c r="Q1834" s="1">
        <v>3.5999999999999999E-3</v>
      </c>
      <c r="R1834" s="1">
        <v>1.2699999999999999E-2</v>
      </c>
      <c r="S1834" s="1">
        <v>-6.0499999999999998E-2</v>
      </c>
      <c r="T1834" s="1">
        <v>1.8200000000000001E-2</v>
      </c>
      <c r="U1834" s="1">
        <v>-0.17910000000000001</v>
      </c>
    </row>
    <row r="1835" spans="1:21" x14ac:dyDescent="0.25">
      <c r="A1835" t="s">
        <v>3834</v>
      </c>
      <c r="B1835" t="s">
        <v>3835</v>
      </c>
      <c r="C1835" t="s">
        <v>114</v>
      </c>
      <c r="D1835" t="s">
        <v>646</v>
      </c>
      <c r="E1835" t="s">
        <v>647</v>
      </c>
      <c r="F1835" t="str">
        <f t="shared" si="31"/>
        <v>2018-05-20</v>
      </c>
      <c r="G1835">
        <v>10.07</v>
      </c>
      <c r="H1835" t="str">
        <f>"2017-12-13"</f>
        <v>2017-12-13</v>
      </c>
      <c r="I1835" t="s">
        <v>57</v>
      </c>
      <c r="J1835" t="str">
        <f>"2016-06-22"</f>
        <v>2016-06-22</v>
      </c>
      <c r="K1835" t="s">
        <v>26</v>
      </c>
      <c r="L1835">
        <v>-2.8975376499999999</v>
      </c>
      <c r="M1835">
        <v>1834</v>
      </c>
      <c r="N1835" s="1">
        <v>0.22800000000000001</v>
      </c>
      <c r="O1835" s="1">
        <v>-0.38519999999999999</v>
      </c>
      <c r="P1835" s="1">
        <v>0.44479999999999997</v>
      </c>
      <c r="Q1835" s="1">
        <v>1.8200000000000001E-2</v>
      </c>
      <c r="R1835" s="1">
        <v>0.16689999999999999</v>
      </c>
      <c r="S1835" s="1">
        <v>0.13150000000000001</v>
      </c>
      <c r="T1835" s="1">
        <v>0.3427</v>
      </c>
      <c r="U1835" s="1">
        <v>-5.5300000000000002E-2</v>
      </c>
    </row>
    <row r="1836" spans="1:21" x14ac:dyDescent="0.25">
      <c r="A1836" t="s">
        <v>3836</v>
      </c>
      <c r="B1836" t="s">
        <v>3837</v>
      </c>
      <c r="C1836" t="s">
        <v>43</v>
      </c>
      <c r="D1836" t="s">
        <v>119</v>
      </c>
      <c r="E1836" t="s">
        <v>205</v>
      </c>
      <c r="F1836" t="str">
        <f t="shared" si="31"/>
        <v>2018-05-20</v>
      </c>
      <c r="G1836">
        <v>20.350000000000001</v>
      </c>
      <c r="H1836" t="str">
        <f>"2018-01-23"</f>
        <v>2018-01-23</v>
      </c>
      <c r="I1836" t="s">
        <v>57</v>
      </c>
      <c r="J1836" t="str">
        <f>"2017-08-03"</f>
        <v>2017-08-03</v>
      </c>
      <c r="K1836" t="s">
        <v>26</v>
      </c>
      <c r="L1836">
        <v>-2.8979949899999999</v>
      </c>
      <c r="M1836">
        <v>1835</v>
      </c>
      <c r="N1836" s="1">
        <v>-9.1499999999999998E-2</v>
      </c>
      <c r="O1836" s="1">
        <v>-0.38800000000000001</v>
      </c>
      <c r="P1836" s="1">
        <v>0.17630000000000001</v>
      </c>
      <c r="Q1836" s="1">
        <v>3.3000000000000002E-2</v>
      </c>
      <c r="R1836" s="1">
        <v>3.04E-2</v>
      </c>
      <c r="S1836" s="1">
        <v>4.8999999999999998E-3</v>
      </c>
      <c r="T1836" s="1">
        <v>7.1099999999999997E-2</v>
      </c>
      <c r="U1836" s="1">
        <v>-0.15379999999999999</v>
      </c>
    </row>
    <row r="1837" spans="1:21" x14ac:dyDescent="0.25">
      <c r="A1837" t="s">
        <v>3838</v>
      </c>
      <c r="B1837" t="s">
        <v>3839</v>
      </c>
      <c r="C1837" t="s">
        <v>30</v>
      </c>
      <c r="D1837" t="s">
        <v>299</v>
      </c>
      <c r="E1837" t="s">
        <v>1087</v>
      </c>
      <c r="F1837" t="str">
        <f t="shared" si="31"/>
        <v>2018-05-20</v>
      </c>
      <c r="G1837">
        <v>17.87</v>
      </c>
      <c r="H1837" t="str">
        <f>"2017-06-29"</f>
        <v>2017-06-29</v>
      </c>
      <c r="I1837" t="s">
        <v>57</v>
      </c>
      <c r="J1837" t="str">
        <f>"2017-05-16"</f>
        <v>2017-05-16</v>
      </c>
      <c r="K1837" t="s">
        <v>40</v>
      </c>
      <c r="L1837">
        <v>-2.8997194199999998</v>
      </c>
      <c r="M1837">
        <v>1836</v>
      </c>
      <c r="N1837" s="1">
        <v>-0.34470000000000001</v>
      </c>
      <c r="O1837" s="1">
        <v>-0.39829999999999999</v>
      </c>
      <c r="P1837" s="1">
        <v>0.10100000000000001</v>
      </c>
      <c r="Q1837" s="1">
        <v>2.06E-2</v>
      </c>
      <c r="R1837" s="1">
        <v>-1.2200000000000001E-2</v>
      </c>
      <c r="S1837" s="1">
        <v>6.9400000000000003E-2</v>
      </c>
      <c r="T1837" s="1">
        <v>-1.0500000000000001E-2</v>
      </c>
      <c r="U1837" s="1">
        <v>-0.33589999999999998</v>
      </c>
    </row>
    <row r="1838" spans="1:21" x14ac:dyDescent="0.25">
      <c r="A1838" t="s">
        <v>3840</v>
      </c>
      <c r="B1838" t="s">
        <v>3841</v>
      </c>
      <c r="C1838" t="s">
        <v>114</v>
      </c>
      <c r="D1838" t="s">
        <v>809</v>
      </c>
      <c r="E1838" t="s">
        <v>1529</v>
      </c>
      <c r="F1838" t="str">
        <f t="shared" si="31"/>
        <v>2018-05-20</v>
      </c>
      <c r="G1838">
        <v>62.89</v>
      </c>
      <c r="H1838" t="str">
        <f>"2018-04-10"</f>
        <v>2018-04-10</v>
      </c>
      <c r="I1838" t="s">
        <v>57</v>
      </c>
      <c r="J1838" t="str">
        <f>"2015-12-20"</f>
        <v>2015-12-20</v>
      </c>
      <c r="K1838" t="s">
        <v>26</v>
      </c>
      <c r="L1838">
        <v>-2.9022688400000001</v>
      </c>
      <c r="M1838">
        <v>1837</v>
      </c>
      <c r="N1838" s="1">
        <v>-6.0900000000000003E-2</v>
      </c>
      <c r="O1838" s="1">
        <v>-0.41360000000000002</v>
      </c>
      <c r="P1838" s="1">
        <v>0.1022</v>
      </c>
      <c r="Q1838" s="1">
        <v>7.4000000000000003E-3</v>
      </c>
      <c r="R1838" s="1">
        <v>9.4999999999999998E-3</v>
      </c>
      <c r="S1838" s="1">
        <v>4.9000000000000002E-2</v>
      </c>
      <c r="T1838" s="1">
        <v>-9.6699999999999994E-2</v>
      </c>
      <c r="U1838" s="1">
        <v>-0.34499999999999997</v>
      </c>
    </row>
    <row r="1839" spans="1:21" x14ac:dyDescent="0.25">
      <c r="A1839" t="s">
        <v>3842</v>
      </c>
      <c r="B1839" t="s">
        <v>3843</v>
      </c>
      <c r="C1839" t="s">
        <v>37</v>
      </c>
      <c r="D1839" t="s">
        <v>38</v>
      </c>
      <c r="E1839" t="s">
        <v>97</v>
      </c>
      <c r="F1839" t="str">
        <f t="shared" si="31"/>
        <v>2018-05-20</v>
      </c>
      <c r="G1839">
        <v>33.840000000000003</v>
      </c>
      <c r="H1839" t="str">
        <f>"2017-11-06"</f>
        <v>2017-11-06</v>
      </c>
      <c r="I1839" t="s">
        <v>57</v>
      </c>
      <c r="J1839" t="str">
        <f>"2017-05-15"</f>
        <v>2017-05-15</v>
      </c>
      <c r="K1839" t="s">
        <v>40</v>
      </c>
      <c r="L1839">
        <v>-2.9026243100000002</v>
      </c>
      <c r="M1839">
        <v>1838</v>
      </c>
      <c r="N1839" s="1">
        <v>-0.21429999999999999</v>
      </c>
      <c r="O1839" s="1">
        <v>-0.41570000000000001</v>
      </c>
      <c r="P1839" s="1">
        <v>0.18779999999999999</v>
      </c>
      <c r="Q1839" s="1">
        <v>-1.34E-2</v>
      </c>
      <c r="R1839" s="1">
        <v>-0.109</v>
      </c>
      <c r="S1839" s="1">
        <v>0.1168</v>
      </c>
      <c r="T1839" s="1">
        <v>-6.6500000000000004E-2</v>
      </c>
      <c r="U1839" s="1">
        <v>-0.32540000000000002</v>
      </c>
    </row>
    <row r="1840" spans="1:21" x14ac:dyDescent="0.25">
      <c r="A1840" t="s">
        <v>3844</v>
      </c>
      <c r="B1840" t="s">
        <v>3845</v>
      </c>
      <c r="C1840" t="s">
        <v>37</v>
      </c>
      <c r="D1840" t="s">
        <v>38</v>
      </c>
      <c r="E1840" t="s">
        <v>97</v>
      </c>
      <c r="F1840" t="str">
        <f t="shared" si="31"/>
        <v>2018-05-20</v>
      </c>
      <c r="G1840">
        <v>17.05</v>
      </c>
      <c r="H1840" t="str">
        <f>"2018-03-26"</f>
        <v>2018-03-26</v>
      </c>
      <c r="I1840" t="s">
        <v>57</v>
      </c>
      <c r="J1840" t="str">
        <f>"2018-02-18"</f>
        <v>2018-02-18</v>
      </c>
      <c r="K1840" t="s">
        <v>40</v>
      </c>
      <c r="L1840">
        <v>-2.9028489999999998</v>
      </c>
      <c r="M1840">
        <v>1839</v>
      </c>
      <c r="N1840" s="1">
        <v>0.13669999999999999</v>
      </c>
      <c r="O1840" s="1">
        <v>-0.41710000000000003</v>
      </c>
      <c r="P1840" s="1">
        <v>0.23100000000000001</v>
      </c>
      <c r="Q1840" s="1">
        <v>5.57E-2</v>
      </c>
      <c r="R1840" s="1">
        <v>9.6500000000000002E-2</v>
      </c>
      <c r="S1840" s="1">
        <v>7.5700000000000003E-2</v>
      </c>
      <c r="T1840" s="1">
        <v>3.0200000000000001E-2</v>
      </c>
      <c r="U1840" s="1">
        <v>-0.15590000000000001</v>
      </c>
    </row>
    <row r="1841" spans="1:21" x14ac:dyDescent="0.25">
      <c r="A1841" t="s">
        <v>3846</v>
      </c>
      <c r="B1841" t="s">
        <v>3847</v>
      </c>
      <c r="C1841" t="s">
        <v>109</v>
      </c>
      <c r="D1841" t="s">
        <v>110</v>
      </c>
      <c r="E1841" t="s">
        <v>111</v>
      </c>
      <c r="F1841" t="str">
        <f t="shared" si="31"/>
        <v>2018-05-20</v>
      </c>
      <c r="G1841">
        <v>6.26</v>
      </c>
      <c r="H1841" t="str">
        <f>"2017-07-10"</f>
        <v>2017-07-10</v>
      </c>
      <c r="I1841" t="s">
        <v>57</v>
      </c>
      <c r="J1841" t="str">
        <f>"2016-07-03"</f>
        <v>2016-07-03</v>
      </c>
      <c r="K1841" t="s">
        <v>26</v>
      </c>
      <c r="L1841">
        <v>-2.9031259700000001</v>
      </c>
      <c r="M1841">
        <v>1840</v>
      </c>
      <c r="N1841" s="1">
        <v>-0.2233</v>
      </c>
      <c r="O1841" s="1">
        <v>-0.41880000000000001</v>
      </c>
      <c r="P1841" s="1">
        <v>0.1041</v>
      </c>
      <c r="Q1841" s="1">
        <v>1.1299999999999999E-2</v>
      </c>
      <c r="R1841" s="1">
        <v>2.6200000000000001E-2</v>
      </c>
      <c r="S1841" s="1">
        <v>1.1299999999999999E-2</v>
      </c>
      <c r="T1841" s="1">
        <v>-2.64E-2</v>
      </c>
      <c r="U1841" s="1">
        <v>-0.25030000000000002</v>
      </c>
    </row>
    <row r="1842" spans="1:21" x14ac:dyDescent="0.25">
      <c r="A1842" t="s">
        <v>3848</v>
      </c>
      <c r="B1842" t="s">
        <v>3849</v>
      </c>
      <c r="C1842" t="s">
        <v>109</v>
      </c>
      <c r="D1842" t="s">
        <v>156</v>
      </c>
      <c r="E1842" t="s">
        <v>277</v>
      </c>
      <c r="F1842" t="str">
        <f t="shared" si="31"/>
        <v>2018-05-20</v>
      </c>
      <c r="G1842">
        <v>4.0199999999999996</v>
      </c>
      <c r="H1842" t="str">
        <f>"2018-04-11"</f>
        <v>2018-04-11</v>
      </c>
      <c r="I1842" t="s">
        <v>57</v>
      </c>
      <c r="J1842" t="str">
        <f>"2017-10-03"</f>
        <v>2017-10-03</v>
      </c>
      <c r="K1842" t="s">
        <v>26</v>
      </c>
      <c r="L1842">
        <v>-2.9033188999999999</v>
      </c>
      <c r="M1842">
        <v>1841</v>
      </c>
      <c r="N1842" s="1">
        <v>3.3399999999999999E-2</v>
      </c>
      <c r="O1842" s="1">
        <v>-0.4199</v>
      </c>
      <c r="P1842" s="1">
        <v>0.12609999999999999</v>
      </c>
      <c r="Q1842" s="1">
        <v>5.0000000000000001E-3</v>
      </c>
      <c r="R1842" s="1">
        <v>-7.1599999999999997E-2</v>
      </c>
      <c r="S1842" s="1">
        <v>-6.5100000000000005E-2</v>
      </c>
      <c r="T1842" s="1">
        <v>-0.1429</v>
      </c>
      <c r="U1842" s="1">
        <v>-0.24859999999999999</v>
      </c>
    </row>
    <row r="1843" spans="1:21" x14ac:dyDescent="0.25">
      <c r="A1843" t="s">
        <v>3850</v>
      </c>
      <c r="B1843" t="s">
        <v>3851</v>
      </c>
      <c r="C1843" t="s">
        <v>43</v>
      </c>
      <c r="D1843" t="s">
        <v>44</v>
      </c>
      <c r="E1843" t="s">
        <v>246</v>
      </c>
      <c r="F1843" t="str">
        <f t="shared" si="31"/>
        <v>2018-05-20</v>
      </c>
      <c r="G1843">
        <v>10.1</v>
      </c>
      <c r="H1843" t="str">
        <f>"2018-03-27"</f>
        <v>2018-03-27</v>
      </c>
      <c r="I1843" t="s">
        <v>57</v>
      </c>
      <c r="J1843" t="str">
        <f>"2018-02-05"</f>
        <v>2018-02-05</v>
      </c>
      <c r="K1843" t="s">
        <v>40</v>
      </c>
      <c r="L1843">
        <v>-2.9035339100000002</v>
      </c>
      <c r="M1843">
        <v>1842</v>
      </c>
      <c r="N1843" s="1">
        <v>-1.9400000000000001E-2</v>
      </c>
      <c r="O1843" s="1">
        <v>-0.42120000000000002</v>
      </c>
      <c r="P1843" s="1">
        <v>0.1191</v>
      </c>
      <c r="Q1843" s="1">
        <v>-1.9400000000000001E-2</v>
      </c>
      <c r="R1843" s="1">
        <v>1.5100000000000001E-2</v>
      </c>
      <c r="S1843" s="1">
        <v>-6.4799999999999996E-2</v>
      </c>
      <c r="T1843" s="1">
        <v>-0.1583</v>
      </c>
      <c r="U1843" s="1">
        <v>-0.24909999999999999</v>
      </c>
    </row>
    <row r="1844" spans="1:21" x14ac:dyDescent="0.25">
      <c r="A1844" t="s">
        <v>3852</v>
      </c>
      <c r="B1844" t="s">
        <v>3853</v>
      </c>
      <c r="C1844" t="s">
        <v>37</v>
      </c>
      <c r="D1844" t="s">
        <v>38</v>
      </c>
      <c r="E1844" t="s">
        <v>39</v>
      </c>
      <c r="F1844" t="str">
        <f t="shared" si="31"/>
        <v>2018-05-20</v>
      </c>
      <c r="G1844">
        <v>19.09</v>
      </c>
      <c r="H1844" t="str">
        <f>"2017-10-26"</f>
        <v>2017-10-26</v>
      </c>
      <c r="I1844" t="s">
        <v>57</v>
      </c>
      <c r="J1844" t="str">
        <f>"2016-10-18"</f>
        <v>2016-10-18</v>
      </c>
      <c r="K1844" t="s">
        <v>26</v>
      </c>
      <c r="L1844">
        <v>-2.9035566300000002</v>
      </c>
      <c r="M1844">
        <v>1843</v>
      </c>
      <c r="N1844" s="1">
        <v>-0.2082</v>
      </c>
      <c r="O1844" s="1">
        <v>-0.42130000000000001</v>
      </c>
      <c r="P1844" s="1">
        <v>0.1598</v>
      </c>
      <c r="Q1844" s="1">
        <v>-4.6899999999999997E-2</v>
      </c>
      <c r="R1844" s="1">
        <v>-1.7999999999999999E-2</v>
      </c>
      <c r="S1844" s="1">
        <v>7.9100000000000004E-2</v>
      </c>
      <c r="T1844" s="1">
        <v>-5.45E-2</v>
      </c>
      <c r="U1844" s="1">
        <v>-0.2306</v>
      </c>
    </row>
    <row r="1845" spans="1:21" x14ac:dyDescent="0.25">
      <c r="A1845" t="s">
        <v>3854</v>
      </c>
      <c r="B1845" t="s">
        <v>3855</v>
      </c>
      <c r="C1845" t="s">
        <v>37</v>
      </c>
      <c r="D1845" t="s">
        <v>38</v>
      </c>
      <c r="E1845" t="s">
        <v>39</v>
      </c>
      <c r="F1845" t="str">
        <f t="shared" si="31"/>
        <v>2018-05-20</v>
      </c>
      <c r="G1845">
        <v>4.34</v>
      </c>
      <c r="H1845" t="str">
        <f>"2017-11-13"</f>
        <v>2017-11-13</v>
      </c>
      <c r="I1845" t="s">
        <v>57</v>
      </c>
      <c r="J1845" t="str">
        <f>"2017-03-30"</f>
        <v>2017-03-30</v>
      </c>
      <c r="K1845" t="s">
        <v>26</v>
      </c>
      <c r="L1845">
        <v>-2.9036839799999998</v>
      </c>
      <c r="M1845">
        <v>1844</v>
      </c>
      <c r="N1845" s="1">
        <v>-3.7699999999999997E-2</v>
      </c>
      <c r="O1845" s="1">
        <v>-0.42209999999999998</v>
      </c>
      <c r="P1845" s="1">
        <v>0.25430000000000003</v>
      </c>
      <c r="Q1845" s="1">
        <v>-2.9100000000000001E-2</v>
      </c>
      <c r="R1845" s="1">
        <v>-1.8100000000000002E-2</v>
      </c>
      <c r="S1845" s="1">
        <v>0</v>
      </c>
      <c r="T1845" s="1">
        <v>0.13320000000000001</v>
      </c>
      <c r="U1845" s="1">
        <v>-0.38</v>
      </c>
    </row>
    <row r="1846" spans="1:21" x14ac:dyDescent="0.25">
      <c r="A1846" t="s">
        <v>3856</v>
      </c>
      <c r="B1846" t="s">
        <v>3857</v>
      </c>
      <c r="C1846" t="s">
        <v>37</v>
      </c>
      <c r="D1846" t="s">
        <v>66</v>
      </c>
      <c r="E1846" t="s">
        <v>67</v>
      </c>
      <c r="F1846" t="str">
        <f t="shared" si="31"/>
        <v>2018-05-20</v>
      </c>
      <c r="G1846">
        <v>39.08</v>
      </c>
      <c r="H1846" t="str">
        <f>"2018-05-16"</f>
        <v>2018-05-16</v>
      </c>
      <c r="I1846" t="s">
        <v>57</v>
      </c>
      <c r="J1846" t="str">
        <f>"2017-08-07"</f>
        <v>2017-08-07</v>
      </c>
      <c r="K1846" t="s">
        <v>26</v>
      </c>
      <c r="L1846">
        <v>-2.90481758</v>
      </c>
      <c r="M1846">
        <v>1845</v>
      </c>
      <c r="N1846" s="1">
        <v>-1.83E-2</v>
      </c>
      <c r="O1846" s="1">
        <v>-0.4289</v>
      </c>
      <c r="P1846" s="1">
        <v>0.123</v>
      </c>
      <c r="Q1846" s="1">
        <v>3.5999999999999999E-3</v>
      </c>
      <c r="R1846" s="1">
        <v>2.9000000000000001E-2</v>
      </c>
      <c r="S1846" s="1">
        <v>-0.12790000000000001</v>
      </c>
      <c r="T1846" s="1">
        <v>-0.26690000000000003</v>
      </c>
      <c r="U1846" s="1">
        <v>-0.1651</v>
      </c>
    </row>
    <row r="1847" spans="1:21" x14ac:dyDescent="0.25">
      <c r="A1847" t="s">
        <v>3858</v>
      </c>
      <c r="B1847" t="s">
        <v>3859</v>
      </c>
      <c r="C1847" t="s">
        <v>23</v>
      </c>
      <c r="D1847" t="s">
        <v>173</v>
      </c>
      <c r="E1847" t="s">
        <v>1429</v>
      </c>
      <c r="F1847" t="str">
        <f t="shared" si="31"/>
        <v>2018-05-20</v>
      </c>
      <c r="G1847">
        <v>13.23</v>
      </c>
      <c r="H1847" t="str">
        <f>"2017-11-13"</f>
        <v>2017-11-13</v>
      </c>
      <c r="I1847" t="s">
        <v>57</v>
      </c>
      <c r="J1847" t="str">
        <f>"2017-05-17"</f>
        <v>2017-05-17</v>
      </c>
      <c r="K1847" t="s">
        <v>40</v>
      </c>
      <c r="L1847">
        <v>-2.90652819</v>
      </c>
      <c r="M1847">
        <v>1846</v>
      </c>
      <c r="N1847" s="1">
        <v>-7.2900000000000006E-2</v>
      </c>
      <c r="O1847" s="1">
        <v>-0.43919999999999998</v>
      </c>
      <c r="P1847" s="1">
        <v>0.22839999999999999</v>
      </c>
      <c r="Q1847" s="1">
        <v>9.9000000000000008E-3</v>
      </c>
      <c r="R1847" s="1">
        <v>4.6699999999999998E-2</v>
      </c>
      <c r="S1847" s="1">
        <v>0.16869999999999999</v>
      </c>
      <c r="T1847" s="1">
        <v>-0.14760000000000001</v>
      </c>
      <c r="U1847" s="1">
        <v>-0.24529999999999999</v>
      </c>
    </row>
    <row r="1848" spans="1:21" x14ac:dyDescent="0.25">
      <c r="A1848" t="s">
        <v>3860</v>
      </c>
      <c r="B1848" t="s">
        <v>3861</v>
      </c>
      <c r="C1848" t="s">
        <v>83</v>
      </c>
      <c r="D1848" t="s">
        <v>342</v>
      </c>
      <c r="E1848" t="s">
        <v>342</v>
      </c>
      <c r="F1848" t="str">
        <f t="shared" si="31"/>
        <v>2018-05-20</v>
      </c>
      <c r="G1848">
        <v>1.48</v>
      </c>
      <c r="H1848" t="str">
        <f>"2018-02-14"</f>
        <v>2018-02-14</v>
      </c>
      <c r="I1848" t="s">
        <v>57</v>
      </c>
      <c r="J1848" t="str">
        <f>"2017-12-03"</f>
        <v>2017-12-03</v>
      </c>
      <c r="K1848" t="s">
        <v>27</v>
      </c>
      <c r="L1848">
        <v>-2.90726817</v>
      </c>
      <c r="M1848">
        <v>1847</v>
      </c>
      <c r="N1848" s="1">
        <v>6.7999999999999996E-3</v>
      </c>
      <c r="O1848" s="1">
        <v>-0.44359999999999999</v>
      </c>
      <c r="P1848" s="1">
        <v>0.13850000000000001</v>
      </c>
      <c r="Q1848" s="1">
        <v>3.5000000000000003E-2</v>
      </c>
      <c r="R1848" s="1">
        <v>4.9599999999999998E-2</v>
      </c>
      <c r="S1848" s="1">
        <v>-2.3099999999999999E-2</v>
      </c>
      <c r="T1848" s="1">
        <v>-8.6400000000000005E-2</v>
      </c>
      <c r="U1848" s="1">
        <v>-0.69040000000000001</v>
      </c>
    </row>
    <row r="1849" spans="1:21" x14ac:dyDescent="0.25">
      <c r="A1849" t="s">
        <v>3862</v>
      </c>
      <c r="B1849" t="s">
        <v>3863</v>
      </c>
      <c r="C1849" t="s">
        <v>37</v>
      </c>
      <c r="D1849" t="s">
        <v>38</v>
      </c>
      <c r="E1849" t="s">
        <v>39</v>
      </c>
      <c r="F1849" t="str">
        <f t="shared" si="31"/>
        <v>2018-05-20</v>
      </c>
      <c r="G1849">
        <v>6.55</v>
      </c>
      <c r="H1849" t="str">
        <f>"2018-02-28"</f>
        <v>2018-02-28</v>
      </c>
      <c r="I1849" t="s">
        <v>57</v>
      </c>
      <c r="J1849" t="str">
        <f>"2016-08-29"</f>
        <v>2016-08-29</v>
      </c>
      <c r="K1849" t="s">
        <v>26</v>
      </c>
      <c r="L1849">
        <v>-2.9074074099999998</v>
      </c>
      <c r="M1849">
        <v>1848</v>
      </c>
      <c r="N1849" s="1">
        <v>3.4799999999999998E-2</v>
      </c>
      <c r="O1849" s="1">
        <v>-0.44440000000000002</v>
      </c>
      <c r="P1849" s="1">
        <v>0.20630000000000001</v>
      </c>
      <c r="Q1849" s="1">
        <v>1.0800000000000001E-2</v>
      </c>
      <c r="R1849" s="1">
        <v>1.7100000000000001E-2</v>
      </c>
      <c r="S1849" s="1">
        <v>8.2600000000000007E-2</v>
      </c>
      <c r="T1849" s="1">
        <v>-2.0899999999999998E-2</v>
      </c>
      <c r="U1849" s="1">
        <v>-0.26729999999999998</v>
      </c>
    </row>
    <row r="1850" spans="1:21" x14ac:dyDescent="0.25">
      <c r="A1850" t="s">
        <v>3864</v>
      </c>
      <c r="B1850" t="s">
        <v>3865</v>
      </c>
      <c r="C1850" t="s">
        <v>37</v>
      </c>
      <c r="D1850" t="s">
        <v>38</v>
      </c>
      <c r="E1850" t="s">
        <v>39</v>
      </c>
      <c r="F1850" t="str">
        <f t="shared" si="31"/>
        <v>2018-05-20</v>
      </c>
      <c r="G1850">
        <v>15.19</v>
      </c>
      <c r="H1850" t="str">
        <f>"2018-03-01"</f>
        <v>2018-03-01</v>
      </c>
      <c r="I1850" t="s">
        <v>57</v>
      </c>
      <c r="J1850" t="str">
        <f>"2018-01-29"</f>
        <v>2018-01-29</v>
      </c>
      <c r="K1850" t="s">
        <v>40</v>
      </c>
      <c r="L1850">
        <v>-2.9077381</v>
      </c>
      <c r="M1850">
        <v>1849</v>
      </c>
      <c r="N1850" s="1">
        <v>-0.1598</v>
      </c>
      <c r="O1850" s="1">
        <v>-0.44640000000000002</v>
      </c>
      <c r="P1850" s="1">
        <v>0.19889999999999999</v>
      </c>
      <c r="Q1850" s="1">
        <v>-2E-3</v>
      </c>
      <c r="R1850" s="1">
        <v>3.7600000000000001E-2</v>
      </c>
      <c r="S1850" s="1">
        <v>-0.14180000000000001</v>
      </c>
      <c r="T1850" s="1">
        <v>-0.17849999999999999</v>
      </c>
      <c r="U1850" s="1">
        <v>-0.44219999999999998</v>
      </c>
    </row>
    <row r="1851" spans="1:21" x14ac:dyDescent="0.25">
      <c r="A1851" t="s">
        <v>3866</v>
      </c>
      <c r="B1851" t="s">
        <v>3867</v>
      </c>
      <c r="C1851" t="s">
        <v>37</v>
      </c>
      <c r="D1851" t="s">
        <v>38</v>
      </c>
      <c r="E1851" t="s">
        <v>39</v>
      </c>
      <c r="F1851" t="str">
        <f t="shared" si="31"/>
        <v>2018-05-20</v>
      </c>
      <c r="G1851">
        <v>9.85</v>
      </c>
      <c r="H1851" t="str">
        <f>"2017-09-07"</f>
        <v>2017-09-07</v>
      </c>
      <c r="I1851" t="s">
        <v>57</v>
      </c>
      <c r="J1851" t="str">
        <f>"2017-09-05"</f>
        <v>2017-09-05</v>
      </c>
      <c r="K1851" t="s">
        <v>40</v>
      </c>
      <c r="L1851">
        <v>-2.9081841900000001</v>
      </c>
      <c r="M1851">
        <v>1850</v>
      </c>
      <c r="N1851" s="1">
        <v>-0.33079999999999998</v>
      </c>
      <c r="O1851" s="1">
        <v>-0.4491</v>
      </c>
      <c r="P1851" s="1">
        <v>0.26279999999999998</v>
      </c>
      <c r="Q1851" s="1">
        <v>-1.6E-2</v>
      </c>
      <c r="R1851" s="1">
        <v>-4.0000000000000001E-3</v>
      </c>
      <c r="S1851" s="1">
        <v>0.19389999999999999</v>
      </c>
      <c r="T1851" s="1">
        <v>0.14000000000000001</v>
      </c>
      <c r="U1851" s="1">
        <v>-0.32119999999999999</v>
      </c>
    </row>
    <row r="1852" spans="1:21" x14ac:dyDescent="0.25">
      <c r="A1852" t="s">
        <v>3868</v>
      </c>
      <c r="B1852" t="s">
        <v>3869</v>
      </c>
      <c r="C1852" t="s">
        <v>30</v>
      </c>
      <c r="D1852" t="s">
        <v>48</v>
      </c>
      <c r="E1852" t="s">
        <v>177</v>
      </c>
      <c r="F1852" t="str">
        <f t="shared" si="31"/>
        <v>2018-05-20</v>
      </c>
      <c r="G1852">
        <v>8.77</v>
      </c>
      <c r="H1852" t="str">
        <f>"2017-10-24"</f>
        <v>2017-10-24</v>
      </c>
      <c r="I1852" t="s">
        <v>57</v>
      </c>
      <c r="J1852" t="str">
        <f>"2017-07-24"</f>
        <v>2017-07-24</v>
      </c>
      <c r="K1852" t="s">
        <v>40</v>
      </c>
      <c r="L1852">
        <v>-2.9109283000000001</v>
      </c>
      <c r="M1852">
        <v>1851</v>
      </c>
      <c r="N1852" s="1">
        <v>-0.3528</v>
      </c>
      <c r="O1852" s="1">
        <v>-0.46560000000000001</v>
      </c>
      <c r="P1852" s="1">
        <v>0.1709</v>
      </c>
      <c r="Q1852" s="1">
        <v>4.5999999999999999E-3</v>
      </c>
      <c r="R1852" s="1">
        <v>1.7399999999999999E-2</v>
      </c>
      <c r="S1852" s="1">
        <v>6.8999999999999999E-3</v>
      </c>
      <c r="T1852" s="1">
        <v>-4.4699999999999997E-2</v>
      </c>
      <c r="U1852" s="1">
        <v>-0.44180000000000003</v>
      </c>
    </row>
    <row r="1853" spans="1:21" x14ac:dyDescent="0.25">
      <c r="A1853" t="s">
        <v>3870</v>
      </c>
      <c r="B1853" t="s">
        <v>3871</v>
      </c>
      <c r="C1853" t="s">
        <v>30</v>
      </c>
      <c r="D1853" t="s">
        <v>48</v>
      </c>
      <c r="E1853" t="s">
        <v>49</v>
      </c>
      <c r="F1853" t="str">
        <f t="shared" si="31"/>
        <v>2018-05-20</v>
      </c>
      <c r="G1853">
        <v>3.45</v>
      </c>
      <c r="H1853" t="str">
        <f>"2017-12-26"</f>
        <v>2017-12-26</v>
      </c>
      <c r="I1853" t="s">
        <v>57</v>
      </c>
      <c r="J1853" t="str">
        <f>"2017-08-23"</f>
        <v>2017-08-23</v>
      </c>
      <c r="K1853" t="s">
        <v>26</v>
      </c>
      <c r="L1853">
        <v>-2.9109907100000001</v>
      </c>
      <c r="M1853">
        <v>1852</v>
      </c>
      <c r="N1853" s="1">
        <v>-0.18049999999999999</v>
      </c>
      <c r="O1853" s="1">
        <v>-0.46589999999999998</v>
      </c>
      <c r="P1853" s="1">
        <v>0.3019</v>
      </c>
      <c r="Q1853" s="1">
        <v>1.17E-2</v>
      </c>
      <c r="R1853" s="1">
        <v>3.9199999999999999E-2</v>
      </c>
      <c r="S1853" s="1">
        <v>5.5E-2</v>
      </c>
      <c r="T1853" s="1">
        <v>5.5E-2</v>
      </c>
      <c r="U1853" s="1">
        <v>-0.4153</v>
      </c>
    </row>
    <row r="1854" spans="1:21" x14ac:dyDescent="0.25">
      <c r="A1854" t="s">
        <v>3872</v>
      </c>
      <c r="B1854" t="s">
        <v>3873</v>
      </c>
      <c r="C1854" t="s">
        <v>114</v>
      </c>
      <c r="D1854" t="s">
        <v>115</v>
      </c>
      <c r="E1854" t="s">
        <v>116</v>
      </c>
      <c r="F1854" t="str">
        <f t="shared" si="31"/>
        <v>2018-05-20</v>
      </c>
      <c r="G1854">
        <v>33.549999999999997</v>
      </c>
      <c r="H1854" t="str">
        <f>"2018-02-18"</f>
        <v>2018-02-18</v>
      </c>
      <c r="I1854" t="s">
        <v>57</v>
      </c>
      <c r="J1854" t="str">
        <f>"2018-01-07"</f>
        <v>2018-01-07</v>
      </c>
      <c r="K1854" t="s">
        <v>40</v>
      </c>
      <c r="L1854">
        <v>-2.91117289</v>
      </c>
      <c r="M1854">
        <v>1853</v>
      </c>
      <c r="N1854" s="1">
        <v>-0.21240000000000001</v>
      </c>
      <c r="O1854" s="1">
        <v>-0.46700000000000003</v>
      </c>
      <c r="P1854" s="1">
        <v>0.24490000000000001</v>
      </c>
      <c r="Q1854" s="1">
        <v>1.5100000000000001E-2</v>
      </c>
      <c r="R1854" s="1">
        <v>7.0199999999999999E-2</v>
      </c>
      <c r="S1854" s="1">
        <v>0.13730000000000001</v>
      </c>
      <c r="T1854" s="1">
        <v>-0.15909999999999999</v>
      </c>
      <c r="U1854" s="1">
        <v>-0.32290000000000002</v>
      </c>
    </row>
    <row r="1855" spans="1:21" x14ac:dyDescent="0.25">
      <c r="A1855" t="s">
        <v>3874</v>
      </c>
      <c r="B1855" t="s">
        <v>3875</v>
      </c>
      <c r="C1855" t="s">
        <v>37</v>
      </c>
      <c r="D1855" t="s">
        <v>38</v>
      </c>
      <c r="E1855" t="s">
        <v>39</v>
      </c>
      <c r="F1855" t="str">
        <f t="shared" si="31"/>
        <v>2018-05-20</v>
      </c>
      <c r="G1855">
        <v>10.42</v>
      </c>
      <c r="H1855" t="str">
        <f>"2018-04-18"</f>
        <v>2018-04-18</v>
      </c>
      <c r="I1855" t="s">
        <v>57</v>
      </c>
      <c r="J1855" t="str">
        <f>"2016-12-20"</f>
        <v>2016-12-20</v>
      </c>
      <c r="K1855" t="s">
        <v>26</v>
      </c>
      <c r="L1855">
        <v>-2.9117098800000001</v>
      </c>
      <c r="M1855">
        <v>1854</v>
      </c>
      <c r="N1855" s="1">
        <v>7.3099999999999998E-2</v>
      </c>
      <c r="O1855" s="1">
        <v>-0.4703</v>
      </c>
      <c r="P1855" s="1">
        <v>0.13880000000000001</v>
      </c>
      <c r="Q1855" s="1">
        <v>-2.1600000000000001E-2</v>
      </c>
      <c r="R1855" s="1">
        <v>-1E-3</v>
      </c>
      <c r="S1855" s="1">
        <v>0.12770000000000001</v>
      </c>
      <c r="T1855" s="1">
        <v>-0.30990000000000001</v>
      </c>
      <c r="U1855" s="1">
        <v>-0.252</v>
      </c>
    </row>
    <row r="1856" spans="1:21" x14ac:dyDescent="0.25">
      <c r="A1856" t="s">
        <v>3876</v>
      </c>
      <c r="B1856" t="s">
        <v>3877</v>
      </c>
      <c r="C1856" t="s">
        <v>37</v>
      </c>
      <c r="D1856" t="s">
        <v>38</v>
      </c>
      <c r="E1856" t="s">
        <v>97</v>
      </c>
      <c r="F1856" t="str">
        <f t="shared" si="31"/>
        <v>2018-05-20</v>
      </c>
      <c r="G1856">
        <v>3.42</v>
      </c>
      <c r="H1856" t="str">
        <f>"2018-02-13"</f>
        <v>2018-02-13</v>
      </c>
      <c r="I1856" t="s">
        <v>57</v>
      </c>
      <c r="J1856" t="str">
        <f>"2017-02-21"</f>
        <v>2017-02-21</v>
      </c>
      <c r="K1856" t="s">
        <v>26</v>
      </c>
      <c r="L1856">
        <v>-2.9117647099999999</v>
      </c>
      <c r="M1856">
        <v>1855</v>
      </c>
      <c r="N1856" s="1">
        <v>-9.0399999999999994E-2</v>
      </c>
      <c r="O1856" s="1">
        <v>-0.47060000000000002</v>
      </c>
      <c r="P1856" s="1">
        <v>0.1958</v>
      </c>
      <c r="Q1856" s="1">
        <v>-2.01E-2</v>
      </c>
      <c r="R1856" s="1">
        <v>7.5499999999999998E-2</v>
      </c>
      <c r="S1856" s="1">
        <v>5.5599999999999997E-2</v>
      </c>
      <c r="T1856" s="1">
        <v>-0.1429</v>
      </c>
      <c r="U1856" s="1">
        <v>-0.1857</v>
      </c>
    </row>
    <row r="1857" spans="1:21" x14ac:dyDescent="0.25">
      <c r="A1857" t="s">
        <v>3878</v>
      </c>
      <c r="B1857" t="s">
        <v>3879</v>
      </c>
      <c r="C1857" t="s">
        <v>87</v>
      </c>
      <c r="D1857" t="s">
        <v>88</v>
      </c>
      <c r="E1857" t="s">
        <v>89</v>
      </c>
      <c r="F1857" t="str">
        <f t="shared" si="31"/>
        <v>2018-05-20</v>
      </c>
      <c r="G1857">
        <v>0.72</v>
      </c>
      <c r="H1857" t="str">
        <f>"2018-04-10"</f>
        <v>2018-04-10</v>
      </c>
      <c r="I1857" t="s">
        <v>57</v>
      </c>
      <c r="J1857" t="str">
        <f>"2018-01-08"</f>
        <v>2018-01-08</v>
      </c>
      <c r="K1857" t="s">
        <v>26</v>
      </c>
      <c r="L1857">
        <v>-2.9124087599999999</v>
      </c>
      <c r="M1857">
        <v>1856</v>
      </c>
      <c r="N1857" s="1">
        <v>8.4699999999999998E-2</v>
      </c>
      <c r="O1857" s="1">
        <v>-0.47449999999999998</v>
      </c>
      <c r="P1857" s="1">
        <v>0.1817</v>
      </c>
      <c r="Q1857" s="1">
        <v>-5.0099999999999999E-2</v>
      </c>
      <c r="R1857" s="1">
        <v>-5.21E-2</v>
      </c>
      <c r="S1857" s="1">
        <v>1.2999999999999999E-3</v>
      </c>
      <c r="T1857" s="1">
        <v>-7.9200000000000007E-2</v>
      </c>
      <c r="U1857" s="1">
        <v>-0.40500000000000003</v>
      </c>
    </row>
    <row r="1858" spans="1:21" x14ac:dyDescent="0.25">
      <c r="A1858" t="s">
        <v>3880</v>
      </c>
      <c r="B1858" t="s">
        <v>3881</v>
      </c>
      <c r="C1858" t="s">
        <v>100</v>
      </c>
      <c r="D1858" t="s">
        <v>101</v>
      </c>
      <c r="E1858" t="s">
        <v>102</v>
      </c>
      <c r="F1858" t="str">
        <f t="shared" si="31"/>
        <v>2018-05-20</v>
      </c>
      <c r="G1858">
        <v>26.25</v>
      </c>
      <c r="H1858" t="str">
        <f>"2018-03-26"</f>
        <v>2018-03-26</v>
      </c>
      <c r="I1858" t="s">
        <v>57</v>
      </c>
      <c r="J1858" t="str">
        <f>"2018-01-09"</f>
        <v>2018-01-09</v>
      </c>
      <c r="K1858" t="s">
        <v>27</v>
      </c>
      <c r="L1858">
        <v>-2.9130218700000001</v>
      </c>
      <c r="M1858">
        <v>1857</v>
      </c>
      <c r="N1858" s="1">
        <v>-0.31990000000000002</v>
      </c>
      <c r="O1858" s="1">
        <v>-0.47810000000000002</v>
      </c>
      <c r="P1858" s="1">
        <v>0.14130000000000001</v>
      </c>
      <c r="Q1858" s="1">
        <v>1.35E-2</v>
      </c>
      <c r="R1858" s="1">
        <v>2.9399999999999999E-2</v>
      </c>
      <c r="S1858" s="1">
        <v>7.3599999999999999E-2</v>
      </c>
      <c r="T1858" s="1">
        <v>-0.31369999999999998</v>
      </c>
      <c r="U1858" s="1">
        <v>-0.42749999999999999</v>
      </c>
    </row>
    <row r="1859" spans="1:21" x14ac:dyDescent="0.25">
      <c r="A1859" t="s">
        <v>3882</v>
      </c>
      <c r="B1859" t="s">
        <v>3883</v>
      </c>
      <c r="C1859" t="s">
        <v>37</v>
      </c>
      <c r="D1859" t="s">
        <v>38</v>
      </c>
      <c r="E1859" t="s">
        <v>39</v>
      </c>
      <c r="F1859" t="str">
        <f t="shared" si="31"/>
        <v>2018-05-20</v>
      </c>
      <c r="G1859">
        <v>3.76</v>
      </c>
      <c r="H1859" t="str">
        <f>"2018-05-20"</f>
        <v>2018-05-20</v>
      </c>
      <c r="I1859" t="s">
        <v>57</v>
      </c>
      <c r="J1859" t="str">
        <f>"2018-03-11"</f>
        <v>2018-03-11</v>
      </c>
      <c r="K1859" t="s">
        <v>26</v>
      </c>
      <c r="L1859">
        <v>-2.9138010099999998</v>
      </c>
      <c r="M1859">
        <v>1858</v>
      </c>
      <c r="N1859" s="1">
        <v>-1.83E-2</v>
      </c>
      <c r="O1859" s="1">
        <v>-0.48280000000000001</v>
      </c>
      <c r="P1859" s="1">
        <v>0.1394</v>
      </c>
      <c r="Q1859" s="1">
        <v>-1.83E-2</v>
      </c>
      <c r="R1859" s="1">
        <v>-3.3399999999999999E-2</v>
      </c>
      <c r="S1859" s="1">
        <v>8.0500000000000002E-2</v>
      </c>
      <c r="T1859" s="1">
        <v>-0.29320000000000002</v>
      </c>
      <c r="U1859" s="1">
        <v>-0.29060000000000002</v>
      </c>
    </row>
    <row r="1860" spans="1:21" x14ac:dyDescent="0.25">
      <c r="A1860" t="s">
        <v>3884</v>
      </c>
      <c r="B1860" t="s">
        <v>3885</v>
      </c>
      <c r="C1860" t="s">
        <v>30</v>
      </c>
      <c r="D1860" t="s">
        <v>299</v>
      </c>
      <c r="E1860" t="s">
        <v>2289</v>
      </c>
      <c r="F1860" t="str">
        <f t="shared" si="31"/>
        <v>2018-05-20</v>
      </c>
      <c r="G1860">
        <v>4.54</v>
      </c>
      <c r="H1860" t="str">
        <f>"2017-10-08"</f>
        <v>2017-10-08</v>
      </c>
      <c r="I1860" t="s">
        <v>57</v>
      </c>
      <c r="J1860" t="str">
        <f>"2017-09-17"</f>
        <v>2017-09-17</v>
      </c>
      <c r="K1860" t="s">
        <v>27</v>
      </c>
      <c r="L1860">
        <v>-2.91430729</v>
      </c>
      <c r="M1860">
        <v>1859</v>
      </c>
      <c r="N1860" s="1">
        <v>-0.4627</v>
      </c>
      <c r="O1860" s="1">
        <v>-0.48580000000000001</v>
      </c>
      <c r="P1860" s="1">
        <v>0.1792</v>
      </c>
      <c r="Q1860" s="1">
        <v>2.2499999999999999E-2</v>
      </c>
      <c r="R1860" s="1">
        <v>6.5699999999999995E-2</v>
      </c>
      <c r="S1860" s="1">
        <v>0.1792</v>
      </c>
      <c r="T1860" s="1">
        <v>-7.9100000000000004E-2</v>
      </c>
      <c r="U1860" s="1">
        <v>-0.4042</v>
      </c>
    </row>
    <row r="1861" spans="1:21" x14ac:dyDescent="0.25">
      <c r="A1861" t="s">
        <v>3886</v>
      </c>
      <c r="B1861" t="s">
        <v>3887</v>
      </c>
      <c r="C1861" t="s">
        <v>37</v>
      </c>
      <c r="D1861" t="s">
        <v>38</v>
      </c>
      <c r="E1861" t="s">
        <v>39</v>
      </c>
      <c r="F1861" t="str">
        <f t="shared" si="31"/>
        <v>2018-05-20</v>
      </c>
      <c r="G1861">
        <v>8.65</v>
      </c>
      <c r="H1861" t="str">
        <f>"2017-12-26"</f>
        <v>2017-12-26</v>
      </c>
      <c r="I1861" t="s">
        <v>57</v>
      </c>
      <c r="J1861" t="str">
        <f>"2016-05-25"</f>
        <v>2016-05-25</v>
      </c>
      <c r="K1861" t="s">
        <v>26</v>
      </c>
      <c r="L1861">
        <v>-2.9151960799999999</v>
      </c>
      <c r="M1861">
        <v>1860</v>
      </c>
      <c r="N1861" s="1">
        <v>2.3699999999999999E-2</v>
      </c>
      <c r="O1861" s="1">
        <v>-0.49120000000000003</v>
      </c>
      <c r="P1861" s="1">
        <v>0.25359999999999999</v>
      </c>
      <c r="Q1861" s="1">
        <v>-5.4600000000000003E-2</v>
      </c>
      <c r="R1861" s="1">
        <v>-7.4899999999999994E-2</v>
      </c>
      <c r="S1861" s="1">
        <v>0.2014</v>
      </c>
      <c r="T1861" s="1">
        <v>9.4899999999999998E-2</v>
      </c>
      <c r="U1861" s="1">
        <v>-0.39300000000000002</v>
      </c>
    </row>
    <row r="1862" spans="1:21" x14ac:dyDescent="0.25">
      <c r="A1862" t="s">
        <v>3888</v>
      </c>
      <c r="B1862" t="s">
        <v>3889</v>
      </c>
      <c r="C1862" t="s">
        <v>37</v>
      </c>
      <c r="D1862" t="s">
        <v>38</v>
      </c>
      <c r="E1862" t="s">
        <v>39</v>
      </c>
      <c r="F1862" t="str">
        <f t="shared" si="31"/>
        <v>2018-05-20</v>
      </c>
      <c r="G1862">
        <v>2.63</v>
      </c>
      <c r="H1862" t="str">
        <f>"2017-11-20"</f>
        <v>2017-11-20</v>
      </c>
      <c r="I1862" t="s">
        <v>57</v>
      </c>
      <c r="J1862" t="str">
        <f>"2017-10-04"</f>
        <v>2017-10-04</v>
      </c>
      <c r="K1862" t="s">
        <v>26</v>
      </c>
      <c r="L1862">
        <v>-2.9152159900000001</v>
      </c>
      <c r="M1862">
        <v>1861</v>
      </c>
      <c r="N1862" s="1">
        <v>-0.14050000000000001</v>
      </c>
      <c r="O1862" s="1">
        <v>-0.49130000000000001</v>
      </c>
      <c r="P1862" s="1">
        <v>0.28289999999999998</v>
      </c>
      <c r="Q1862" s="1">
        <v>7.7000000000000002E-3</v>
      </c>
      <c r="R1862" s="1">
        <v>8.6800000000000002E-2</v>
      </c>
      <c r="S1862" s="1">
        <v>2.7300000000000001E-2</v>
      </c>
      <c r="T1862" s="1">
        <v>3.5400000000000001E-2</v>
      </c>
      <c r="U1862" s="1">
        <v>-0.31330000000000002</v>
      </c>
    </row>
    <row r="1863" spans="1:21" x14ac:dyDescent="0.25">
      <c r="A1863" t="s">
        <v>3890</v>
      </c>
      <c r="B1863" t="s">
        <v>3891</v>
      </c>
      <c r="C1863" t="s">
        <v>37</v>
      </c>
      <c r="D1863" t="s">
        <v>38</v>
      </c>
      <c r="E1863" t="s">
        <v>39</v>
      </c>
      <c r="F1863" t="str">
        <f t="shared" si="31"/>
        <v>2018-05-20</v>
      </c>
      <c r="G1863">
        <v>49.74</v>
      </c>
      <c r="H1863" t="str">
        <f>"2018-02-08"</f>
        <v>2018-02-08</v>
      </c>
      <c r="I1863" t="s">
        <v>57</v>
      </c>
      <c r="J1863" t="str">
        <f>"2017-11-08"</f>
        <v>2017-11-08</v>
      </c>
      <c r="K1863" t="s">
        <v>40</v>
      </c>
      <c r="L1863">
        <v>-2.91542542</v>
      </c>
      <c r="M1863">
        <v>1862</v>
      </c>
      <c r="N1863" s="1">
        <v>-7.6E-3</v>
      </c>
      <c r="O1863" s="1">
        <v>-0.49259999999999998</v>
      </c>
      <c r="P1863" s="1">
        <v>0.1673</v>
      </c>
      <c r="Q1863" s="1">
        <v>-7.0000000000000001E-3</v>
      </c>
      <c r="R1863" s="1">
        <v>-5.5999999999999999E-3</v>
      </c>
      <c r="S1863" s="1">
        <v>2.8500000000000001E-2</v>
      </c>
      <c r="T1863" s="1">
        <v>-0.10390000000000001</v>
      </c>
      <c r="U1863" s="1">
        <v>-8.6300000000000002E-2</v>
      </c>
    </row>
    <row r="1864" spans="1:21" x14ac:dyDescent="0.25">
      <c r="A1864" t="s">
        <v>3892</v>
      </c>
      <c r="B1864" t="s">
        <v>3893</v>
      </c>
      <c r="C1864" t="s">
        <v>114</v>
      </c>
      <c r="D1864" t="s">
        <v>254</v>
      </c>
      <c r="E1864" t="s">
        <v>327</v>
      </c>
      <c r="F1864" t="str">
        <f t="shared" si="31"/>
        <v>2018-05-20</v>
      </c>
      <c r="G1864">
        <v>6.59</v>
      </c>
      <c r="H1864" t="str">
        <f>"2018-01-16"</f>
        <v>2018-01-16</v>
      </c>
      <c r="I1864" t="s">
        <v>57</v>
      </c>
      <c r="J1864" t="str">
        <f>"2017-07-11"</f>
        <v>2017-07-11</v>
      </c>
      <c r="K1864" t="s">
        <v>40</v>
      </c>
      <c r="L1864">
        <v>-2.91551282</v>
      </c>
      <c r="M1864">
        <v>1863</v>
      </c>
      <c r="N1864" s="1">
        <v>3.4500000000000003E-2</v>
      </c>
      <c r="O1864" s="1">
        <v>-0.49309999999999998</v>
      </c>
      <c r="P1864" s="1">
        <v>0.3422</v>
      </c>
      <c r="Q1864" s="1">
        <v>3.1300000000000001E-2</v>
      </c>
      <c r="R1864" s="1">
        <v>-4.7699999999999999E-2</v>
      </c>
      <c r="S1864" s="1">
        <v>0.2722</v>
      </c>
      <c r="T1864" s="1">
        <v>8.3900000000000002E-2</v>
      </c>
      <c r="U1864" s="1">
        <v>-0.34360000000000002</v>
      </c>
    </row>
    <row r="1865" spans="1:21" x14ac:dyDescent="0.25">
      <c r="A1865" t="s">
        <v>3894</v>
      </c>
      <c r="B1865" t="s">
        <v>3895</v>
      </c>
      <c r="C1865" t="s">
        <v>109</v>
      </c>
      <c r="D1865" t="s">
        <v>110</v>
      </c>
      <c r="E1865" t="s">
        <v>732</v>
      </c>
      <c r="F1865" t="str">
        <f t="shared" si="31"/>
        <v>2018-05-20</v>
      </c>
      <c r="G1865">
        <v>3.18</v>
      </c>
      <c r="H1865" t="str">
        <f>"2017-07-27"</f>
        <v>2017-07-27</v>
      </c>
      <c r="I1865" t="s">
        <v>57</v>
      </c>
      <c r="J1865" t="str">
        <f>"2017-03-07"</f>
        <v>2017-03-07</v>
      </c>
      <c r="K1865" t="s">
        <v>26</v>
      </c>
      <c r="L1865">
        <v>-2.91600634</v>
      </c>
      <c r="M1865">
        <v>1864</v>
      </c>
      <c r="N1865" s="1">
        <v>-0.37280000000000002</v>
      </c>
      <c r="O1865" s="1">
        <v>-0.496</v>
      </c>
      <c r="P1865" s="1">
        <v>0.70050000000000001</v>
      </c>
      <c r="Q1865" s="1">
        <v>-2.1499999999999998E-2</v>
      </c>
      <c r="R1865" s="1">
        <v>0.1158</v>
      </c>
      <c r="S1865" s="1">
        <v>0.33050000000000002</v>
      </c>
      <c r="T1865" s="1">
        <v>0.2326</v>
      </c>
      <c r="U1865" s="1">
        <v>-0.31759999999999999</v>
      </c>
    </row>
    <row r="1866" spans="1:21" x14ac:dyDescent="0.25">
      <c r="A1866" t="s">
        <v>3896</v>
      </c>
      <c r="B1866" t="s">
        <v>3897</v>
      </c>
      <c r="C1866" t="s">
        <v>37</v>
      </c>
      <c r="D1866" t="s">
        <v>38</v>
      </c>
      <c r="E1866" t="s">
        <v>39</v>
      </c>
      <c r="F1866" t="str">
        <f t="shared" si="31"/>
        <v>2018-05-20</v>
      </c>
      <c r="G1866">
        <v>11.96</v>
      </c>
      <c r="H1866" t="str">
        <f>"2018-01-17"</f>
        <v>2018-01-17</v>
      </c>
      <c r="I1866" t="s">
        <v>57</v>
      </c>
      <c r="J1866" t="str">
        <f>"2017-07-13"</f>
        <v>2017-07-13</v>
      </c>
      <c r="K1866" t="s">
        <v>26</v>
      </c>
      <c r="L1866">
        <v>-2.9160701800000002</v>
      </c>
      <c r="M1866">
        <v>1865</v>
      </c>
      <c r="N1866" s="1">
        <v>0.10539999999999999</v>
      </c>
      <c r="O1866" s="1">
        <v>-0.49640000000000001</v>
      </c>
      <c r="P1866" s="1">
        <v>0.41539999999999999</v>
      </c>
      <c r="Q1866" s="1">
        <v>-3.1600000000000003E-2</v>
      </c>
      <c r="R1866" s="1">
        <v>-7.0699999999999999E-2</v>
      </c>
      <c r="S1866" s="1">
        <v>-2.53E-2</v>
      </c>
      <c r="T1866" s="1">
        <v>8.6300000000000002E-2</v>
      </c>
      <c r="U1866" s="1">
        <v>-0.26979999999999998</v>
      </c>
    </row>
    <row r="1867" spans="1:21" x14ac:dyDescent="0.25">
      <c r="A1867" t="s">
        <v>3898</v>
      </c>
      <c r="B1867" t="s">
        <v>3899</v>
      </c>
      <c r="C1867" t="s">
        <v>43</v>
      </c>
      <c r="D1867" t="s">
        <v>150</v>
      </c>
      <c r="E1867" t="s">
        <v>151</v>
      </c>
      <c r="F1867" t="str">
        <f t="shared" si="31"/>
        <v>2018-05-20</v>
      </c>
      <c r="G1867">
        <v>2.59</v>
      </c>
      <c r="H1867" t="str">
        <f>"2018-05-09"</f>
        <v>2018-05-09</v>
      </c>
      <c r="I1867" t="s">
        <v>57</v>
      </c>
      <c r="J1867" t="str">
        <f>"2018-03-11"</f>
        <v>2018-03-11</v>
      </c>
      <c r="K1867" t="s">
        <v>26</v>
      </c>
      <c r="L1867">
        <v>-2.91644295</v>
      </c>
      <c r="M1867">
        <v>1866</v>
      </c>
      <c r="N1867" s="1">
        <v>-3.7199999999999997E-2</v>
      </c>
      <c r="O1867" s="1">
        <v>-0.49869999999999998</v>
      </c>
      <c r="P1867" s="1">
        <v>0.13600000000000001</v>
      </c>
      <c r="Q1867" s="1">
        <v>1.17E-2</v>
      </c>
      <c r="R1867" s="1">
        <v>-8.7999999999999995E-2</v>
      </c>
      <c r="S1867" s="1">
        <v>4.8599999999999997E-2</v>
      </c>
      <c r="T1867" s="1">
        <v>-0.53349999999999997</v>
      </c>
      <c r="U1867" s="1">
        <v>-0.69830000000000003</v>
      </c>
    </row>
    <row r="1868" spans="1:21" x14ac:dyDescent="0.25">
      <c r="A1868" t="s">
        <v>3900</v>
      </c>
      <c r="B1868" t="s">
        <v>3901</v>
      </c>
      <c r="C1868" t="s">
        <v>37</v>
      </c>
      <c r="D1868" t="s">
        <v>38</v>
      </c>
      <c r="E1868" t="s">
        <v>39</v>
      </c>
      <c r="F1868" t="str">
        <f t="shared" si="31"/>
        <v>2018-05-20</v>
      </c>
      <c r="G1868">
        <v>6.54</v>
      </c>
      <c r="H1868" t="str">
        <f>"2018-03-18"</f>
        <v>2018-03-18</v>
      </c>
      <c r="I1868" t="s">
        <v>57</v>
      </c>
      <c r="J1868" t="str">
        <f>"2018-01-02"</f>
        <v>2018-01-02</v>
      </c>
      <c r="K1868" t="s">
        <v>27</v>
      </c>
      <c r="L1868">
        <v>-2.91853513</v>
      </c>
      <c r="M1868">
        <v>1867</v>
      </c>
      <c r="N1868" s="1">
        <v>1.55E-2</v>
      </c>
      <c r="O1868" s="1">
        <v>-0.51119999999999999</v>
      </c>
      <c r="P1868" s="1">
        <v>0.13539999999999999</v>
      </c>
      <c r="Q1868" s="1">
        <v>-5.8999999999999997E-2</v>
      </c>
      <c r="R1868" s="1">
        <v>-0.1114</v>
      </c>
      <c r="S1868" s="1">
        <v>-7.0999999999999994E-2</v>
      </c>
      <c r="T1868" s="1">
        <v>-0.19059999999999999</v>
      </c>
      <c r="U1868" s="1">
        <v>-0.50529999999999997</v>
      </c>
    </row>
    <row r="1869" spans="1:21" x14ac:dyDescent="0.25">
      <c r="A1869" t="s">
        <v>3902</v>
      </c>
      <c r="B1869" t="s">
        <v>3903</v>
      </c>
      <c r="C1869" t="s">
        <v>43</v>
      </c>
      <c r="D1869" t="s">
        <v>374</v>
      </c>
      <c r="E1869" t="s">
        <v>375</v>
      </c>
      <c r="F1869" t="str">
        <f t="shared" ref="F1869:F1914" si="32">"2018-05-20"</f>
        <v>2018-05-20</v>
      </c>
      <c r="G1869">
        <v>11.67</v>
      </c>
      <c r="H1869" t="str">
        <f>"2017-08-29"</f>
        <v>2017-08-29</v>
      </c>
      <c r="I1869" t="s">
        <v>57</v>
      </c>
      <c r="J1869" t="str">
        <f>"2017-06-20"</f>
        <v>2017-06-20</v>
      </c>
      <c r="K1869" t="s">
        <v>26</v>
      </c>
      <c r="L1869">
        <v>-2.91875522</v>
      </c>
      <c r="M1869">
        <v>1868</v>
      </c>
      <c r="N1869" s="1">
        <v>-0.31269999999999998</v>
      </c>
      <c r="O1869" s="1">
        <v>-0.51249999999999996</v>
      </c>
      <c r="P1869" s="1">
        <v>0.29670000000000002</v>
      </c>
      <c r="Q1869" s="1">
        <v>1.66E-2</v>
      </c>
      <c r="R1869" s="1">
        <v>3.9199999999999999E-2</v>
      </c>
      <c r="S1869" s="1">
        <v>2.5499999999999998E-2</v>
      </c>
      <c r="T1869" s="1">
        <v>0.2019</v>
      </c>
      <c r="U1869" s="1">
        <v>-0.4839</v>
      </c>
    </row>
    <row r="1870" spans="1:21" x14ac:dyDescent="0.25">
      <c r="A1870" t="s">
        <v>3904</v>
      </c>
      <c r="B1870" t="s">
        <v>3905</v>
      </c>
      <c r="C1870" t="s">
        <v>109</v>
      </c>
      <c r="D1870" t="s">
        <v>156</v>
      </c>
      <c r="E1870" t="s">
        <v>284</v>
      </c>
      <c r="F1870" t="str">
        <f t="shared" si="32"/>
        <v>2018-05-20</v>
      </c>
      <c r="G1870">
        <v>17.079999999999998</v>
      </c>
      <c r="H1870" t="str">
        <f>"2017-10-04"</f>
        <v>2017-10-04</v>
      </c>
      <c r="I1870" t="s">
        <v>57</v>
      </c>
      <c r="J1870" t="str">
        <f>"2016-03-22"</f>
        <v>2016-03-22</v>
      </c>
      <c r="K1870" t="s">
        <v>26</v>
      </c>
      <c r="L1870">
        <v>-2.9209478799999999</v>
      </c>
      <c r="M1870">
        <v>1869</v>
      </c>
      <c r="N1870" s="1">
        <v>-0.22919999999999999</v>
      </c>
      <c r="O1870" s="1">
        <v>-0.52569999999999995</v>
      </c>
      <c r="P1870" s="1">
        <v>0.1643</v>
      </c>
      <c r="Q1870" s="1">
        <v>3.1399999999999997E-2</v>
      </c>
      <c r="R1870" s="1">
        <v>2.4E-2</v>
      </c>
      <c r="S1870" s="1">
        <v>9.5600000000000004E-2</v>
      </c>
      <c r="T1870" s="1">
        <v>-6.6199999999999995E-2</v>
      </c>
      <c r="U1870" s="1">
        <v>-0.34279999999999999</v>
      </c>
    </row>
    <row r="1871" spans="1:21" x14ac:dyDescent="0.25">
      <c r="A1871" t="s">
        <v>3906</v>
      </c>
      <c r="B1871" t="s">
        <v>3907</v>
      </c>
      <c r="C1871" t="s">
        <v>114</v>
      </c>
      <c r="D1871" t="s">
        <v>254</v>
      </c>
      <c r="E1871" t="s">
        <v>255</v>
      </c>
      <c r="F1871" t="str">
        <f t="shared" si="32"/>
        <v>2018-05-20</v>
      </c>
      <c r="G1871">
        <v>5.46</v>
      </c>
      <c r="H1871" t="str">
        <f>"2017-12-31"</f>
        <v>2017-12-31</v>
      </c>
      <c r="I1871" t="s">
        <v>57</v>
      </c>
      <c r="J1871" t="str">
        <f>"2017-12-26"</f>
        <v>2017-12-26</v>
      </c>
      <c r="K1871" t="s">
        <v>40</v>
      </c>
      <c r="L1871">
        <v>-2.9221556899999999</v>
      </c>
      <c r="M1871">
        <v>1870</v>
      </c>
      <c r="N1871" s="1">
        <v>-0.2787</v>
      </c>
      <c r="O1871" s="1">
        <v>-0.53290000000000004</v>
      </c>
      <c r="P1871" s="1">
        <v>0.20530000000000001</v>
      </c>
      <c r="Q1871" s="1">
        <v>7.4000000000000003E-3</v>
      </c>
      <c r="R1871" s="1">
        <v>-3.3599999999999998E-2</v>
      </c>
      <c r="S1871" s="1">
        <v>0.1351</v>
      </c>
      <c r="T1871" s="1">
        <v>-3.3599999999999998E-2</v>
      </c>
      <c r="U1871" s="1">
        <v>-0.38369999999999999</v>
      </c>
    </row>
    <row r="1872" spans="1:21" x14ac:dyDescent="0.25">
      <c r="A1872" t="s">
        <v>3908</v>
      </c>
      <c r="B1872" t="s">
        <v>3909</v>
      </c>
      <c r="C1872" t="s">
        <v>23</v>
      </c>
      <c r="D1872" t="s">
        <v>411</v>
      </c>
      <c r="E1872" t="s">
        <v>412</v>
      </c>
      <c r="F1872" t="str">
        <f t="shared" si="32"/>
        <v>2018-05-20</v>
      </c>
      <c r="G1872">
        <v>16.649999999999999</v>
      </c>
      <c r="H1872" t="str">
        <f>"2017-01-11"</f>
        <v>2017-01-11</v>
      </c>
      <c r="I1872" t="s">
        <v>57</v>
      </c>
      <c r="J1872" t="str">
        <f>"2016-12-19"</f>
        <v>2016-12-19</v>
      </c>
      <c r="K1872" t="s">
        <v>27</v>
      </c>
      <c r="L1872">
        <v>-2.9224210199999998</v>
      </c>
      <c r="M1872">
        <v>1871</v>
      </c>
      <c r="N1872" s="1">
        <v>-0.46310000000000001</v>
      </c>
      <c r="O1872" s="1">
        <v>-0.53449999999999998</v>
      </c>
      <c r="P1872" s="1">
        <v>0.2127</v>
      </c>
      <c r="Q1872" s="1">
        <v>2.8400000000000002E-2</v>
      </c>
      <c r="R1872" s="1">
        <v>1.2800000000000001E-2</v>
      </c>
      <c r="S1872" s="1">
        <v>0.13730000000000001</v>
      </c>
      <c r="T1872" s="1">
        <v>0.19270000000000001</v>
      </c>
      <c r="U1872" s="1">
        <v>-0.4083</v>
      </c>
    </row>
    <row r="1873" spans="1:21" x14ac:dyDescent="0.25">
      <c r="A1873" t="s">
        <v>3910</v>
      </c>
      <c r="B1873" t="s">
        <v>3911</v>
      </c>
      <c r="C1873" t="s">
        <v>37</v>
      </c>
      <c r="D1873" t="s">
        <v>38</v>
      </c>
      <c r="E1873" t="s">
        <v>97</v>
      </c>
      <c r="F1873" t="str">
        <f t="shared" si="32"/>
        <v>2018-05-20</v>
      </c>
      <c r="G1873">
        <v>3.56</v>
      </c>
      <c r="H1873" t="str">
        <f>"2018-01-31"</f>
        <v>2018-01-31</v>
      </c>
      <c r="I1873" t="s">
        <v>57</v>
      </c>
      <c r="J1873" t="str">
        <f>"2017-11-01"</f>
        <v>2017-11-01</v>
      </c>
      <c r="K1873" t="s">
        <v>40</v>
      </c>
      <c r="L1873">
        <v>-2.9239316199999998</v>
      </c>
      <c r="M1873">
        <v>1872</v>
      </c>
      <c r="N1873" s="1">
        <v>-0.39040000000000002</v>
      </c>
      <c r="O1873" s="1">
        <v>-0.54359999999999997</v>
      </c>
      <c r="P1873" s="1">
        <v>0.71150000000000002</v>
      </c>
      <c r="Q1873" s="1">
        <v>-0.03</v>
      </c>
      <c r="R1873" s="1">
        <v>-3.78E-2</v>
      </c>
      <c r="S1873" s="1">
        <v>0.123</v>
      </c>
      <c r="T1873" s="1">
        <v>0.2404</v>
      </c>
      <c r="U1873" s="1">
        <v>-0.51559999999999995</v>
      </c>
    </row>
    <row r="1874" spans="1:21" x14ac:dyDescent="0.25">
      <c r="A1874" t="s">
        <v>3912</v>
      </c>
      <c r="B1874" t="s">
        <v>3913</v>
      </c>
      <c r="C1874" t="s">
        <v>37</v>
      </c>
      <c r="D1874" t="s">
        <v>66</v>
      </c>
      <c r="E1874" t="s">
        <v>67</v>
      </c>
      <c r="F1874" t="str">
        <f t="shared" si="32"/>
        <v>2018-05-20</v>
      </c>
      <c r="G1874">
        <v>16.72</v>
      </c>
      <c r="H1874" t="str">
        <f>"2017-05-31"</f>
        <v>2017-05-31</v>
      </c>
      <c r="I1874" t="s">
        <v>57</v>
      </c>
      <c r="J1874" t="str">
        <f>"2017-05-30"</f>
        <v>2017-05-30</v>
      </c>
      <c r="K1874" t="s">
        <v>40</v>
      </c>
      <c r="L1874">
        <v>-2.9240069100000001</v>
      </c>
      <c r="M1874">
        <v>1873</v>
      </c>
      <c r="N1874" s="1">
        <v>-0.47549999999999998</v>
      </c>
      <c r="O1874" s="1">
        <v>-0.54400000000000004</v>
      </c>
      <c r="P1874" s="1">
        <v>0.1191</v>
      </c>
      <c r="Q1874" s="1">
        <v>-4.1999999999999997E-3</v>
      </c>
      <c r="R1874" s="1">
        <v>3.0200000000000001E-2</v>
      </c>
      <c r="S1874" s="1">
        <v>0.1147</v>
      </c>
      <c r="T1874" s="1">
        <v>1.5800000000000002E-2</v>
      </c>
      <c r="U1874" s="1">
        <v>-0.47770000000000001</v>
      </c>
    </row>
    <row r="1875" spans="1:21" x14ac:dyDescent="0.25">
      <c r="A1875" t="s">
        <v>3914</v>
      </c>
      <c r="B1875" t="s">
        <v>3915</v>
      </c>
      <c r="C1875" t="s">
        <v>114</v>
      </c>
      <c r="D1875" t="s">
        <v>115</v>
      </c>
      <c r="E1875" t="s">
        <v>116</v>
      </c>
      <c r="F1875" t="str">
        <f t="shared" si="32"/>
        <v>2018-05-20</v>
      </c>
      <c r="G1875">
        <v>9.7899999999999991</v>
      </c>
      <c r="H1875" t="str">
        <f>"2017-08-08"</f>
        <v>2017-08-08</v>
      </c>
      <c r="I1875" t="s">
        <v>57</v>
      </c>
      <c r="J1875" t="str">
        <f>"2017-05-08"</f>
        <v>2017-05-08</v>
      </c>
      <c r="K1875" t="s">
        <v>40</v>
      </c>
      <c r="L1875">
        <v>-2.9258333300000001</v>
      </c>
      <c r="M1875">
        <v>1874</v>
      </c>
      <c r="N1875" s="1">
        <v>-0.17449999999999999</v>
      </c>
      <c r="O1875" s="1">
        <v>-0.55500000000000005</v>
      </c>
      <c r="P1875" s="1">
        <v>0.19980000000000001</v>
      </c>
      <c r="Q1875" s="1">
        <v>-2.6800000000000001E-2</v>
      </c>
      <c r="R1875" s="1">
        <v>-2.3900000000000001E-2</v>
      </c>
      <c r="S1875" s="1">
        <v>0.15040000000000001</v>
      </c>
      <c r="T1875" s="1">
        <v>0.11119999999999999</v>
      </c>
      <c r="U1875" s="1">
        <v>-0.46410000000000001</v>
      </c>
    </row>
    <row r="1876" spans="1:21" x14ac:dyDescent="0.25">
      <c r="A1876" t="s">
        <v>3916</v>
      </c>
      <c r="B1876" t="s">
        <v>3917</v>
      </c>
      <c r="C1876" t="s">
        <v>114</v>
      </c>
      <c r="D1876" t="s">
        <v>254</v>
      </c>
      <c r="E1876" t="s">
        <v>3241</v>
      </c>
      <c r="F1876" t="str">
        <f t="shared" si="32"/>
        <v>2018-05-20</v>
      </c>
      <c r="G1876">
        <v>31.35</v>
      </c>
      <c r="H1876" t="str">
        <f>"2017-10-19"</f>
        <v>2017-10-19</v>
      </c>
      <c r="I1876" t="s">
        <v>57</v>
      </c>
      <c r="J1876" t="str">
        <f>"2017-07-25"</f>
        <v>2017-07-25</v>
      </c>
      <c r="K1876" t="s">
        <v>26</v>
      </c>
      <c r="L1876">
        <v>-2.9278813000000001</v>
      </c>
      <c r="M1876">
        <v>1875</v>
      </c>
      <c r="N1876" s="1">
        <v>-0.50119999999999998</v>
      </c>
      <c r="O1876" s="1">
        <v>-0.56730000000000003</v>
      </c>
      <c r="P1876" s="1">
        <v>0.14630000000000001</v>
      </c>
      <c r="Q1876" s="1">
        <v>1.95E-2</v>
      </c>
      <c r="R1876" s="1">
        <v>8.8499999999999995E-2</v>
      </c>
      <c r="S1876" s="1">
        <v>-0.36280000000000001</v>
      </c>
      <c r="T1876" s="1">
        <v>-0.40110000000000001</v>
      </c>
      <c r="U1876" s="1">
        <v>-0.50280000000000002</v>
      </c>
    </row>
    <row r="1877" spans="1:21" x14ac:dyDescent="0.25">
      <c r="A1877" t="s">
        <v>3918</v>
      </c>
      <c r="B1877" t="s">
        <v>3919</v>
      </c>
      <c r="C1877" t="s">
        <v>100</v>
      </c>
      <c r="D1877" t="s">
        <v>1034</v>
      </c>
      <c r="E1877" t="s">
        <v>1281</v>
      </c>
      <c r="F1877" t="str">
        <f t="shared" si="32"/>
        <v>2018-05-20</v>
      </c>
      <c r="G1877">
        <v>2.52</v>
      </c>
      <c r="H1877" t="str">
        <f>"2017-05-25"</f>
        <v>2017-05-25</v>
      </c>
      <c r="I1877" t="s">
        <v>57</v>
      </c>
      <c r="J1877" t="str">
        <f>"2017-02-16"</f>
        <v>2017-02-16</v>
      </c>
      <c r="K1877" t="s">
        <v>26</v>
      </c>
      <c r="L1877">
        <v>-2.9283276499999999</v>
      </c>
      <c r="M1877">
        <v>1876</v>
      </c>
      <c r="N1877" s="1">
        <v>-0.22220000000000001</v>
      </c>
      <c r="O1877" s="1">
        <v>-0.56999999999999995</v>
      </c>
      <c r="P1877" s="1">
        <v>0.90910000000000002</v>
      </c>
      <c r="Q1877" s="1">
        <v>2.0199999999999999E-2</v>
      </c>
      <c r="R1877" s="1">
        <v>2.4400000000000002E-2</v>
      </c>
      <c r="S1877" s="1">
        <v>0.05</v>
      </c>
      <c r="T1877" s="1">
        <v>0.75</v>
      </c>
      <c r="U1877" s="1">
        <v>-0.23169999999999999</v>
      </c>
    </row>
    <row r="1878" spans="1:21" x14ac:dyDescent="0.25">
      <c r="A1878" t="s">
        <v>3920</v>
      </c>
      <c r="B1878" t="s">
        <v>3921</v>
      </c>
      <c r="C1878" t="s">
        <v>43</v>
      </c>
      <c r="D1878" t="s">
        <v>150</v>
      </c>
      <c r="E1878" t="s">
        <v>151</v>
      </c>
      <c r="F1878" t="str">
        <f t="shared" si="32"/>
        <v>2018-05-20</v>
      </c>
      <c r="G1878">
        <v>6.27</v>
      </c>
      <c r="H1878" t="str">
        <f>"2017-07-20"</f>
        <v>2017-07-20</v>
      </c>
      <c r="I1878" t="s">
        <v>57</v>
      </c>
      <c r="J1878" t="str">
        <f>"2017-06-07"</f>
        <v>2017-06-07</v>
      </c>
      <c r="K1878" t="s">
        <v>40</v>
      </c>
      <c r="L1878">
        <v>-2.92924848</v>
      </c>
      <c r="M1878">
        <v>1877</v>
      </c>
      <c r="N1878" s="1">
        <v>-0.36730000000000002</v>
      </c>
      <c r="O1878" s="1">
        <v>-0.57550000000000001</v>
      </c>
      <c r="P1878" s="1">
        <v>0.53680000000000005</v>
      </c>
      <c r="Q1878" s="1">
        <v>-1.0999999999999999E-2</v>
      </c>
      <c r="R1878" s="1">
        <v>3.6400000000000002E-2</v>
      </c>
      <c r="S1878" s="1">
        <v>0.3513</v>
      </c>
      <c r="T1878" s="1">
        <v>0.43149999999999999</v>
      </c>
      <c r="U1878" s="1">
        <v>-0.33229999999999998</v>
      </c>
    </row>
    <row r="1879" spans="1:21" x14ac:dyDescent="0.25">
      <c r="A1879" t="s">
        <v>3922</v>
      </c>
      <c r="B1879" t="s">
        <v>3923</v>
      </c>
      <c r="C1879" t="s">
        <v>518</v>
      </c>
      <c r="D1879" t="s">
        <v>573</v>
      </c>
      <c r="E1879" t="s">
        <v>1385</v>
      </c>
      <c r="F1879" t="str">
        <f t="shared" si="32"/>
        <v>2018-05-20</v>
      </c>
      <c r="G1879">
        <v>9.8000000000000007</v>
      </c>
      <c r="H1879" t="str">
        <f>"2017-12-07"</f>
        <v>2017-12-07</v>
      </c>
      <c r="I1879" t="s">
        <v>57</v>
      </c>
      <c r="J1879" t="str">
        <f>"2017-08-28"</f>
        <v>2017-08-28</v>
      </c>
      <c r="K1879" t="s">
        <v>40</v>
      </c>
      <c r="L1879">
        <v>-2.93019943</v>
      </c>
      <c r="M1879">
        <v>1878</v>
      </c>
      <c r="N1879" s="1">
        <v>-0.27679999999999999</v>
      </c>
      <c r="O1879" s="1">
        <v>-0.58120000000000005</v>
      </c>
      <c r="P1879" s="1">
        <v>0.13950000000000001</v>
      </c>
      <c r="Q1879" s="1">
        <v>-2.9700000000000001E-2</v>
      </c>
      <c r="R1879" s="1">
        <v>-7.5499999999999998E-2</v>
      </c>
      <c r="S1879" s="1">
        <v>-0.16600000000000001</v>
      </c>
      <c r="T1879" s="1">
        <v>2.6200000000000001E-2</v>
      </c>
      <c r="U1879" s="1">
        <v>-0.52200000000000002</v>
      </c>
    </row>
    <row r="1880" spans="1:21" x14ac:dyDescent="0.25">
      <c r="A1880" t="s">
        <v>3924</v>
      </c>
      <c r="B1880" t="s">
        <v>3925</v>
      </c>
      <c r="C1880" t="s">
        <v>37</v>
      </c>
      <c r="D1880" t="s">
        <v>38</v>
      </c>
      <c r="E1880" t="s">
        <v>39</v>
      </c>
      <c r="F1880" t="str">
        <f t="shared" si="32"/>
        <v>2018-05-20</v>
      </c>
      <c r="G1880">
        <v>7.32</v>
      </c>
      <c r="H1880" t="str">
        <f>"2018-04-11"</f>
        <v>2018-04-11</v>
      </c>
      <c r="I1880" t="s">
        <v>57</v>
      </c>
      <c r="J1880" t="str">
        <f>"2016-10-17"</f>
        <v>2016-10-17</v>
      </c>
      <c r="K1880" t="s">
        <v>26</v>
      </c>
      <c r="L1880">
        <v>-2.9320712699999998</v>
      </c>
      <c r="M1880">
        <v>1879</v>
      </c>
      <c r="N1880" s="1">
        <v>5.3199999999999997E-2</v>
      </c>
      <c r="O1880" s="1">
        <v>-0.59240000000000004</v>
      </c>
      <c r="P1880" s="1">
        <v>0.14019999999999999</v>
      </c>
      <c r="Q1880" s="1">
        <v>-1.0800000000000001E-2</v>
      </c>
      <c r="R1880" s="1">
        <v>4.5699999999999998E-2</v>
      </c>
      <c r="S1880" s="1">
        <v>-1.0800000000000001E-2</v>
      </c>
      <c r="T1880" s="1">
        <v>-4.1000000000000003E-3</v>
      </c>
      <c r="U1880" s="1">
        <v>-0.48920000000000002</v>
      </c>
    </row>
    <row r="1881" spans="1:21" x14ac:dyDescent="0.25">
      <c r="A1881" t="s">
        <v>3926</v>
      </c>
      <c r="B1881" t="s">
        <v>3927</v>
      </c>
      <c r="C1881" t="s">
        <v>23</v>
      </c>
      <c r="D1881" t="s">
        <v>52</v>
      </c>
      <c r="E1881" t="s">
        <v>190</v>
      </c>
      <c r="F1881" t="str">
        <f t="shared" si="32"/>
        <v>2018-05-20</v>
      </c>
      <c r="G1881">
        <v>5.71</v>
      </c>
      <c r="H1881" t="str">
        <f>"2018-04-29"</f>
        <v>2018-04-29</v>
      </c>
      <c r="I1881" t="s">
        <v>57</v>
      </c>
      <c r="J1881" t="str">
        <f>"2017-03-09"</f>
        <v>2017-03-09</v>
      </c>
      <c r="K1881" t="s">
        <v>34</v>
      </c>
      <c r="L1881">
        <v>-2.9329812199999998</v>
      </c>
      <c r="M1881">
        <v>1880</v>
      </c>
      <c r="N1881" s="1">
        <v>8.9700000000000002E-2</v>
      </c>
      <c r="O1881" s="1">
        <v>-0.59789999999999999</v>
      </c>
      <c r="P1881" s="1">
        <v>0.34039999999999998</v>
      </c>
      <c r="Q1881" s="1">
        <v>1.78E-2</v>
      </c>
      <c r="R1881" s="1">
        <v>2.7E-2</v>
      </c>
      <c r="S1881" s="1">
        <v>0.12620000000000001</v>
      </c>
      <c r="T1881" s="1">
        <v>-0.33760000000000001</v>
      </c>
      <c r="U1881" s="1">
        <v>-0.49380000000000002</v>
      </c>
    </row>
    <row r="1882" spans="1:21" x14ac:dyDescent="0.25">
      <c r="A1882" t="s">
        <v>3928</v>
      </c>
      <c r="B1882" t="s">
        <v>3929</v>
      </c>
      <c r="C1882" t="s">
        <v>23</v>
      </c>
      <c r="D1882" t="s">
        <v>52</v>
      </c>
      <c r="E1882" t="s">
        <v>56</v>
      </c>
      <c r="F1882" t="str">
        <f t="shared" si="32"/>
        <v>2018-05-20</v>
      </c>
      <c r="G1882">
        <v>6.08</v>
      </c>
      <c r="H1882" t="str">
        <f>"2017-10-30"</f>
        <v>2017-10-30</v>
      </c>
      <c r="I1882" t="s">
        <v>57</v>
      </c>
      <c r="J1882" t="str">
        <f>"2016-11-23"</f>
        <v>2016-11-23</v>
      </c>
      <c r="K1882" t="s">
        <v>26</v>
      </c>
      <c r="L1882">
        <v>-2.9332894399999998</v>
      </c>
      <c r="M1882">
        <v>1881</v>
      </c>
      <c r="N1882" s="1">
        <v>-0.36859999999999998</v>
      </c>
      <c r="O1882" s="1">
        <v>-0.59970000000000001</v>
      </c>
      <c r="P1882" s="1">
        <v>0.11559999999999999</v>
      </c>
      <c r="Q1882" s="1">
        <v>1.67E-2</v>
      </c>
      <c r="R1882" s="1">
        <v>6.2899999999999998E-2</v>
      </c>
      <c r="S1882" s="1">
        <v>1.6000000000000001E-3</v>
      </c>
      <c r="T1882" s="1">
        <v>-0.14369999999999999</v>
      </c>
      <c r="U1882" s="1">
        <v>-0.56069999999999998</v>
      </c>
    </row>
    <row r="1883" spans="1:21" x14ac:dyDescent="0.25">
      <c r="A1883" t="s">
        <v>3930</v>
      </c>
      <c r="B1883" t="s">
        <v>3931</v>
      </c>
      <c r="C1883" t="s">
        <v>37</v>
      </c>
      <c r="D1883" t="s">
        <v>38</v>
      </c>
      <c r="E1883" t="s">
        <v>97</v>
      </c>
      <c r="F1883" t="str">
        <f t="shared" si="32"/>
        <v>2018-05-20</v>
      </c>
      <c r="G1883">
        <v>2.52</v>
      </c>
      <c r="H1883" t="str">
        <f>"2018-01-04"</f>
        <v>2018-01-04</v>
      </c>
      <c r="I1883" t="s">
        <v>57</v>
      </c>
      <c r="J1883" t="str">
        <f>"2017-07-24"</f>
        <v>2017-07-24</v>
      </c>
      <c r="K1883" t="s">
        <v>40</v>
      </c>
      <c r="L1883">
        <v>-2.93343899</v>
      </c>
      <c r="M1883">
        <v>1882</v>
      </c>
      <c r="N1883" s="1">
        <v>-0.2455</v>
      </c>
      <c r="O1883" s="1">
        <v>-0.60060000000000002</v>
      </c>
      <c r="P1883" s="1">
        <v>0.21149999999999999</v>
      </c>
      <c r="Q1883" s="1">
        <v>-1.95E-2</v>
      </c>
      <c r="R1883" s="1">
        <v>0.1507</v>
      </c>
      <c r="S1883" s="1">
        <v>3.2800000000000003E-2</v>
      </c>
      <c r="T1883" s="1">
        <v>2.0199999999999999E-2</v>
      </c>
      <c r="U1883" s="1">
        <v>-0.56920000000000004</v>
      </c>
    </row>
    <row r="1884" spans="1:21" x14ac:dyDescent="0.25">
      <c r="A1884" t="s">
        <v>3932</v>
      </c>
      <c r="B1884" t="s">
        <v>3933</v>
      </c>
      <c r="C1884" t="s">
        <v>37</v>
      </c>
      <c r="D1884" t="s">
        <v>38</v>
      </c>
      <c r="E1884" t="s">
        <v>39</v>
      </c>
      <c r="F1884" t="str">
        <f t="shared" si="32"/>
        <v>2018-05-20</v>
      </c>
      <c r="G1884">
        <v>18.670000000000002</v>
      </c>
      <c r="H1884" t="str">
        <f>"2018-01-03"</f>
        <v>2018-01-03</v>
      </c>
      <c r="I1884" t="s">
        <v>57</v>
      </c>
      <c r="J1884" t="str">
        <f>"2017-10-16"</f>
        <v>2017-10-16</v>
      </c>
      <c r="K1884" t="s">
        <v>26</v>
      </c>
      <c r="L1884">
        <v>-2.9335114</v>
      </c>
      <c r="M1884">
        <v>1883</v>
      </c>
      <c r="N1884" s="1">
        <v>-0.1487</v>
      </c>
      <c r="O1884" s="1">
        <v>-0.60109999999999997</v>
      </c>
      <c r="P1884" s="1">
        <v>0.16539999999999999</v>
      </c>
      <c r="Q1884" s="1">
        <v>1.6000000000000001E-3</v>
      </c>
      <c r="R1884" s="1">
        <v>4.9500000000000002E-2</v>
      </c>
      <c r="S1884" s="1">
        <v>0.13500000000000001</v>
      </c>
      <c r="T1884" s="1">
        <v>-1.1000000000000001E-3</v>
      </c>
      <c r="U1884" s="1">
        <v>-0.35620000000000002</v>
      </c>
    </row>
    <row r="1885" spans="1:21" x14ac:dyDescent="0.25">
      <c r="A1885" t="s">
        <v>3934</v>
      </c>
      <c r="B1885" t="s">
        <v>3935</v>
      </c>
      <c r="C1885" t="s">
        <v>23</v>
      </c>
      <c r="D1885" t="s">
        <v>52</v>
      </c>
      <c r="E1885" t="s">
        <v>53</v>
      </c>
      <c r="F1885" t="str">
        <f t="shared" si="32"/>
        <v>2018-05-20</v>
      </c>
      <c r="G1885">
        <v>5.3</v>
      </c>
      <c r="H1885" t="str">
        <f>"2017-02-23"</f>
        <v>2017-02-23</v>
      </c>
      <c r="I1885" t="s">
        <v>57</v>
      </c>
      <c r="J1885" t="str">
        <f>"2016-07-11"</f>
        <v>2016-07-11</v>
      </c>
      <c r="K1885" t="s">
        <v>26</v>
      </c>
      <c r="L1885">
        <v>-2.93466469</v>
      </c>
      <c r="M1885">
        <v>1884</v>
      </c>
      <c r="N1885" s="1">
        <v>-0.47260000000000002</v>
      </c>
      <c r="O1885" s="1">
        <v>-0.60799999999999998</v>
      </c>
      <c r="P1885" s="1">
        <v>0.21840000000000001</v>
      </c>
      <c r="Q1885" s="1">
        <v>9.4999999999999998E-3</v>
      </c>
      <c r="R1885" s="1">
        <v>2.9100000000000001E-2</v>
      </c>
      <c r="S1885" s="1">
        <v>-6.1899999999999997E-2</v>
      </c>
      <c r="T1885" s="1">
        <v>0.1648</v>
      </c>
      <c r="U1885" s="1">
        <v>-0.2482</v>
      </c>
    </row>
    <row r="1886" spans="1:21" x14ac:dyDescent="0.25">
      <c r="A1886" t="s">
        <v>3936</v>
      </c>
      <c r="B1886" t="s">
        <v>3937</v>
      </c>
      <c r="C1886" t="s">
        <v>23</v>
      </c>
      <c r="D1886" t="s">
        <v>52</v>
      </c>
      <c r="E1886" t="s">
        <v>53</v>
      </c>
      <c r="F1886" t="str">
        <f t="shared" si="32"/>
        <v>2018-05-20</v>
      </c>
      <c r="G1886">
        <v>2.41</v>
      </c>
      <c r="H1886" t="str">
        <f>"2017-10-26"</f>
        <v>2017-10-26</v>
      </c>
      <c r="I1886" t="s">
        <v>57</v>
      </c>
      <c r="J1886" t="str">
        <f>"2016-12-08"</f>
        <v>2016-12-08</v>
      </c>
      <c r="K1886" t="s">
        <v>26</v>
      </c>
      <c r="L1886">
        <v>-2.93490005</v>
      </c>
      <c r="M1886">
        <v>1885</v>
      </c>
      <c r="N1886" s="1">
        <v>-0.35389999999999999</v>
      </c>
      <c r="O1886" s="1">
        <v>-0.60940000000000005</v>
      </c>
      <c r="P1886" s="1">
        <v>0.20499999999999999</v>
      </c>
      <c r="Q1886" s="1">
        <v>4.1999999999999997E-3</v>
      </c>
      <c r="R1886" s="1">
        <v>-8.2000000000000007E-3</v>
      </c>
      <c r="S1886" s="1">
        <v>9.5500000000000002E-2</v>
      </c>
      <c r="T1886" s="1">
        <v>-0.1913</v>
      </c>
      <c r="U1886" s="1">
        <v>-0.52470000000000006</v>
      </c>
    </row>
    <row r="1887" spans="1:21" x14ac:dyDescent="0.25">
      <c r="A1887" t="s">
        <v>3938</v>
      </c>
      <c r="B1887" t="s">
        <v>3939</v>
      </c>
      <c r="C1887" t="s">
        <v>87</v>
      </c>
      <c r="D1887" t="s">
        <v>664</v>
      </c>
      <c r="E1887" t="s">
        <v>1116</v>
      </c>
      <c r="F1887" t="str">
        <f t="shared" si="32"/>
        <v>2018-05-20</v>
      </c>
      <c r="G1887">
        <v>3.7</v>
      </c>
      <c r="H1887" t="str">
        <f>"2017-07-12"</f>
        <v>2017-07-12</v>
      </c>
      <c r="I1887" t="s">
        <v>57</v>
      </c>
      <c r="J1887" t="str">
        <f>"2017-06-06"</f>
        <v>2017-06-06</v>
      </c>
      <c r="K1887" t="s">
        <v>40</v>
      </c>
      <c r="L1887">
        <v>-2.9398374</v>
      </c>
      <c r="M1887">
        <v>1886</v>
      </c>
      <c r="N1887" s="1">
        <v>-0.40799999999999997</v>
      </c>
      <c r="O1887" s="1">
        <v>-0.63900000000000001</v>
      </c>
      <c r="P1887" s="1">
        <v>0.30969999999999998</v>
      </c>
      <c r="Q1887" s="1">
        <v>4.2299999999999997E-2</v>
      </c>
      <c r="R1887" s="1">
        <v>8.8200000000000001E-2</v>
      </c>
      <c r="S1887" s="1">
        <v>0.1212</v>
      </c>
      <c r="T1887" s="1">
        <v>-0.15909999999999999</v>
      </c>
      <c r="U1887" s="1">
        <v>-0.4264</v>
      </c>
    </row>
    <row r="1888" spans="1:21" x14ac:dyDescent="0.25">
      <c r="A1888" t="s">
        <v>3940</v>
      </c>
      <c r="B1888" t="s">
        <v>3941</v>
      </c>
      <c r="C1888" t="s">
        <v>43</v>
      </c>
      <c r="D1888" t="s">
        <v>169</v>
      </c>
      <c r="E1888" t="s">
        <v>904</v>
      </c>
      <c r="F1888" t="str">
        <f t="shared" si="32"/>
        <v>2018-05-20</v>
      </c>
      <c r="G1888">
        <v>0.7843</v>
      </c>
      <c r="H1888" t="str">
        <f>"2018-02-26"</f>
        <v>2018-02-26</v>
      </c>
      <c r="I1888" t="s">
        <v>57</v>
      </c>
      <c r="J1888" t="str">
        <f>"2016-09-07"</f>
        <v>2016-09-07</v>
      </c>
      <c r="K1888" t="s">
        <v>26</v>
      </c>
      <c r="L1888">
        <v>-2.9403120199999999</v>
      </c>
      <c r="M1888">
        <v>1887</v>
      </c>
      <c r="N1888" s="1">
        <v>-0.41470000000000001</v>
      </c>
      <c r="O1888" s="1">
        <v>-0.64190000000000003</v>
      </c>
      <c r="P1888" s="1">
        <v>0.1048</v>
      </c>
      <c r="Q1888" s="1">
        <v>5.4999999999999997E-3</v>
      </c>
      <c r="R1888" s="1">
        <v>-5.3999999999999999E-2</v>
      </c>
      <c r="S1888" s="1">
        <v>-4.3299999999999998E-2</v>
      </c>
      <c r="T1888" s="1">
        <v>-0.41470000000000001</v>
      </c>
      <c r="U1888" s="1">
        <v>-0.43169999999999997</v>
      </c>
    </row>
    <row r="1889" spans="1:21" x14ac:dyDescent="0.25">
      <c r="A1889" t="s">
        <v>3942</v>
      </c>
      <c r="B1889" t="s">
        <v>3943</v>
      </c>
      <c r="C1889" t="s">
        <v>109</v>
      </c>
      <c r="D1889" t="s">
        <v>156</v>
      </c>
      <c r="E1889" t="s">
        <v>277</v>
      </c>
      <c r="F1889" t="str">
        <f t="shared" si="32"/>
        <v>2018-05-20</v>
      </c>
      <c r="G1889">
        <v>17.489999999999998</v>
      </c>
      <c r="H1889" t="str">
        <f>"2017-12-03"</f>
        <v>2017-12-03</v>
      </c>
      <c r="I1889" t="s">
        <v>57</v>
      </c>
      <c r="J1889" t="str">
        <f>"2017-11-01"</f>
        <v>2017-11-01</v>
      </c>
      <c r="K1889" t="s">
        <v>40</v>
      </c>
      <c r="L1889">
        <v>-2.9405708499999998</v>
      </c>
      <c r="M1889">
        <v>1888</v>
      </c>
      <c r="N1889" s="1">
        <v>-0.28789999999999999</v>
      </c>
      <c r="O1889" s="1">
        <v>-0.64339999999999997</v>
      </c>
      <c r="P1889" s="1">
        <v>0.57989999999999997</v>
      </c>
      <c r="Q1889" s="1">
        <v>-1.1000000000000001E-3</v>
      </c>
      <c r="R1889" s="1">
        <v>-1.6299999999999999E-2</v>
      </c>
      <c r="S1889" s="1">
        <v>0.36109999999999998</v>
      </c>
      <c r="T1889" s="1">
        <v>0.34129999999999999</v>
      </c>
      <c r="U1889" s="1">
        <v>-0.60589999999999999</v>
      </c>
    </row>
    <row r="1890" spans="1:21" x14ac:dyDescent="0.25">
      <c r="A1890" t="s">
        <v>3944</v>
      </c>
      <c r="B1890" t="s">
        <v>3945</v>
      </c>
      <c r="C1890" t="s">
        <v>37</v>
      </c>
      <c r="D1890" t="s">
        <v>38</v>
      </c>
      <c r="E1890" t="s">
        <v>39</v>
      </c>
      <c r="F1890" t="str">
        <f t="shared" si="32"/>
        <v>2018-05-20</v>
      </c>
      <c r="G1890">
        <v>10.199999999999999</v>
      </c>
      <c r="H1890" t="str">
        <f>"2018-04-10"</f>
        <v>2018-04-10</v>
      </c>
      <c r="I1890" t="s">
        <v>57</v>
      </c>
      <c r="J1890" t="str">
        <f>"2018-02-06"</f>
        <v>2018-02-06</v>
      </c>
      <c r="K1890" t="s">
        <v>26</v>
      </c>
      <c r="L1890">
        <v>-2.9406009800000001</v>
      </c>
      <c r="M1890">
        <v>1889</v>
      </c>
      <c r="N1890" s="1">
        <v>0.29770000000000002</v>
      </c>
      <c r="O1890" s="1">
        <v>-0.64359999999999995</v>
      </c>
      <c r="P1890" s="1">
        <v>0.43259999999999998</v>
      </c>
      <c r="Q1890" s="1">
        <v>-5.5599999999999997E-2</v>
      </c>
      <c r="R1890" s="1">
        <v>-0.1222</v>
      </c>
      <c r="S1890" s="1">
        <v>0.14610000000000001</v>
      </c>
      <c r="T1890" s="1">
        <v>-0.62139999999999995</v>
      </c>
      <c r="U1890" s="1">
        <v>-0.63339999999999996</v>
      </c>
    </row>
    <row r="1891" spans="1:21" x14ac:dyDescent="0.25">
      <c r="A1891" t="s">
        <v>3946</v>
      </c>
      <c r="B1891" t="s">
        <v>3947</v>
      </c>
      <c r="C1891" t="s">
        <v>114</v>
      </c>
      <c r="D1891" t="s">
        <v>809</v>
      </c>
      <c r="E1891" t="s">
        <v>1783</v>
      </c>
      <c r="F1891" t="str">
        <f t="shared" si="32"/>
        <v>2018-05-20</v>
      </c>
      <c r="G1891">
        <v>15.3</v>
      </c>
      <c r="H1891" t="str">
        <f>"2017-08-30"</f>
        <v>2017-08-30</v>
      </c>
      <c r="I1891" t="s">
        <v>57</v>
      </c>
      <c r="J1891" t="str">
        <f>"2017-08-17"</f>
        <v>2017-08-17</v>
      </c>
      <c r="K1891" t="s">
        <v>40</v>
      </c>
      <c r="L1891">
        <v>-2.9417142900000002</v>
      </c>
      <c r="M1891">
        <v>1890</v>
      </c>
      <c r="N1891" s="1">
        <v>-0.47060000000000002</v>
      </c>
      <c r="O1891" s="1">
        <v>-0.65029999999999999</v>
      </c>
      <c r="P1891" s="1">
        <v>0.20710000000000001</v>
      </c>
      <c r="Q1891" s="1">
        <v>9.9000000000000008E-3</v>
      </c>
      <c r="R1891" s="1">
        <v>0.12089999999999999</v>
      </c>
      <c r="S1891" s="1">
        <v>-0.19470000000000001</v>
      </c>
      <c r="T1891" s="1">
        <v>-0.29330000000000001</v>
      </c>
      <c r="U1891" s="1">
        <v>-0.61219999999999997</v>
      </c>
    </row>
    <row r="1892" spans="1:21" x14ac:dyDescent="0.25">
      <c r="A1892" t="s">
        <v>3948</v>
      </c>
      <c r="B1892" t="s">
        <v>3949</v>
      </c>
      <c r="C1892" t="s">
        <v>87</v>
      </c>
      <c r="D1892" t="s">
        <v>144</v>
      </c>
      <c r="E1892" t="s">
        <v>145</v>
      </c>
      <c r="F1892" t="str">
        <f t="shared" si="32"/>
        <v>2018-05-20</v>
      </c>
      <c r="G1892">
        <v>15.56</v>
      </c>
      <c r="H1892" t="str">
        <f>"2018-04-04"</f>
        <v>2018-04-04</v>
      </c>
      <c r="I1892" t="s">
        <v>57</v>
      </c>
      <c r="J1892" t="str">
        <f>"2016-12-27"</f>
        <v>2016-12-27</v>
      </c>
      <c r="K1892" t="s">
        <v>34</v>
      </c>
      <c r="L1892">
        <v>-2.9417228500000001</v>
      </c>
      <c r="M1892">
        <v>1891</v>
      </c>
      <c r="N1892" s="1">
        <v>0.16819999999999999</v>
      </c>
      <c r="O1892" s="1">
        <v>-0.65029999999999999</v>
      </c>
      <c r="P1892" s="1">
        <v>0.1951</v>
      </c>
      <c r="Q1892" s="1">
        <v>-9.4999999999999998E-3</v>
      </c>
      <c r="R1892" s="1">
        <v>7.1599999999999997E-2</v>
      </c>
      <c r="S1892" s="1">
        <v>-2.2599999999999999E-2</v>
      </c>
      <c r="T1892" s="1">
        <v>-0.22159999999999999</v>
      </c>
      <c r="U1892" s="1">
        <v>-0.46310000000000001</v>
      </c>
    </row>
    <row r="1893" spans="1:21" x14ac:dyDescent="0.25">
      <c r="A1893" t="s">
        <v>3950</v>
      </c>
      <c r="B1893" t="s">
        <v>3951</v>
      </c>
      <c r="C1893" t="s">
        <v>43</v>
      </c>
      <c r="D1893" t="s">
        <v>150</v>
      </c>
      <c r="E1893" t="s">
        <v>408</v>
      </c>
      <c r="F1893" t="str">
        <f t="shared" si="32"/>
        <v>2018-05-20</v>
      </c>
      <c r="G1893">
        <v>6.28</v>
      </c>
      <c r="H1893" t="str">
        <f>"2017-12-12"</f>
        <v>2017-12-12</v>
      </c>
      <c r="I1893" t="s">
        <v>57</v>
      </c>
      <c r="J1893" t="str">
        <f>"2017-11-01"</f>
        <v>2017-11-01</v>
      </c>
      <c r="K1893" t="s">
        <v>40</v>
      </c>
      <c r="L1893">
        <v>-2.9420129300000002</v>
      </c>
      <c r="M1893">
        <v>1892</v>
      </c>
      <c r="N1893" s="1">
        <v>-0.53720000000000001</v>
      </c>
      <c r="O1893" s="1">
        <v>-0.65210000000000001</v>
      </c>
      <c r="P1893" s="1">
        <v>0.1827</v>
      </c>
      <c r="Q1893" s="1">
        <v>5.5500000000000001E-2</v>
      </c>
      <c r="R1893" s="1">
        <v>9.0300000000000005E-2</v>
      </c>
      <c r="S1893" s="1">
        <v>-0.22939999999999999</v>
      </c>
      <c r="T1893" s="1">
        <v>-0.2646</v>
      </c>
      <c r="U1893" s="1">
        <v>-0.56899999999999995</v>
      </c>
    </row>
    <row r="1894" spans="1:21" x14ac:dyDescent="0.25">
      <c r="A1894" t="s">
        <v>3952</v>
      </c>
      <c r="B1894" t="s">
        <v>3953</v>
      </c>
      <c r="C1894" t="s">
        <v>43</v>
      </c>
      <c r="D1894" t="s">
        <v>119</v>
      </c>
      <c r="E1894" t="s">
        <v>205</v>
      </c>
      <c r="F1894" t="str">
        <f t="shared" si="32"/>
        <v>2018-05-20</v>
      </c>
      <c r="G1894">
        <v>22.56</v>
      </c>
      <c r="H1894" t="str">
        <f>"2017-10-22"</f>
        <v>2017-10-22</v>
      </c>
      <c r="I1894" t="s">
        <v>57</v>
      </c>
      <c r="J1894" t="str">
        <f>"2016-08-28"</f>
        <v>2016-08-28</v>
      </c>
      <c r="K1894" t="s">
        <v>26</v>
      </c>
      <c r="L1894">
        <v>-2.9426567000000001</v>
      </c>
      <c r="M1894">
        <v>1893</v>
      </c>
      <c r="N1894" s="1">
        <v>-0.38800000000000001</v>
      </c>
      <c r="O1894" s="1">
        <v>-0.65590000000000004</v>
      </c>
      <c r="P1894" s="1">
        <v>0.43509999999999999</v>
      </c>
      <c r="Q1894" s="1">
        <v>-4.0000000000000001E-3</v>
      </c>
      <c r="R1894" s="1">
        <v>-2.3400000000000001E-2</v>
      </c>
      <c r="S1894" s="1">
        <v>0.35410000000000003</v>
      </c>
      <c r="T1894" s="1">
        <v>1.9E-2</v>
      </c>
      <c r="U1894" s="1">
        <v>-0.62919999999999998</v>
      </c>
    </row>
    <row r="1895" spans="1:21" x14ac:dyDescent="0.25">
      <c r="A1895" t="s">
        <v>3954</v>
      </c>
      <c r="B1895" t="s">
        <v>3955</v>
      </c>
      <c r="C1895" t="s">
        <v>23</v>
      </c>
      <c r="D1895" t="s">
        <v>411</v>
      </c>
      <c r="E1895" t="s">
        <v>412</v>
      </c>
      <c r="F1895" t="str">
        <f t="shared" si="32"/>
        <v>2018-05-20</v>
      </c>
      <c r="G1895">
        <v>3.48</v>
      </c>
      <c r="H1895" t="str">
        <f>"2017-11-16"</f>
        <v>2017-11-16</v>
      </c>
      <c r="I1895" t="s">
        <v>57</v>
      </c>
      <c r="J1895" t="str">
        <f>"2017-09-07"</f>
        <v>2017-09-07</v>
      </c>
      <c r="K1895" t="s">
        <v>26</v>
      </c>
      <c r="L1895">
        <v>-2.9429133900000002</v>
      </c>
      <c r="M1895">
        <v>1894</v>
      </c>
      <c r="N1895" s="1">
        <v>-0.43690000000000001</v>
      </c>
      <c r="O1895" s="1">
        <v>-0.65749999999999997</v>
      </c>
      <c r="P1895" s="1">
        <v>0.1048</v>
      </c>
      <c r="Q1895" s="1">
        <v>2.35E-2</v>
      </c>
      <c r="R1895" s="1">
        <v>3.2599999999999997E-2</v>
      </c>
      <c r="S1895" s="1">
        <v>-6.2E-2</v>
      </c>
      <c r="T1895" s="1">
        <v>-0.2127</v>
      </c>
      <c r="U1895" s="1">
        <v>-0.53290000000000004</v>
      </c>
    </row>
    <row r="1896" spans="1:21" x14ac:dyDescent="0.25">
      <c r="A1896" t="s">
        <v>3956</v>
      </c>
      <c r="B1896" t="s">
        <v>3957</v>
      </c>
      <c r="C1896" t="s">
        <v>37</v>
      </c>
      <c r="D1896" t="s">
        <v>38</v>
      </c>
      <c r="E1896" t="s">
        <v>39</v>
      </c>
      <c r="F1896" t="str">
        <f t="shared" si="32"/>
        <v>2018-05-20</v>
      </c>
      <c r="G1896">
        <v>7.71</v>
      </c>
      <c r="H1896" t="str">
        <f>"2017-05-31"</f>
        <v>2017-05-31</v>
      </c>
      <c r="I1896" t="s">
        <v>57</v>
      </c>
      <c r="J1896" t="str">
        <f>"2016-08-07"</f>
        <v>2016-08-07</v>
      </c>
      <c r="K1896" t="s">
        <v>26</v>
      </c>
      <c r="L1896">
        <v>-2.9436403499999999</v>
      </c>
      <c r="M1896">
        <v>1895</v>
      </c>
      <c r="N1896" s="1">
        <v>-0.27200000000000002</v>
      </c>
      <c r="O1896" s="1">
        <v>-0.66180000000000005</v>
      </c>
      <c r="P1896" s="1">
        <v>0.38669999999999999</v>
      </c>
      <c r="Q1896" s="1">
        <v>-3.6200000000000003E-2</v>
      </c>
      <c r="R1896" s="1">
        <v>-5.7500000000000002E-2</v>
      </c>
      <c r="S1896" s="1">
        <v>7.0800000000000002E-2</v>
      </c>
      <c r="T1896" s="1">
        <v>5.91E-2</v>
      </c>
      <c r="U1896" s="1">
        <v>-0.37569999999999998</v>
      </c>
    </row>
    <row r="1897" spans="1:21" x14ac:dyDescent="0.25">
      <c r="A1897" t="s">
        <v>3958</v>
      </c>
      <c r="B1897" t="s">
        <v>3959</v>
      </c>
      <c r="C1897" t="s">
        <v>109</v>
      </c>
      <c r="D1897" t="s">
        <v>156</v>
      </c>
      <c r="E1897" t="s">
        <v>284</v>
      </c>
      <c r="F1897" t="str">
        <f t="shared" si="32"/>
        <v>2018-05-20</v>
      </c>
      <c r="G1897">
        <v>33.51</v>
      </c>
      <c r="H1897" t="str">
        <f>"2018-01-18"</f>
        <v>2018-01-18</v>
      </c>
      <c r="I1897" t="s">
        <v>57</v>
      </c>
      <c r="J1897" t="str">
        <f>"2017-10-25"</f>
        <v>2017-10-25</v>
      </c>
      <c r="K1897" t="s">
        <v>40</v>
      </c>
      <c r="L1897">
        <v>-2.9439313299999998</v>
      </c>
      <c r="M1897">
        <v>1896</v>
      </c>
      <c r="N1897" s="1">
        <v>2.1999999999999999E-2</v>
      </c>
      <c r="O1897" s="1">
        <v>-0.66359999999999997</v>
      </c>
      <c r="P1897" s="1">
        <v>0.41689999999999999</v>
      </c>
      <c r="Q1897" s="1">
        <v>8.6999999999999994E-3</v>
      </c>
      <c r="R1897" s="1">
        <v>4.1000000000000002E-2</v>
      </c>
      <c r="S1897" s="1">
        <v>3.2300000000000002E-2</v>
      </c>
      <c r="T1897" s="1">
        <v>0.1968</v>
      </c>
      <c r="U1897" s="1">
        <v>-0.52959999999999996</v>
      </c>
    </row>
    <row r="1898" spans="1:21" x14ac:dyDescent="0.25">
      <c r="A1898" t="s">
        <v>3960</v>
      </c>
      <c r="B1898" t="s">
        <v>3961</v>
      </c>
      <c r="C1898" t="s">
        <v>23</v>
      </c>
      <c r="D1898" t="s">
        <v>52</v>
      </c>
      <c r="E1898" t="s">
        <v>53</v>
      </c>
      <c r="F1898" t="str">
        <f t="shared" si="32"/>
        <v>2018-05-20</v>
      </c>
      <c r="G1898">
        <v>7</v>
      </c>
      <c r="H1898" t="str">
        <f>"2017-09-11"</f>
        <v>2017-09-11</v>
      </c>
      <c r="I1898" t="s">
        <v>57</v>
      </c>
      <c r="J1898" t="str">
        <f>"2016-11-15"</f>
        <v>2016-11-15</v>
      </c>
      <c r="K1898" t="s">
        <v>26</v>
      </c>
      <c r="L1898">
        <v>-2.94648318</v>
      </c>
      <c r="M1898">
        <v>1897</v>
      </c>
      <c r="N1898" s="1">
        <v>-0.54690000000000005</v>
      </c>
      <c r="O1898" s="1">
        <v>-0.67889999999999995</v>
      </c>
      <c r="P1898" s="1">
        <v>0.34620000000000001</v>
      </c>
      <c r="Q1898" s="1">
        <v>2.1899999999999999E-2</v>
      </c>
      <c r="R1898" s="1">
        <v>3.6999999999999998E-2</v>
      </c>
      <c r="S1898" s="1">
        <v>9.3799999999999994E-2</v>
      </c>
      <c r="T1898" s="1">
        <v>0.34620000000000001</v>
      </c>
      <c r="U1898" s="1">
        <v>-0.65690000000000004</v>
      </c>
    </row>
    <row r="1899" spans="1:21" x14ac:dyDescent="0.25">
      <c r="A1899" t="s">
        <v>3962</v>
      </c>
      <c r="B1899" t="s">
        <v>3963</v>
      </c>
      <c r="C1899" t="s">
        <v>23</v>
      </c>
      <c r="D1899" t="s">
        <v>52</v>
      </c>
      <c r="E1899" t="s">
        <v>139</v>
      </c>
      <c r="F1899" t="str">
        <f t="shared" si="32"/>
        <v>2018-05-20</v>
      </c>
      <c r="G1899">
        <v>3.63</v>
      </c>
      <c r="H1899" t="str">
        <f>"2017-06-28"</f>
        <v>2017-06-28</v>
      </c>
      <c r="I1899" t="s">
        <v>57</v>
      </c>
      <c r="J1899" t="str">
        <f>"2017-04-03"</f>
        <v>2017-04-03</v>
      </c>
      <c r="K1899" t="s">
        <v>27</v>
      </c>
      <c r="L1899">
        <v>-2.95675482</v>
      </c>
      <c r="M1899">
        <v>1898</v>
      </c>
      <c r="N1899" s="1">
        <v>-0.54679999999999995</v>
      </c>
      <c r="O1899" s="1">
        <v>-0.74050000000000005</v>
      </c>
      <c r="P1899" s="1">
        <v>0.75360000000000005</v>
      </c>
      <c r="Q1899" s="1">
        <v>1.11E-2</v>
      </c>
      <c r="R1899" s="1">
        <v>-5.4999999999999997E-3</v>
      </c>
      <c r="S1899" s="1">
        <v>0.12039999999999999</v>
      </c>
      <c r="T1899" s="1">
        <v>0.40699999999999997</v>
      </c>
      <c r="U1899" s="1">
        <v>-0.53759999999999997</v>
      </c>
    </row>
    <row r="1900" spans="1:21" x14ac:dyDescent="0.25">
      <c r="A1900" t="s">
        <v>3964</v>
      </c>
      <c r="B1900" t="s">
        <v>3965</v>
      </c>
      <c r="C1900" t="s">
        <v>23</v>
      </c>
      <c r="D1900" t="s">
        <v>52</v>
      </c>
      <c r="E1900" t="s">
        <v>190</v>
      </c>
      <c r="F1900" t="str">
        <f t="shared" si="32"/>
        <v>2018-05-20</v>
      </c>
      <c r="G1900">
        <v>5.76</v>
      </c>
      <c r="H1900" t="str">
        <f>"2017-07-09"</f>
        <v>2017-07-09</v>
      </c>
      <c r="I1900" t="s">
        <v>57</v>
      </c>
      <c r="J1900" t="str">
        <f>"2017-05-18"</f>
        <v>2017-05-18</v>
      </c>
      <c r="K1900" t="s">
        <v>40</v>
      </c>
      <c r="L1900">
        <v>-2.9568733200000001</v>
      </c>
      <c r="M1900">
        <v>1899</v>
      </c>
      <c r="N1900" s="1">
        <v>-0.4607</v>
      </c>
      <c r="O1900" s="1">
        <v>-0.74119999999999997</v>
      </c>
      <c r="P1900" s="1">
        <v>0.25490000000000002</v>
      </c>
      <c r="Q1900" s="1">
        <v>5.1999999999999998E-3</v>
      </c>
      <c r="R1900" s="1">
        <v>2.4899999999999999E-2</v>
      </c>
      <c r="S1900" s="1">
        <v>0.20749999999999999</v>
      </c>
      <c r="T1900" s="1">
        <v>6.4699999999999994E-2</v>
      </c>
      <c r="U1900" s="1">
        <v>-0.57709999999999995</v>
      </c>
    </row>
    <row r="1901" spans="1:21" x14ac:dyDescent="0.25">
      <c r="A1901" t="s">
        <v>3966</v>
      </c>
      <c r="B1901" t="s">
        <v>3967</v>
      </c>
      <c r="C1901" t="s">
        <v>83</v>
      </c>
      <c r="D1901" t="s">
        <v>84</v>
      </c>
      <c r="E1901" t="s">
        <v>84</v>
      </c>
      <c r="F1901" t="str">
        <f t="shared" si="32"/>
        <v>2018-05-20</v>
      </c>
      <c r="G1901">
        <v>0.62639999999999996</v>
      </c>
      <c r="H1901" t="str">
        <f>"2018-01-03"</f>
        <v>2018-01-03</v>
      </c>
      <c r="I1901" t="s">
        <v>57</v>
      </c>
      <c r="J1901" t="str">
        <f>"2017-01-12"</f>
        <v>2017-01-12</v>
      </c>
      <c r="K1901" t="s">
        <v>26</v>
      </c>
      <c r="L1901">
        <v>-2.9572131100000001</v>
      </c>
      <c r="M1901">
        <v>1900</v>
      </c>
      <c r="N1901" s="1">
        <v>-0.53249999999999997</v>
      </c>
      <c r="O1901" s="1">
        <v>-0.74329999999999996</v>
      </c>
      <c r="P1901" s="1">
        <v>0.1462</v>
      </c>
      <c r="Q1901" s="1">
        <v>-6.5799999999999997E-2</v>
      </c>
      <c r="R1901" s="1">
        <v>-4.5699999999999998E-2</v>
      </c>
      <c r="S1901" s="1">
        <v>-0.19689999999999999</v>
      </c>
      <c r="T1901" s="1">
        <v>-0.31909999999999999</v>
      </c>
      <c r="U1901" s="1">
        <v>-0.72650000000000003</v>
      </c>
    </row>
    <row r="1902" spans="1:21" x14ac:dyDescent="0.25">
      <c r="A1902" t="s">
        <v>3968</v>
      </c>
      <c r="B1902" t="s">
        <v>3969</v>
      </c>
      <c r="C1902" t="s">
        <v>43</v>
      </c>
      <c r="D1902" t="s">
        <v>169</v>
      </c>
      <c r="E1902" t="s">
        <v>904</v>
      </c>
      <c r="F1902" t="str">
        <f t="shared" si="32"/>
        <v>2018-05-20</v>
      </c>
      <c r="G1902">
        <v>2.86</v>
      </c>
      <c r="H1902" t="str">
        <f>"2016-01-07"</f>
        <v>2016-01-07</v>
      </c>
      <c r="I1902" t="s">
        <v>57</v>
      </c>
      <c r="J1902" t="str">
        <f>"2015-10-18"</f>
        <v>2015-10-18</v>
      </c>
      <c r="K1902" t="s">
        <v>40</v>
      </c>
      <c r="L1902">
        <v>-2.95873016</v>
      </c>
      <c r="M1902">
        <v>1901</v>
      </c>
      <c r="N1902" s="1">
        <v>-0.57499999999999996</v>
      </c>
      <c r="O1902" s="1">
        <v>-0.75239999999999996</v>
      </c>
      <c r="P1902" s="1">
        <v>0.52129999999999999</v>
      </c>
      <c r="Q1902" s="1">
        <v>3.5000000000000001E-3</v>
      </c>
      <c r="R1902" s="1">
        <v>3.5000000000000001E-3</v>
      </c>
      <c r="S1902" s="1">
        <v>0.20169999999999999</v>
      </c>
      <c r="T1902" s="1">
        <v>0.16259999999999999</v>
      </c>
      <c r="U1902" s="1">
        <v>-0.3125</v>
      </c>
    </row>
    <row r="1903" spans="1:21" x14ac:dyDescent="0.25">
      <c r="A1903" t="s">
        <v>3970</v>
      </c>
      <c r="B1903" t="s">
        <v>3971</v>
      </c>
      <c r="C1903" t="s">
        <v>37</v>
      </c>
      <c r="D1903" t="s">
        <v>38</v>
      </c>
      <c r="E1903" t="s">
        <v>39</v>
      </c>
      <c r="F1903" t="str">
        <f t="shared" si="32"/>
        <v>2018-05-20</v>
      </c>
      <c r="G1903">
        <v>6.05</v>
      </c>
      <c r="H1903" t="str">
        <f>"2017-12-27"</f>
        <v>2017-12-27</v>
      </c>
      <c r="I1903" t="s">
        <v>57</v>
      </c>
      <c r="J1903" t="str">
        <f>"2016-10-26"</f>
        <v>2016-10-26</v>
      </c>
      <c r="K1903" t="s">
        <v>34</v>
      </c>
      <c r="L1903">
        <v>-2.96194969</v>
      </c>
      <c r="M1903">
        <v>1902</v>
      </c>
      <c r="N1903" s="1">
        <v>-0.28820000000000001</v>
      </c>
      <c r="O1903" s="1">
        <v>-0.77170000000000005</v>
      </c>
      <c r="P1903" s="1">
        <v>0.17249999999999999</v>
      </c>
      <c r="Q1903" s="1">
        <v>-2.7300000000000001E-2</v>
      </c>
      <c r="R1903" s="1">
        <v>-3.8199999999999998E-2</v>
      </c>
      <c r="S1903" s="1">
        <v>0</v>
      </c>
      <c r="T1903" s="1">
        <v>-9.8400000000000001E-2</v>
      </c>
      <c r="U1903" s="1">
        <v>-0.75360000000000005</v>
      </c>
    </row>
    <row r="1904" spans="1:21" x14ac:dyDescent="0.25">
      <c r="A1904" t="s">
        <v>3972</v>
      </c>
      <c r="B1904" t="s">
        <v>3973</v>
      </c>
      <c r="C1904" t="s">
        <v>37</v>
      </c>
      <c r="D1904" t="s">
        <v>38</v>
      </c>
      <c r="E1904" t="s">
        <v>97</v>
      </c>
      <c r="F1904" t="str">
        <f t="shared" si="32"/>
        <v>2018-05-20</v>
      </c>
      <c r="G1904">
        <v>1.6</v>
      </c>
      <c r="H1904" t="str">
        <f>"2017-06-14"</f>
        <v>2017-06-14</v>
      </c>
      <c r="I1904" t="s">
        <v>57</v>
      </c>
      <c r="J1904" t="str">
        <f>"2016-08-14"</f>
        <v>2016-08-14</v>
      </c>
      <c r="K1904" t="s">
        <v>26</v>
      </c>
      <c r="L1904">
        <v>-2.96228194</v>
      </c>
      <c r="M1904">
        <v>1903</v>
      </c>
      <c r="N1904" s="1">
        <v>-0.61809999999999998</v>
      </c>
      <c r="O1904" s="1">
        <v>-0.77370000000000005</v>
      </c>
      <c r="P1904" s="1">
        <v>0.10340000000000001</v>
      </c>
      <c r="Q1904" s="1">
        <v>-2.4400000000000002E-2</v>
      </c>
      <c r="R1904" s="1">
        <v>-0.13039999999999999</v>
      </c>
      <c r="S1904" s="1">
        <v>-8.0500000000000002E-2</v>
      </c>
      <c r="T1904" s="1">
        <v>-0.17530000000000001</v>
      </c>
      <c r="U1904" s="1">
        <v>-0.59289999999999998</v>
      </c>
    </row>
    <row r="1905" spans="1:21" x14ac:dyDescent="0.25">
      <c r="A1905" t="s">
        <v>3974</v>
      </c>
      <c r="B1905" t="s">
        <v>3975</v>
      </c>
      <c r="C1905" t="s">
        <v>37</v>
      </c>
      <c r="D1905" t="s">
        <v>38</v>
      </c>
      <c r="E1905" t="s">
        <v>39</v>
      </c>
      <c r="F1905" t="str">
        <f t="shared" si="32"/>
        <v>2018-05-20</v>
      </c>
      <c r="G1905">
        <v>8.6999999999999993</v>
      </c>
      <c r="H1905" t="str">
        <f>"2017-07-26"</f>
        <v>2017-07-26</v>
      </c>
      <c r="I1905" t="s">
        <v>57</v>
      </c>
      <c r="J1905" t="str">
        <f>"2017-05-14"</f>
        <v>2017-05-14</v>
      </c>
      <c r="K1905" t="s">
        <v>27</v>
      </c>
      <c r="L1905">
        <v>-2.9630101999999998</v>
      </c>
      <c r="M1905">
        <v>1904</v>
      </c>
      <c r="N1905" s="1">
        <v>-0.36959999999999998</v>
      </c>
      <c r="O1905" s="1">
        <v>-0.77810000000000001</v>
      </c>
      <c r="P1905" s="1">
        <v>0.1226</v>
      </c>
      <c r="Q1905" s="1">
        <v>-6.7999999999999996E-3</v>
      </c>
      <c r="R1905" s="1">
        <v>-1.14E-2</v>
      </c>
      <c r="S1905" s="1">
        <v>3.5700000000000003E-2</v>
      </c>
      <c r="T1905" s="1">
        <v>-0.24079999999999999</v>
      </c>
      <c r="U1905" s="1">
        <v>-0.75419999999999998</v>
      </c>
    </row>
    <row r="1906" spans="1:21" x14ac:dyDescent="0.25">
      <c r="A1906" t="s">
        <v>3976</v>
      </c>
      <c r="B1906" t="s">
        <v>3977</v>
      </c>
      <c r="C1906" t="s">
        <v>37</v>
      </c>
      <c r="D1906" t="s">
        <v>38</v>
      </c>
      <c r="E1906" t="s">
        <v>39</v>
      </c>
      <c r="F1906" t="str">
        <f t="shared" si="32"/>
        <v>2018-05-20</v>
      </c>
      <c r="G1906">
        <v>4.5250000000000004</v>
      </c>
      <c r="H1906" t="str">
        <f>"2017-11-08"</f>
        <v>2017-11-08</v>
      </c>
      <c r="I1906" t="s">
        <v>57</v>
      </c>
      <c r="J1906" t="str">
        <f>"2017-07-19"</f>
        <v>2017-07-19</v>
      </c>
      <c r="K1906" t="s">
        <v>26</v>
      </c>
      <c r="L1906">
        <v>-2.9637419899999999</v>
      </c>
      <c r="M1906">
        <v>1905</v>
      </c>
      <c r="N1906" s="1">
        <v>0.61609999999999998</v>
      </c>
      <c r="O1906" s="1">
        <v>-0.78249999999999997</v>
      </c>
      <c r="P1906" s="1">
        <v>0.61609999999999998</v>
      </c>
      <c r="Q1906" s="1">
        <v>-4.7399999999999998E-2</v>
      </c>
      <c r="R1906" s="1">
        <v>-5.4999999999999997E-3</v>
      </c>
      <c r="S1906" s="1">
        <v>0.223</v>
      </c>
      <c r="T1906" s="1">
        <v>-0.24579999999999999</v>
      </c>
      <c r="U1906" s="1">
        <v>-0.65849999999999997</v>
      </c>
    </row>
    <row r="1907" spans="1:21" x14ac:dyDescent="0.25">
      <c r="A1907" t="s">
        <v>3978</v>
      </c>
      <c r="B1907" t="s">
        <v>3979</v>
      </c>
      <c r="C1907" t="s">
        <v>37</v>
      </c>
      <c r="D1907" t="s">
        <v>38</v>
      </c>
      <c r="E1907" t="s">
        <v>39</v>
      </c>
      <c r="F1907" t="str">
        <f t="shared" si="32"/>
        <v>2018-05-20</v>
      </c>
      <c r="G1907">
        <v>14.65</v>
      </c>
      <c r="H1907" t="str">
        <f>"2017-12-26"</f>
        <v>2017-12-26</v>
      </c>
      <c r="I1907" t="s">
        <v>57</v>
      </c>
      <c r="J1907" t="str">
        <f>"2017-12-10"</f>
        <v>2017-12-10</v>
      </c>
      <c r="K1907" t="s">
        <v>40</v>
      </c>
      <c r="L1907">
        <v>-2.9639606399999998</v>
      </c>
      <c r="M1907">
        <v>1906</v>
      </c>
      <c r="N1907" s="1">
        <v>-0.60229999999999995</v>
      </c>
      <c r="O1907" s="1">
        <v>-0.78380000000000005</v>
      </c>
      <c r="P1907" s="1">
        <v>0.33300000000000002</v>
      </c>
      <c r="Q1907" s="1">
        <v>-4.1200000000000001E-2</v>
      </c>
      <c r="R1907" s="1">
        <v>-0.13869999999999999</v>
      </c>
      <c r="S1907" s="1">
        <v>0.27389999999999998</v>
      </c>
      <c r="T1907" s="1">
        <v>-0.58260000000000001</v>
      </c>
      <c r="U1907" s="1">
        <v>-0.7389</v>
      </c>
    </row>
    <row r="1908" spans="1:21" x14ac:dyDescent="0.25">
      <c r="A1908" t="s">
        <v>3980</v>
      </c>
      <c r="B1908" t="s">
        <v>3981</v>
      </c>
      <c r="C1908" t="s">
        <v>37</v>
      </c>
      <c r="D1908" t="s">
        <v>38</v>
      </c>
      <c r="E1908" t="s">
        <v>39</v>
      </c>
      <c r="F1908" t="str">
        <f t="shared" si="32"/>
        <v>2018-05-20</v>
      </c>
      <c r="G1908">
        <v>5.12</v>
      </c>
      <c r="H1908" t="str">
        <f>"2017-07-24"</f>
        <v>2017-07-24</v>
      </c>
      <c r="I1908" t="s">
        <v>57</v>
      </c>
      <c r="J1908" t="str">
        <f>"2017-06-13"</f>
        <v>2017-06-13</v>
      </c>
      <c r="K1908" t="s">
        <v>40</v>
      </c>
      <c r="L1908">
        <v>-2.9645919799999998</v>
      </c>
      <c r="M1908">
        <v>1907</v>
      </c>
      <c r="N1908" s="1">
        <v>-0.30049999999999999</v>
      </c>
      <c r="O1908" s="1">
        <v>-0.78759999999999997</v>
      </c>
      <c r="P1908" s="1">
        <v>0.32640000000000002</v>
      </c>
      <c r="Q1908" s="1">
        <v>9.9000000000000008E-3</v>
      </c>
      <c r="R1908" s="1">
        <v>-4.6600000000000003E-2</v>
      </c>
      <c r="S1908" s="1">
        <v>0.1278</v>
      </c>
      <c r="T1908" s="1">
        <v>-0.29089999999999999</v>
      </c>
      <c r="U1908" s="1">
        <v>-0.66120000000000001</v>
      </c>
    </row>
    <row r="1909" spans="1:21" x14ac:dyDescent="0.25">
      <c r="A1909" t="s">
        <v>3982</v>
      </c>
      <c r="B1909" t="s">
        <v>3983</v>
      </c>
      <c r="C1909" t="s">
        <v>23</v>
      </c>
      <c r="D1909" t="s">
        <v>52</v>
      </c>
      <c r="E1909" t="s">
        <v>53</v>
      </c>
      <c r="F1909" t="str">
        <f t="shared" si="32"/>
        <v>2018-05-20</v>
      </c>
      <c r="G1909">
        <v>5.27</v>
      </c>
      <c r="H1909" t="str">
        <f>"2017-04-10"</f>
        <v>2017-04-10</v>
      </c>
      <c r="I1909" t="s">
        <v>57</v>
      </c>
      <c r="J1909" t="str">
        <f>"2016-12-07"</f>
        <v>2016-12-07</v>
      </c>
      <c r="K1909" t="s">
        <v>27</v>
      </c>
      <c r="L1909">
        <v>-2.9658899700000001</v>
      </c>
      <c r="M1909">
        <v>1908</v>
      </c>
      <c r="N1909" s="1">
        <v>-0.73340000000000005</v>
      </c>
      <c r="O1909" s="1">
        <v>-0.79530000000000001</v>
      </c>
      <c r="P1909" s="1">
        <v>0.47620000000000001</v>
      </c>
      <c r="Q1909" s="1">
        <v>3.8E-3</v>
      </c>
      <c r="R1909" s="1">
        <v>7.5499999999999998E-2</v>
      </c>
      <c r="S1909" s="1">
        <v>-0.1231</v>
      </c>
      <c r="T1909" s="1">
        <v>-0.16880000000000001</v>
      </c>
      <c r="U1909" s="1">
        <v>-0.72030000000000005</v>
      </c>
    </row>
    <row r="1910" spans="1:21" x14ac:dyDescent="0.25">
      <c r="A1910" t="s">
        <v>3984</v>
      </c>
      <c r="B1910" t="s">
        <v>3985</v>
      </c>
      <c r="C1910" t="s">
        <v>87</v>
      </c>
      <c r="D1910" t="s">
        <v>88</v>
      </c>
      <c r="E1910" t="s">
        <v>89</v>
      </c>
      <c r="F1910" t="str">
        <f t="shared" si="32"/>
        <v>2018-05-20</v>
      </c>
      <c r="G1910">
        <v>2.25</v>
      </c>
      <c r="H1910" t="str">
        <f>"2018-04-26"</f>
        <v>2018-04-26</v>
      </c>
      <c r="I1910" t="s">
        <v>57</v>
      </c>
      <c r="J1910" t="str">
        <f>"2017-04-13"</f>
        <v>2017-04-13</v>
      </c>
      <c r="K1910" t="s">
        <v>34</v>
      </c>
      <c r="L1910">
        <v>-2.9690594099999998</v>
      </c>
      <c r="M1910">
        <v>1909</v>
      </c>
      <c r="N1910" s="1">
        <v>-0.16669999999999999</v>
      </c>
      <c r="O1910" s="1">
        <v>-0.81440000000000001</v>
      </c>
      <c r="P1910" s="1">
        <v>0.29310000000000003</v>
      </c>
      <c r="Q1910" s="1">
        <v>5.8799999999999998E-2</v>
      </c>
      <c r="R1910" s="1">
        <v>0.2195</v>
      </c>
      <c r="S1910" s="1">
        <v>-0.13789999999999999</v>
      </c>
      <c r="T1910" s="1">
        <v>-0.49659999999999999</v>
      </c>
      <c r="U1910" s="1">
        <v>-0.8095</v>
      </c>
    </row>
    <row r="1911" spans="1:21" x14ac:dyDescent="0.25">
      <c r="A1911" t="s">
        <v>3986</v>
      </c>
      <c r="B1911" t="s">
        <v>3987</v>
      </c>
      <c r="C1911" t="s">
        <v>43</v>
      </c>
      <c r="D1911" t="s">
        <v>44</v>
      </c>
      <c r="E1911" t="s">
        <v>599</v>
      </c>
      <c r="F1911" t="str">
        <f t="shared" si="32"/>
        <v>2018-05-20</v>
      </c>
      <c r="G1911">
        <v>3.97</v>
      </c>
      <c r="H1911" t="str">
        <f>"2017-09-18"</f>
        <v>2017-09-18</v>
      </c>
      <c r="I1911" t="s">
        <v>57</v>
      </c>
      <c r="J1911" t="str">
        <f>"2017-08-02"</f>
        <v>2017-08-02</v>
      </c>
      <c r="K1911" t="s">
        <v>40</v>
      </c>
      <c r="L1911">
        <v>-2.9697731100000002</v>
      </c>
      <c r="M1911">
        <v>1910</v>
      </c>
      <c r="N1911" s="1">
        <v>-0.39300000000000002</v>
      </c>
      <c r="O1911" s="1">
        <v>-0.81859999999999999</v>
      </c>
      <c r="P1911" s="1">
        <v>1.4968999999999999</v>
      </c>
      <c r="Q1911" s="1">
        <v>0.1183</v>
      </c>
      <c r="R1911" s="1">
        <v>0.2445</v>
      </c>
      <c r="S1911" s="1">
        <v>0.61380000000000001</v>
      </c>
      <c r="T1911" s="1">
        <v>0.50380000000000003</v>
      </c>
      <c r="U1911" s="1">
        <v>-0.62929999999999997</v>
      </c>
    </row>
    <row r="1912" spans="1:21" x14ac:dyDescent="0.25">
      <c r="A1912" t="s">
        <v>3988</v>
      </c>
      <c r="B1912" t="s">
        <v>3989</v>
      </c>
      <c r="C1912" t="s">
        <v>43</v>
      </c>
      <c r="D1912" t="s">
        <v>169</v>
      </c>
      <c r="E1912" t="s">
        <v>904</v>
      </c>
      <c r="F1912" t="str">
        <f t="shared" si="32"/>
        <v>2018-05-20</v>
      </c>
      <c r="G1912">
        <v>2.16</v>
      </c>
      <c r="H1912" t="str">
        <f>"2016-08-21"</f>
        <v>2016-08-21</v>
      </c>
      <c r="I1912" t="s">
        <v>57</v>
      </c>
      <c r="J1912" t="str">
        <f>"2016-05-02"</f>
        <v>2016-05-02</v>
      </c>
      <c r="K1912" t="s">
        <v>26</v>
      </c>
      <c r="L1912">
        <v>-2.9773002900000001</v>
      </c>
      <c r="M1912">
        <v>1911</v>
      </c>
      <c r="N1912" s="1">
        <v>-0.79990000000000006</v>
      </c>
      <c r="O1912" s="1">
        <v>-0.86380000000000001</v>
      </c>
      <c r="P1912" s="1">
        <v>0.15509999999999999</v>
      </c>
      <c r="Q1912" s="1">
        <v>1.41E-2</v>
      </c>
      <c r="R1912" s="1">
        <v>6.4000000000000001E-2</v>
      </c>
      <c r="S1912" s="1">
        <v>1.89E-2</v>
      </c>
      <c r="T1912" s="1">
        <v>-9.2399999999999996E-2</v>
      </c>
      <c r="U1912" s="1">
        <v>-0.69220000000000004</v>
      </c>
    </row>
    <row r="1913" spans="1:21" x14ac:dyDescent="0.25">
      <c r="A1913" t="s">
        <v>3990</v>
      </c>
      <c r="B1913" t="s">
        <v>3991</v>
      </c>
      <c r="C1913" t="s">
        <v>37</v>
      </c>
      <c r="D1913" t="s">
        <v>38</v>
      </c>
      <c r="E1913" t="s">
        <v>39</v>
      </c>
      <c r="F1913" t="str">
        <f t="shared" si="32"/>
        <v>2018-05-20</v>
      </c>
      <c r="G1913">
        <v>1.79</v>
      </c>
      <c r="H1913" t="str">
        <f>"2017-03-22"</f>
        <v>2017-03-22</v>
      </c>
      <c r="I1913" t="s">
        <v>57</v>
      </c>
      <c r="J1913" t="str">
        <f>"2016-10-19"</f>
        <v>2016-10-19</v>
      </c>
      <c r="K1913" t="s">
        <v>40</v>
      </c>
      <c r="L1913">
        <v>-2.9813308300000001</v>
      </c>
      <c r="M1913">
        <v>1912</v>
      </c>
      <c r="N1913" s="1">
        <v>-0.76749999999999996</v>
      </c>
      <c r="O1913" s="1">
        <v>-0.88800000000000001</v>
      </c>
      <c r="P1913" s="1">
        <v>0.1258</v>
      </c>
      <c r="Q1913" s="1">
        <v>-4.2799999999999998E-2</v>
      </c>
      <c r="R1913" s="1">
        <v>-4.7899999999999998E-2</v>
      </c>
      <c r="S1913" s="1">
        <v>0.10489999999999999</v>
      </c>
      <c r="T1913" s="1">
        <v>-4.7899999999999998E-2</v>
      </c>
      <c r="U1913" s="1">
        <v>-0.79110000000000003</v>
      </c>
    </row>
    <row r="1914" spans="1:21" x14ac:dyDescent="0.25">
      <c r="A1914" t="s">
        <v>3992</v>
      </c>
      <c r="B1914" t="s">
        <v>3993</v>
      </c>
      <c r="C1914" t="s">
        <v>37</v>
      </c>
      <c r="D1914" t="s">
        <v>38</v>
      </c>
      <c r="E1914" t="s">
        <v>39</v>
      </c>
      <c r="F1914" t="str">
        <f t="shared" si="32"/>
        <v>2018-05-20</v>
      </c>
      <c r="G1914">
        <v>1.22</v>
      </c>
      <c r="H1914" t="str">
        <f>"2017-11-30"</f>
        <v>2017-11-30</v>
      </c>
      <c r="I1914" t="s">
        <v>57</v>
      </c>
      <c r="J1914" t="str">
        <f>"2017-03-15"</f>
        <v>2017-03-15</v>
      </c>
      <c r="K1914" t="s">
        <v>26</v>
      </c>
      <c r="L1914">
        <v>-2.9922391899999998</v>
      </c>
      <c r="M1914">
        <v>1913</v>
      </c>
      <c r="N1914" s="1">
        <v>-0.77900000000000003</v>
      </c>
      <c r="O1914" s="1">
        <v>-0.95340000000000003</v>
      </c>
      <c r="P1914" s="1">
        <v>0.16189999999999999</v>
      </c>
      <c r="Q1914" s="1">
        <v>-6.1499999999999999E-2</v>
      </c>
      <c r="R1914" s="1">
        <v>-8.0999999999999996E-3</v>
      </c>
      <c r="S1914" s="1">
        <v>0.16189999999999999</v>
      </c>
      <c r="T1914" s="1">
        <v>-0.22289999999999999</v>
      </c>
      <c r="U1914" s="1">
        <v>-0.94620000000000004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russell 2000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</cp:lastModifiedBy>
  <dcterms:created xsi:type="dcterms:W3CDTF">2018-05-22T16:52:02Z</dcterms:created>
  <dcterms:modified xsi:type="dcterms:W3CDTF">2018-05-22T16:52:02Z</dcterms:modified>
</cp:coreProperties>
</file>