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ropbox\SA COMPANY ANALYSIS FILES\Intellia Therapeutics\"/>
    </mc:Choice>
  </mc:AlternateContent>
  <bookViews>
    <workbookView xWindow="0" yWindow="458" windowWidth="28800" windowHeight="16140" activeTab="1"/>
  </bookViews>
  <sheets>
    <sheet name="Revenue forecast sheet" sheetId="7" r:id="rId1"/>
    <sheet name="Operating value calculation" sheetId="5" r:id="rId2"/>
    <sheet name="Notes" sheetId="8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5" l="1"/>
  <c r="J5" i="5"/>
  <c r="K5" i="5"/>
  <c r="L5" i="5"/>
  <c r="C5" i="5"/>
  <c r="D5" i="5"/>
  <c r="E5" i="5"/>
  <c r="F5" i="5"/>
  <c r="G5" i="5"/>
  <c r="H5" i="5"/>
  <c r="I5" i="5"/>
  <c r="B5" i="5"/>
  <c r="J21" i="7"/>
  <c r="K21" i="7"/>
  <c r="L21" i="7"/>
  <c r="C21" i="7"/>
  <c r="D21" i="7"/>
  <c r="E21" i="7"/>
  <c r="F21" i="7"/>
  <c r="G21" i="7"/>
  <c r="H21" i="7"/>
  <c r="I21" i="7"/>
  <c r="B21" i="7"/>
  <c r="K19" i="7"/>
  <c r="L19" i="7"/>
  <c r="D19" i="7"/>
  <c r="E19" i="7"/>
  <c r="F19" i="7"/>
  <c r="G19" i="7"/>
  <c r="H19" i="7"/>
  <c r="I19" i="7"/>
  <c r="J19" i="7"/>
  <c r="C19" i="7"/>
  <c r="B19" i="7"/>
  <c r="F8" i="7"/>
  <c r="G8" i="7"/>
  <c r="E8" i="7"/>
  <c r="F7" i="7"/>
  <c r="E7" i="7"/>
  <c r="D7" i="7"/>
  <c r="E6" i="7"/>
  <c r="D6" i="7"/>
  <c r="C6" i="7"/>
  <c r="B7" i="5"/>
  <c r="C7" i="5"/>
  <c r="D7" i="5"/>
  <c r="E7" i="5"/>
  <c r="F7" i="5"/>
  <c r="G7" i="5"/>
  <c r="H7" i="5"/>
  <c r="I7" i="5"/>
  <c r="B12" i="5"/>
  <c r="J7" i="5"/>
  <c r="K7" i="5"/>
  <c r="L7" i="5"/>
  <c r="B16" i="5"/>
</calcChain>
</file>

<file path=xl/sharedStrings.xml><?xml version="1.0" encoding="utf-8"?>
<sst xmlns="http://schemas.openxmlformats.org/spreadsheetml/2006/main" count="25" uniqueCount="24">
  <si>
    <t>Discount rate</t>
  </si>
  <si>
    <t>USD</t>
  </si>
  <si>
    <t>Step 1: Revenue and Net Income calculation</t>
  </si>
  <si>
    <t>Discounted value of FCF , USD</t>
  </si>
  <si>
    <t>Sum of discounted FCFs till peak revenue, USD</t>
  </si>
  <si>
    <t>Contribution per share from this clinical indication</t>
  </si>
  <si>
    <t>Diluted share count</t>
  </si>
  <si>
    <t>Forecasted Operating value, risk adjusted NPV</t>
  </si>
  <si>
    <t>Calculating risk-adj NPV of Regeneron milestone payments for remaining 9 targets</t>
  </si>
  <si>
    <t>Upfront payments ($75M each target), USD</t>
  </si>
  <si>
    <t>Regulatory milestone payments ($110M each target) a) targets selected in 2017, USD</t>
  </si>
  <si>
    <t>Development milestone payments ($25M each target) a) 2 targets selected in 2017, USD</t>
  </si>
  <si>
    <t>Development milestone payments ($25M each target) b)  3 targets selected in 2018, USD</t>
  </si>
  <si>
    <t>Development milestone payments ($25M each target) c) 4 targets selected in 2019, USD</t>
  </si>
  <si>
    <t>Regulatory milestone payments ($110M each target) a) targets selected in 2018, USD</t>
  </si>
  <si>
    <t>Regulatory milestone payments ($110M each target) a) targets selected in 2019, USD</t>
  </si>
  <si>
    <t xml:space="preserve">Sales milestone payments (distributed over 5 years after approval). $185M total each target, </t>
  </si>
  <si>
    <t>a) for 2 targets selected in 2017, USD</t>
  </si>
  <si>
    <t>b) for 3 targets selected in 2018, USD</t>
  </si>
  <si>
    <t>c) for 4 targets selected in 2019, USD</t>
  </si>
  <si>
    <t>Total projected revenue from above payments to Intellia, USD</t>
  </si>
  <si>
    <t>Probability of getting these payments at current preclinical stage=10% (Milken Institute data)</t>
  </si>
  <si>
    <t>Risk-adjusted payments to Intellia from Regeneron, USD</t>
  </si>
  <si>
    <t xml:space="preserve">FCF from operations, , USD, 15.4% of 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</si>
</sst>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3" tint="-0.2499465926084170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1" fillId="5" borderId="0" xfId="0" applyFont="1" applyFill="1"/>
    <xf numFmtId="0" fontId="0" fillId="4" borderId="0" xfId="0" applyFill="1"/>
    <xf numFmtId="0" fontId="0" fillId="3" borderId="0" xfId="0" applyFill="1"/>
    <xf numFmtId="164" fontId="0" fillId="0" borderId="0" xfId="0" applyNumberFormat="1"/>
    <xf numFmtId="0" fontId="0" fillId="7" borderId="0" xfId="0" applyFill="1"/>
    <xf numFmtId="0" fontId="6" fillId="5" borderId="0" xfId="0" applyFont="1" applyFill="1"/>
    <xf numFmtId="165" fontId="0" fillId="0" borderId="0" xfId="0" applyNumberFormat="1"/>
    <xf numFmtId="164" fontId="0" fillId="2" borderId="0" xfId="0" applyNumberFormat="1" applyFill="1"/>
    <xf numFmtId="3" fontId="7" fillId="0" borderId="0" xfId="0" applyNumberFormat="1" applyFont="1" applyFill="1"/>
    <xf numFmtId="41" fontId="2" fillId="5" borderId="0" xfId="0" applyNumberFormat="1" applyFont="1" applyFill="1"/>
    <xf numFmtId="41" fontId="2" fillId="6" borderId="0" xfId="0" applyNumberFormat="1" applyFont="1" applyFill="1"/>
    <xf numFmtId="3" fontId="8" fillId="0" borderId="0" xfId="0" applyNumberFormat="1" applyFont="1" applyFill="1"/>
    <xf numFmtId="165" fontId="1" fillId="0" borderId="0" xfId="0" applyNumberFormat="1" applyFont="1" applyFill="1"/>
    <xf numFmtId="3" fontId="5" fillId="0" borderId="0" xfId="0" applyNumberFormat="1" applyFont="1" applyFill="1"/>
    <xf numFmtId="3" fontId="9" fillId="0" borderId="0" xfId="0" applyNumberFormat="1" applyFont="1"/>
    <xf numFmtId="165" fontId="0" fillId="3" borderId="0" xfId="0" applyNumberFormat="1" applyFont="1" applyFill="1"/>
    <xf numFmtId="0" fontId="1" fillId="3" borderId="0" xfId="0" applyFont="1" applyFill="1"/>
    <xf numFmtId="3" fontId="0" fillId="3" borderId="0" xfId="0" applyNumberFormat="1" applyFill="1"/>
    <xf numFmtId="3" fontId="1" fillId="3" borderId="0" xfId="0" applyNumberFormat="1" applyFont="1" applyFill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25" zoomScaleNormal="125" zoomScalePageLayoutView="125" workbookViewId="0">
      <selection activeCell="A21" sqref="A21:XFD21"/>
    </sheetView>
  </sheetViews>
  <sheetFormatPr defaultColWidth="8.796875" defaultRowHeight="14.25" x14ac:dyDescent="0.45"/>
  <cols>
    <col min="1" max="1" width="79.265625" customWidth="1"/>
    <col min="2" max="2" width="17.33203125" customWidth="1"/>
    <col min="3" max="3" width="15.6640625" customWidth="1"/>
    <col min="4" max="4" width="16.1328125" customWidth="1"/>
    <col min="5" max="5" width="15.9296875" customWidth="1"/>
    <col min="6" max="6" width="18.33203125" customWidth="1"/>
    <col min="7" max="7" width="15.6640625" customWidth="1"/>
    <col min="8" max="8" width="16.59765625" customWidth="1"/>
    <col min="9" max="9" width="15.6640625" customWidth="1"/>
    <col min="10" max="10" width="20.46484375" customWidth="1"/>
    <col min="11" max="11" width="18" customWidth="1"/>
    <col min="12" max="12" width="18.9296875" customWidth="1"/>
    <col min="13" max="13" width="10.796875" customWidth="1"/>
    <col min="14" max="14" width="9.73046875" customWidth="1"/>
    <col min="15" max="15" width="9.59765625" customWidth="1"/>
    <col min="16" max="16" width="10.6640625" customWidth="1"/>
    <col min="17" max="17" width="10.33203125" customWidth="1"/>
  </cols>
  <sheetData>
    <row r="1" spans="1:12" s="15" customFormat="1" ht="18" customHeight="1" x14ac:dyDescent="0.4">
      <c r="A1" s="18" t="s">
        <v>8</v>
      </c>
      <c r="F1" s="15">
        <v>0.09</v>
      </c>
    </row>
    <row r="2" spans="1:12" s="15" customFormat="1" ht="18" customHeight="1" x14ac:dyDescent="0.4">
      <c r="A2" s="20"/>
    </row>
    <row r="4" spans="1:12" x14ac:dyDescent="0.45">
      <c r="B4">
        <v>2016</v>
      </c>
      <c r="C4">
        <v>2017</v>
      </c>
      <c r="D4">
        <v>2018</v>
      </c>
      <c r="E4">
        <v>2019</v>
      </c>
      <c r="F4">
        <v>2020</v>
      </c>
      <c r="G4">
        <v>2021</v>
      </c>
      <c r="H4">
        <v>2022</v>
      </c>
      <c r="I4">
        <v>2023</v>
      </c>
      <c r="J4">
        <v>2024</v>
      </c>
      <c r="K4">
        <v>2025</v>
      </c>
      <c r="L4">
        <v>2026</v>
      </c>
    </row>
    <row r="5" spans="1:12" x14ac:dyDescent="0.45">
      <c r="A5" t="s">
        <v>9</v>
      </c>
      <c r="C5" s="2">
        <v>150000000</v>
      </c>
      <c r="D5" s="2">
        <v>225000000</v>
      </c>
      <c r="E5" s="2">
        <v>300000000</v>
      </c>
    </row>
    <row r="6" spans="1:12" x14ac:dyDescent="0.45">
      <c r="A6" t="s">
        <v>11</v>
      </c>
      <c r="C6" s="2">
        <f>50000000/3</f>
        <v>16666666.666666666</v>
      </c>
      <c r="D6" s="2">
        <f t="shared" ref="D6:F6" si="0">50000000/3</f>
        <v>16666666.666666666</v>
      </c>
      <c r="E6" s="2">
        <f t="shared" si="0"/>
        <v>16666666.666666666</v>
      </c>
      <c r="F6" s="2"/>
    </row>
    <row r="7" spans="1:12" x14ac:dyDescent="0.45">
      <c r="A7" s="3" t="s">
        <v>12</v>
      </c>
      <c r="D7" s="2">
        <f>75000000/3</f>
        <v>25000000</v>
      </c>
      <c r="E7" s="2">
        <f t="shared" ref="E7:G7" si="1">75000000/3</f>
        <v>25000000</v>
      </c>
      <c r="F7" s="2">
        <f t="shared" si="1"/>
        <v>25000000</v>
      </c>
      <c r="G7" s="2"/>
    </row>
    <row r="8" spans="1:12" x14ac:dyDescent="0.45">
      <c r="A8" s="3" t="s">
        <v>13</v>
      </c>
      <c r="E8" s="2">
        <f>100000000/3</f>
        <v>33333333.333333332</v>
      </c>
      <c r="F8" s="2">
        <f t="shared" ref="F8:G8" si="2">100000000/3</f>
        <v>33333333.333333332</v>
      </c>
      <c r="G8" s="2">
        <f t="shared" si="2"/>
        <v>33333333.333333332</v>
      </c>
    </row>
    <row r="10" spans="1:12" x14ac:dyDescent="0.45">
      <c r="A10" s="3" t="s">
        <v>10</v>
      </c>
      <c r="E10" s="2">
        <v>110000000</v>
      </c>
      <c r="F10" s="2">
        <v>110000000</v>
      </c>
    </row>
    <row r="11" spans="1:12" x14ac:dyDescent="0.45">
      <c r="A11" s="3" t="s">
        <v>14</v>
      </c>
      <c r="F11" s="2">
        <v>165000000</v>
      </c>
      <c r="G11" s="2">
        <v>165000000</v>
      </c>
    </row>
    <row r="12" spans="1:12" x14ac:dyDescent="0.45">
      <c r="A12" s="3" t="s">
        <v>15</v>
      </c>
      <c r="G12" s="2">
        <v>220000000</v>
      </c>
      <c r="H12" s="2">
        <v>220000000</v>
      </c>
    </row>
    <row r="14" spans="1:12" x14ac:dyDescent="0.45">
      <c r="A14" t="s">
        <v>16</v>
      </c>
    </row>
    <row r="15" spans="1:12" x14ac:dyDescent="0.45">
      <c r="A15" t="s">
        <v>17</v>
      </c>
      <c r="F15" s="2">
        <v>74000000</v>
      </c>
      <c r="G15" s="2">
        <v>74000000</v>
      </c>
      <c r="H15" s="2">
        <v>74000000</v>
      </c>
      <c r="I15" s="2">
        <v>74000000</v>
      </c>
      <c r="J15" s="2">
        <v>74000000</v>
      </c>
    </row>
    <row r="16" spans="1:12" x14ac:dyDescent="0.45">
      <c r="A16" t="s">
        <v>18</v>
      </c>
      <c r="G16" s="2">
        <v>110000000</v>
      </c>
      <c r="H16" s="2">
        <v>110000000</v>
      </c>
      <c r="I16" s="2">
        <v>110000000</v>
      </c>
      <c r="J16" s="2">
        <v>110000000</v>
      </c>
      <c r="K16" s="2">
        <v>110000000</v>
      </c>
    </row>
    <row r="17" spans="1:12" x14ac:dyDescent="0.45">
      <c r="A17" s="3" t="s">
        <v>19</v>
      </c>
      <c r="H17" s="2">
        <v>148000000</v>
      </c>
      <c r="I17" s="2">
        <v>148000000</v>
      </c>
      <c r="J17" s="2">
        <v>148000000</v>
      </c>
      <c r="K17" s="2">
        <v>148000000</v>
      </c>
      <c r="L17" s="2">
        <v>148000000</v>
      </c>
    </row>
    <row r="19" spans="1:12" s="23" customFormat="1" x14ac:dyDescent="0.45">
      <c r="A19" s="23" t="s">
        <v>20</v>
      </c>
      <c r="B19" s="23">
        <f>SUM(B5:B17)</f>
        <v>0</v>
      </c>
      <c r="C19" s="25">
        <f t="shared" ref="C19:L19" si="3">SUM(C5:C17)</f>
        <v>166666666.66666666</v>
      </c>
      <c r="D19" s="25">
        <f t="shared" si="3"/>
        <v>266666666.66666666</v>
      </c>
      <c r="E19" s="25">
        <f t="shared" si="3"/>
        <v>485000000</v>
      </c>
      <c r="F19" s="25">
        <f t="shared" si="3"/>
        <v>407333333.33333331</v>
      </c>
      <c r="G19" s="25">
        <f t="shared" si="3"/>
        <v>602333333.33333337</v>
      </c>
      <c r="H19" s="25">
        <f t="shared" si="3"/>
        <v>552000000</v>
      </c>
      <c r="I19" s="25">
        <f t="shared" si="3"/>
        <v>332000000</v>
      </c>
      <c r="J19" s="25">
        <f t="shared" si="3"/>
        <v>332000000</v>
      </c>
      <c r="K19" s="25">
        <f t="shared" si="3"/>
        <v>258000000</v>
      </c>
      <c r="L19" s="25">
        <f t="shared" si="3"/>
        <v>148000000</v>
      </c>
    </row>
    <row r="20" spans="1:12" x14ac:dyDescent="0.45">
      <c r="A20" t="s">
        <v>21</v>
      </c>
      <c r="B20" s="26">
        <v>0.1</v>
      </c>
      <c r="C20" s="26">
        <v>0.1</v>
      </c>
      <c r="D20" s="26">
        <v>0.1</v>
      </c>
      <c r="E20" s="26">
        <v>0.1</v>
      </c>
      <c r="F20" s="26">
        <v>0.1</v>
      </c>
      <c r="G20" s="26">
        <v>0.1</v>
      </c>
      <c r="H20" s="26">
        <v>0.1</v>
      </c>
      <c r="I20" s="26">
        <v>0.1</v>
      </c>
      <c r="J20" s="26">
        <v>0.1</v>
      </c>
      <c r="K20" s="26">
        <v>0.1</v>
      </c>
      <c r="L20" s="26">
        <v>0.1</v>
      </c>
    </row>
    <row r="21" spans="1:12" s="9" customFormat="1" x14ac:dyDescent="0.45">
      <c r="A21" s="9" t="s">
        <v>22</v>
      </c>
      <c r="B21" s="24">
        <f>B19*B20</f>
        <v>0</v>
      </c>
      <c r="C21" s="24">
        <f t="shared" ref="C21:I21" si="4">C19*C20</f>
        <v>16666666.666666666</v>
      </c>
      <c r="D21" s="24">
        <f t="shared" si="4"/>
        <v>26666666.666666668</v>
      </c>
      <c r="E21" s="24">
        <f t="shared" si="4"/>
        <v>48500000</v>
      </c>
      <c r="F21" s="24">
        <f t="shared" si="4"/>
        <v>40733333.333333336</v>
      </c>
      <c r="G21" s="24">
        <f t="shared" si="4"/>
        <v>60233333.333333343</v>
      </c>
      <c r="H21" s="24">
        <f t="shared" si="4"/>
        <v>55200000</v>
      </c>
      <c r="I21" s="24">
        <f t="shared" si="4"/>
        <v>33200000</v>
      </c>
      <c r="J21" s="24">
        <f>J19*J20</f>
        <v>33200000</v>
      </c>
      <c r="K21" s="24">
        <f t="shared" ref="K21" si="5">K19*K20</f>
        <v>25800000</v>
      </c>
      <c r="L21" s="24">
        <f t="shared" ref="L21" si="6">L19*L20</f>
        <v>14800000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125" zoomScaleNormal="125" zoomScalePageLayoutView="125" workbookViewId="0">
      <selection activeCell="B16" sqref="B16"/>
    </sheetView>
  </sheetViews>
  <sheetFormatPr defaultColWidth="8.796875" defaultRowHeight="14.25" x14ac:dyDescent="0.45"/>
  <cols>
    <col min="1" max="1" width="76.73046875" customWidth="1"/>
    <col min="2" max="2" width="22" customWidth="1"/>
    <col min="3" max="3" width="12" customWidth="1"/>
    <col min="4" max="4" width="14.33203125" customWidth="1"/>
    <col min="5" max="5" width="15" customWidth="1"/>
    <col min="6" max="6" width="16.33203125" customWidth="1"/>
    <col min="7" max="7" width="16" customWidth="1"/>
    <col min="8" max="8" width="17" customWidth="1"/>
    <col min="9" max="9" width="15.33203125" customWidth="1"/>
    <col min="10" max="10" width="13.33203125" customWidth="1"/>
    <col min="11" max="11" width="14.1328125" customWidth="1"/>
    <col min="12" max="12" width="14.33203125" customWidth="1"/>
  </cols>
  <sheetData>
    <row r="1" spans="1:12" s="5" customFormat="1" ht="26.75" customHeight="1" x14ac:dyDescent="0.4">
      <c r="A1" s="4" t="s">
        <v>2</v>
      </c>
    </row>
    <row r="2" spans="1:12" s="6" customFormat="1" ht="13.15" x14ac:dyDescent="0.4">
      <c r="A2" s="6" t="s">
        <v>1</v>
      </c>
      <c r="B2" s="6">
        <v>2016</v>
      </c>
      <c r="C2" s="6">
        <v>2017</v>
      </c>
      <c r="D2" s="6">
        <v>2018</v>
      </c>
      <c r="E2" s="6">
        <v>2019</v>
      </c>
      <c r="F2" s="6">
        <v>2020</v>
      </c>
      <c r="G2" s="6">
        <v>2021</v>
      </c>
      <c r="H2" s="6">
        <v>2022</v>
      </c>
      <c r="I2" s="6">
        <v>2023</v>
      </c>
      <c r="J2" s="6">
        <v>2024</v>
      </c>
      <c r="K2" s="6">
        <v>2025</v>
      </c>
      <c r="L2" s="6">
        <v>2026</v>
      </c>
    </row>
    <row r="3" spans="1:12" s="6" customFormat="1" ht="13.15" x14ac:dyDescent="0.4"/>
    <row r="4" spans="1:12" s="17" customFormat="1" ht="29" customHeight="1" x14ac:dyDescent="0.4">
      <c r="A4" s="16" t="s">
        <v>22</v>
      </c>
      <c r="B4" s="17">
        <v>0</v>
      </c>
      <c r="C4" s="17">
        <v>16666666.666666666</v>
      </c>
      <c r="D4" s="17">
        <v>26666666.666666668</v>
      </c>
      <c r="E4" s="17">
        <v>48500000</v>
      </c>
      <c r="F4" s="17">
        <v>40733333.333333336</v>
      </c>
      <c r="G4" s="17">
        <v>60233333.333333343</v>
      </c>
      <c r="H4" s="17">
        <v>55200000</v>
      </c>
      <c r="I4" s="17">
        <v>33200000</v>
      </c>
      <c r="J4" s="17">
        <v>33200000</v>
      </c>
      <c r="K4" s="17">
        <v>25800000</v>
      </c>
      <c r="L4" s="17">
        <v>14800000</v>
      </c>
    </row>
    <row r="5" spans="1:12" s="9" customFormat="1" x14ac:dyDescent="0.45">
      <c r="A5" s="23" t="s">
        <v>23</v>
      </c>
      <c r="B5" s="24">
        <f>B4*0.154</f>
        <v>0</v>
      </c>
      <c r="C5" s="24">
        <f t="shared" ref="C5:I5" si="0">C4*0.154</f>
        <v>2566666.6666666665</v>
      </c>
      <c r="D5" s="24">
        <f t="shared" si="0"/>
        <v>4106666.666666667</v>
      </c>
      <c r="E5" s="24">
        <f t="shared" si="0"/>
        <v>7469000</v>
      </c>
      <c r="F5" s="24">
        <f t="shared" si="0"/>
        <v>6272933.333333334</v>
      </c>
      <c r="G5" s="24">
        <f t="shared" si="0"/>
        <v>9275933.333333334</v>
      </c>
      <c r="H5" s="24">
        <f t="shared" si="0"/>
        <v>8500800</v>
      </c>
      <c r="I5" s="24">
        <f t="shared" si="0"/>
        <v>5112800</v>
      </c>
      <c r="J5" s="24">
        <f>J4*0.154</f>
        <v>5112800</v>
      </c>
      <c r="K5" s="24">
        <f t="shared" ref="K5" si="1">K4*0.154</f>
        <v>3973200</v>
      </c>
      <c r="L5" s="24">
        <f t="shared" ref="L5" si="2">L4*0.154</f>
        <v>2279200</v>
      </c>
    </row>
    <row r="6" spans="1:12" x14ac:dyDescent="0.45">
      <c r="A6" t="s">
        <v>0</v>
      </c>
      <c r="B6">
        <v>0.15</v>
      </c>
      <c r="C6" s="3">
        <v>0.15</v>
      </c>
      <c r="D6" s="3">
        <v>0.15</v>
      </c>
      <c r="E6" s="3">
        <v>0.15</v>
      </c>
      <c r="F6" s="3">
        <v>0.15</v>
      </c>
      <c r="G6" s="3">
        <v>0.15</v>
      </c>
      <c r="H6" s="3">
        <v>0.15</v>
      </c>
      <c r="I6" s="3">
        <v>0.15</v>
      </c>
      <c r="J6" s="3">
        <v>0.15</v>
      </c>
      <c r="K6" s="3">
        <v>0.15</v>
      </c>
      <c r="L6" s="3">
        <v>0.15</v>
      </c>
    </row>
    <row r="7" spans="1:12" x14ac:dyDescent="0.45">
      <c r="A7" s="11" t="s">
        <v>3</v>
      </c>
      <c r="B7" s="2">
        <f>(B5)/((1+B6)^0.3)</f>
        <v>0</v>
      </c>
      <c r="C7" s="2">
        <f>(C5)/((1+C6)^1.3)</f>
        <v>2140239.0215373724</v>
      </c>
      <c r="D7" s="2">
        <f>(D5)/((1+D6)^2.3)</f>
        <v>2977723.8560519973</v>
      </c>
      <c r="E7" s="2">
        <f>(E5)/((1+E6)^3.3)</f>
        <v>4709335.0114735393</v>
      </c>
      <c r="F7" s="2">
        <f>(F5)/((1+F6)^4.3)</f>
        <v>3439299.1985780164</v>
      </c>
      <c r="G7" s="2">
        <f>(G5)/((1+G6)^5.3)</f>
        <v>4422410.6253685867</v>
      </c>
      <c r="H7" s="2">
        <f>(H5)/((1+H6)^6.3)</f>
        <v>3524223.1878974903</v>
      </c>
      <c r="I7" s="2">
        <f>(I5)/((1+I6)^7.3)</f>
        <v>1843166.5065878497</v>
      </c>
      <c r="J7" s="2">
        <f>(J5)/((1+J6)^8)</f>
        <v>1671383.3893206855</v>
      </c>
      <c r="K7" s="2">
        <f>(K5)/((1+K6)^9)</f>
        <v>1129431.4155179069</v>
      </c>
      <c r="L7" s="2">
        <f>(L5)/((1+L6)^10)</f>
        <v>563383.38219295663</v>
      </c>
    </row>
    <row r="9" spans="1:12" x14ac:dyDescent="0.45">
      <c r="A9" s="7" t="s">
        <v>4</v>
      </c>
      <c r="B9" s="14">
        <f>SUM(B7:L7)</f>
        <v>26420595.594526403</v>
      </c>
    </row>
    <row r="10" spans="1:12" x14ac:dyDescent="0.45">
      <c r="A10" s="8"/>
      <c r="B10" s="8"/>
      <c r="C10" s="8"/>
      <c r="D10" s="8"/>
      <c r="E10" s="8"/>
      <c r="F10" s="8"/>
      <c r="G10" s="8"/>
    </row>
    <row r="11" spans="1:12" x14ac:dyDescent="0.45">
      <c r="E11" s="1"/>
    </row>
    <row r="12" spans="1:12" ht="15.75" x14ac:dyDescent="0.5">
      <c r="A12" s="12" t="s">
        <v>7</v>
      </c>
      <c r="B12" s="10">
        <f>B9</f>
        <v>26420595.594526403</v>
      </c>
    </row>
    <row r="13" spans="1:12" x14ac:dyDescent="0.45">
      <c r="B13" s="2"/>
    </row>
    <row r="14" spans="1:12" x14ac:dyDescent="0.45">
      <c r="A14" t="s">
        <v>6</v>
      </c>
      <c r="B14" s="21">
        <v>38136786</v>
      </c>
    </row>
    <row r="15" spans="1:12" x14ac:dyDescent="0.45">
      <c r="B15" s="19"/>
    </row>
    <row r="16" spans="1:12" x14ac:dyDescent="0.45">
      <c r="A16" s="7" t="s">
        <v>5</v>
      </c>
      <c r="B16" s="22">
        <f>B12/B14</f>
        <v>0.69278506045387256</v>
      </c>
    </row>
    <row r="19" spans="2:2" x14ac:dyDescent="0.45">
      <c r="B19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ColWidth="8.79687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 forecast sheet</vt:lpstr>
      <vt:lpstr>Operating value calculation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2016-09-22T19:21:03Z</dcterms:modified>
</cp:coreProperties>
</file>