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ienTT1\Desktop\"/>
    </mc:Choice>
  </mc:AlternateContent>
  <bookViews>
    <workbookView xWindow="0" yWindow="0" windowWidth="12800" windowHeight="569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B2" i="3" l="1"/>
  <c r="E32" i="3"/>
  <c r="F32" i="3"/>
  <c r="F34" i="3"/>
  <c r="F33" i="3" s="1"/>
  <c r="E34" i="3"/>
  <c r="E33" i="3" s="1"/>
  <c r="E36" i="3" s="1"/>
  <c r="D34" i="3"/>
  <c r="D33" i="3" s="1"/>
  <c r="G20" i="3"/>
  <c r="H20" i="3" s="1"/>
  <c r="I20" i="3" s="1"/>
  <c r="J20" i="3" s="1"/>
  <c r="K20" i="3" s="1"/>
  <c r="E19" i="3"/>
  <c r="D19" i="3"/>
  <c r="F19" i="3"/>
  <c r="F16" i="3"/>
  <c r="F17" i="3" s="1"/>
  <c r="E16" i="3"/>
  <c r="E17" i="3" s="1"/>
  <c r="D16" i="3"/>
  <c r="D17" i="3" s="1"/>
  <c r="F15" i="3"/>
  <c r="E15" i="3"/>
  <c r="D15" i="3"/>
  <c r="G12" i="3"/>
  <c r="G14" i="3" s="1"/>
  <c r="G33" i="3" s="1"/>
  <c r="F13" i="3"/>
  <c r="E13" i="3"/>
  <c r="F25" i="3"/>
  <c r="F26" i="3" s="1"/>
  <c r="E25" i="3"/>
  <c r="E27" i="3" s="1"/>
  <c r="D25" i="3"/>
  <c r="D27" i="3" s="1"/>
  <c r="G16" i="3" l="1"/>
  <c r="G17" i="3" s="1"/>
  <c r="F37" i="3"/>
  <c r="F36" i="3"/>
  <c r="G18" i="3"/>
  <c r="G21" i="3" s="1"/>
  <c r="G25" i="3"/>
  <c r="G27" i="3" s="1"/>
  <c r="E37" i="3"/>
  <c r="F27" i="3"/>
  <c r="D26" i="3"/>
  <c r="E26" i="3"/>
  <c r="H12" i="3"/>
  <c r="H25" i="3" l="1"/>
  <c r="H27" i="3" s="1"/>
  <c r="H18" i="3"/>
  <c r="H21" i="3" s="1"/>
  <c r="I12" i="3"/>
  <c r="H14" i="3"/>
  <c r="H33" i="3" l="1"/>
  <c r="H16" i="3"/>
  <c r="H17" i="3" s="1"/>
  <c r="I18" i="3"/>
  <c r="I21" i="3" s="1"/>
  <c r="I25" i="3"/>
  <c r="I27" i="3" s="1"/>
  <c r="J12" i="3"/>
  <c r="I14" i="3"/>
  <c r="I16" i="3" l="1"/>
  <c r="I17" i="3" s="1"/>
  <c r="I33" i="3"/>
  <c r="J25" i="3"/>
  <c r="J27" i="3" s="1"/>
  <c r="J18" i="3"/>
  <c r="J21" i="3" s="1"/>
  <c r="J14" i="3"/>
  <c r="K12" i="3"/>
  <c r="K25" i="3" l="1"/>
  <c r="K27" i="3" s="1"/>
  <c r="K18" i="3"/>
  <c r="K21" i="3" s="1"/>
  <c r="J16" i="3"/>
  <c r="J17" i="3" s="1"/>
  <c r="J33" i="3"/>
  <c r="K14" i="3"/>
  <c r="K33" i="3" l="1"/>
  <c r="K16" i="3"/>
  <c r="K17" i="3" s="1"/>
</calcChain>
</file>

<file path=xl/sharedStrings.xml><?xml version="1.0" encoding="utf-8"?>
<sst xmlns="http://schemas.openxmlformats.org/spreadsheetml/2006/main" count="67" uniqueCount="63">
  <si>
    <t>Shirt Interest (0/0/0000)</t>
  </si>
  <si>
    <t xml:space="preserve">             Company Statisitcs </t>
  </si>
  <si>
    <t>Current Price-$30.59</t>
  </si>
  <si>
    <t>Avg Daily Volume-243,682</t>
  </si>
  <si>
    <t>Market Capitilization-$1.13B</t>
  </si>
  <si>
    <t>Enterprise Value-$1635.40M</t>
  </si>
  <si>
    <t>52 Week Range- $23.02- $38.94</t>
  </si>
  <si>
    <t xml:space="preserve">Sensitivity Analysis- FCF Valuation </t>
  </si>
  <si>
    <t xml:space="preserve">Bear </t>
  </si>
  <si>
    <t xml:space="preserve">Base </t>
  </si>
  <si>
    <t>Bull</t>
  </si>
  <si>
    <t>FCF/Share- 2017</t>
  </si>
  <si>
    <t xml:space="preserve">Yeild </t>
  </si>
  <si>
    <t>Implied Price</t>
  </si>
  <si>
    <t>Upside/Downside</t>
  </si>
  <si>
    <t>Sensitivity Analysis- EV/EBITDA Valuation</t>
  </si>
  <si>
    <t>Bear</t>
  </si>
  <si>
    <t>Base</t>
  </si>
  <si>
    <t>2017 EBITDA</t>
  </si>
  <si>
    <t>EV/EBITDA</t>
  </si>
  <si>
    <t>Implied EV</t>
  </si>
  <si>
    <t>(-) Net Debt</t>
  </si>
  <si>
    <t>Implied Market Cap</t>
  </si>
  <si>
    <t>Shares O/S</t>
  </si>
  <si>
    <t>Price Per Share</t>
  </si>
  <si>
    <t>Upside / Downside</t>
  </si>
  <si>
    <t>2016E</t>
  </si>
  <si>
    <t>2017E</t>
  </si>
  <si>
    <t>2018E</t>
  </si>
  <si>
    <t>2019E</t>
  </si>
  <si>
    <t>2020E</t>
  </si>
  <si>
    <t>Net Sales</t>
  </si>
  <si>
    <t>%growth</t>
  </si>
  <si>
    <r>
      <t xml:space="preserve">          </t>
    </r>
    <r>
      <rPr>
        <i/>
        <sz val="9"/>
        <color theme="1"/>
        <rFont val="Calibri"/>
        <family val="2"/>
        <scheme val="minor"/>
      </rPr>
      <t>Margin</t>
    </r>
  </si>
  <si>
    <t>Net Income</t>
  </si>
  <si>
    <t>Diluted EPS</t>
  </si>
  <si>
    <t>Cash From Ops</t>
  </si>
  <si>
    <t>Capex</t>
  </si>
  <si>
    <t>Free Cash Flow</t>
  </si>
  <si>
    <t xml:space="preserve">         % of revenue </t>
  </si>
  <si>
    <t>FCF/Share</t>
  </si>
  <si>
    <t>Invested Capital</t>
  </si>
  <si>
    <t>Tangible Capital</t>
  </si>
  <si>
    <t>NOPAT</t>
  </si>
  <si>
    <t>ROIC</t>
  </si>
  <si>
    <t>ROTIC</t>
  </si>
  <si>
    <t>Current stock price</t>
  </si>
  <si>
    <t>Gross Income</t>
  </si>
  <si>
    <t>Gross Margin</t>
  </si>
  <si>
    <r>
      <t xml:space="preserve">     </t>
    </r>
    <r>
      <rPr>
        <b/>
        <sz val="10"/>
        <color theme="4"/>
        <rFont val="Calibri"/>
        <family val="2"/>
        <scheme val="minor"/>
      </rPr>
      <t>EBITDA</t>
    </r>
  </si>
  <si>
    <t>Tax rate</t>
  </si>
  <si>
    <t>Company Name</t>
  </si>
  <si>
    <t>Ticker</t>
  </si>
  <si>
    <t>Share price at last close</t>
  </si>
  <si>
    <t>date of last colsing price</t>
  </si>
  <si>
    <t>lastest fiscal year end date</t>
  </si>
  <si>
    <t>Topbuild Inc.</t>
  </si>
  <si>
    <t>BLD</t>
  </si>
  <si>
    <t>TopBuild Inc. vs. Chicago Bridge and Iron Company</t>
  </si>
  <si>
    <t>EBIT</t>
  </si>
  <si>
    <t>EBITDA</t>
  </si>
  <si>
    <t>TopBuild Inc.</t>
  </si>
  <si>
    <t xml:space="preserve">Chicago Bridge and Iron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</si>
</sst>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2" fillId="0" borderId="5" xfId="0" applyFont="1" applyFill="1" applyBorder="1"/>
    <xf numFmtId="6" fontId="0" fillId="0" borderId="0" xfId="0" applyNumberFormat="1"/>
    <xf numFmtId="9" fontId="5" fillId="0" borderId="0" xfId="0" applyNumberFormat="1" applyFont="1"/>
    <xf numFmtId="8" fontId="0" fillId="0" borderId="0" xfId="0" applyNumberFormat="1"/>
    <xf numFmtId="9" fontId="0" fillId="0" borderId="0" xfId="2" applyFont="1"/>
    <xf numFmtId="164" fontId="0" fillId="0" borderId="0" xfId="2" applyNumberFormat="1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2" xfId="0" applyFont="1" applyBorder="1"/>
    <xf numFmtId="6" fontId="0" fillId="0" borderId="0" xfId="0" applyNumberFormat="1" applyAlignment="1">
      <alignment horizontal="center"/>
    </xf>
    <xf numFmtId="9" fontId="5" fillId="0" borderId="0" xfId="2" applyFont="1"/>
    <xf numFmtId="10" fontId="0" fillId="0" borderId="0" xfId="2" applyNumberFormat="1" applyFont="1"/>
    <xf numFmtId="44" fontId="0" fillId="0" borderId="0" xfId="1" applyFont="1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44" fontId="0" fillId="0" borderId="0" xfId="0" applyNumberFormat="1"/>
    <xf numFmtId="0" fontId="0" fillId="0" borderId="0" xfId="0" applyNumberFormat="1"/>
    <xf numFmtId="0" fontId="0" fillId="0" borderId="0" xfId="0" applyFont="1"/>
    <xf numFmtId="0" fontId="9" fillId="0" borderId="0" xfId="0" applyFont="1"/>
    <xf numFmtId="14" fontId="0" fillId="0" borderId="0" xfId="0" applyNumberFormat="1"/>
    <xf numFmtId="8" fontId="10" fillId="0" borderId="0" xfId="0" applyNumberFormat="1" applyFont="1"/>
    <xf numFmtId="6" fontId="10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7" sqref="A7"/>
    </sheetView>
  </sheetViews>
  <sheetFormatPr defaultRowHeight="14.5" x14ac:dyDescent="0.35"/>
  <cols>
    <col min="1" max="1" width="30.453125" bestFit="1" customWidth="1"/>
    <col min="3" max="3" width="8.7265625" customWidth="1"/>
  </cols>
  <sheetData>
    <row r="1" spans="1:1" x14ac:dyDescent="0.35">
      <c r="A1" s="4" t="s">
        <v>1</v>
      </c>
    </row>
    <row r="2" spans="1:1" x14ac:dyDescent="0.35">
      <c r="A2" t="s">
        <v>2</v>
      </c>
    </row>
    <row r="3" spans="1:1" x14ac:dyDescent="0.35">
      <c r="A3" t="s">
        <v>4</v>
      </c>
    </row>
    <row r="4" spans="1:1" x14ac:dyDescent="0.35">
      <c r="A4" t="s">
        <v>5</v>
      </c>
    </row>
    <row r="5" spans="1:1" x14ac:dyDescent="0.35">
      <c r="A5" t="s">
        <v>3</v>
      </c>
    </row>
    <row r="6" spans="1:1" x14ac:dyDescent="0.35">
      <c r="A6" t="s">
        <v>0</v>
      </c>
    </row>
    <row r="7" spans="1:1" x14ac:dyDescent="0.35">
      <c r="A7" t="s">
        <v>6</v>
      </c>
    </row>
    <row r="8" spans="1:1" x14ac:dyDescent="0.35">
      <c r="A8" s="3"/>
    </row>
    <row r="9" spans="1:1" x14ac:dyDescent="0.35">
      <c r="A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D5" sqref="D5"/>
    </sheetView>
  </sheetViews>
  <sheetFormatPr defaultRowHeight="14.5" x14ac:dyDescent="0.35"/>
  <cols>
    <col min="1" max="1" width="35.81640625" bestFit="1" customWidth="1"/>
  </cols>
  <sheetData>
    <row r="2" spans="1:4" x14ac:dyDescent="0.35">
      <c r="A2" s="5" t="s">
        <v>7</v>
      </c>
    </row>
    <row r="3" spans="1:4" x14ac:dyDescent="0.35">
      <c r="B3" s="1" t="s">
        <v>8</v>
      </c>
      <c r="C3" s="1" t="s">
        <v>9</v>
      </c>
      <c r="D3" s="1" t="s">
        <v>10</v>
      </c>
    </row>
    <row r="4" spans="1:4" x14ac:dyDescent="0.35">
      <c r="A4" t="s">
        <v>11</v>
      </c>
    </row>
    <row r="5" spans="1:4" x14ac:dyDescent="0.35">
      <c r="A5" s="1" t="s">
        <v>12</v>
      </c>
    </row>
    <row r="6" spans="1:4" x14ac:dyDescent="0.35">
      <c r="A6" s="4" t="s">
        <v>13</v>
      </c>
    </row>
    <row r="7" spans="1:4" x14ac:dyDescent="0.35">
      <c r="A7" s="6" t="s">
        <v>14</v>
      </c>
    </row>
    <row r="12" spans="1:4" x14ac:dyDescent="0.35">
      <c r="A12" s="1" t="s">
        <v>15</v>
      </c>
    </row>
    <row r="13" spans="1:4" x14ac:dyDescent="0.35">
      <c r="B13" s="1" t="s">
        <v>16</v>
      </c>
      <c r="C13" s="1" t="s">
        <v>17</v>
      </c>
      <c r="D13" s="1" t="s">
        <v>10</v>
      </c>
    </row>
    <row r="14" spans="1:4" x14ac:dyDescent="0.35">
      <c r="A14" t="s">
        <v>18</v>
      </c>
    </row>
    <row r="15" spans="1:4" x14ac:dyDescent="0.35">
      <c r="A15" s="1" t="s">
        <v>19</v>
      </c>
    </row>
    <row r="16" spans="1:4" x14ac:dyDescent="0.35">
      <c r="A16" s="7" t="s">
        <v>20</v>
      </c>
    </row>
    <row r="17" spans="1:1" x14ac:dyDescent="0.35">
      <c r="A17" s="8" t="s">
        <v>21</v>
      </c>
    </row>
    <row r="18" spans="1:1" x14ac:dyDescent="0.35">
      <c r="A18" s="7" t="s">
        <v>22</v>
      </c>
    </row>
    <row r="19" spans="1:1" x14ac:dyDescent="0.35">
      <c r="A19" s="8" t="s">
        <v>23</v>
      </c>
    </row>
    <row r="20" spans="1:1" x14ac:dyDescent="0.35">
      <c r="A20" s="9" t="s">
        <v>24</v>
      </c>
    </row>
    <row r="21" spans="1:1" x14ac:dyDescent="0.35">
      <c r="A21" s="10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topLeftCell="B2" zoomScale="59" workbookViewId="0">
      <selection activeCell="J43" sqref="J43"/>
    </sheetView>
  </sheetViews>
  <sheetFormatPr defaultRowHeight="14.5" x14ac:dyDescent="0.35"/>
  <cols>
    <col min="1" max="1" width="2.36328125" customWidth="1"/>
    <col min="2" max="2" width="48" customWidth="1"/>
    <col min="3" max="3" width="14.81640625" bestFit="1" customWidth="1"/>
    <col min="4" max="4" width="12.90625" bestFit="1" customWidth="1"/>
    <col min="5" max="6" width="14.54296875" bestFit="1" customWidth="1"/>
    <col min="7" max="10" width="13.81640625" bestFit="1" customWidth="1"/>
    <col min="11" max="11" width="13.7265625" customWidth="1"/>
    <col min="12" max="12" width="15.81640625" customWidth="1"/>
    <col min="13" max="13" width="13.81640625" customWidth="1"/>
    <col min="14" max="14" width="13.54296875" customWidth="1"/>
    <col min="15" max="15" width="13.81640625" bestFit="1" customWidth="1"/>
  </cols>
  <sheetData>
    <row r="2" spans="2:11" ht="33.5" x14ac:dyDescent="0.75">
      <c r="B2" s="39" t="str">
        <f>"Financial Model for " &amp;C4</f>
        <v>Financial Model for Topbuild Inc.</v>
      </c>
    </row>
    <row r="4" spans="2:11" x14ac:dyDescent="0.35">
      <c r="B4" s="38" t="s">
        <v>51</v>
      </c>
      <c r="C4" t="s">
        <v>56</v>
      </c>
    </row>
    <row r="5" spans="2:11" x14ac:dyDescent="0.35">
      <c r="B5" t="s">
        <v>52</v>
      </c>
      <c r="C5" t="s">
        <v>57</v>
      </c>
    </row>
    <row r="6" spans="2:11" x14ac:dyDescent="0.35">
      <c r="B6" t="s">
        <v>53</v>
      </c>
      <c r="C6" s="21">
        <v>36.200000000000003</v>
      </c>
    </row>
    <row r="7" spans="2:11" x14ac:dyDescent="0.35">
      <c r="B7" t="s">
        <v>54</v>
      </c>
      <c r="C7" s="40">
        <v>42689</v>
      </c>
    </row>
    <row r="8" spans="2:11" x14ac:dyDescent="0.35">
      <c r="B8" t="s">
        <v>55</v>
      </c>
      <c r="C8" s="40">
        <v>42369</v>
      </c>
    </row>
    <row r="11" spans="2:11" ht="15" thickBot="1" x14ac:dyDescent="0.4">
      <c r="D11" s="11">
        <v>2013</v>
      </c>
      <c r="E11" s="11">
        <v>2014</v>
      </c>
      <c r="F11" s="11">
        <v>2015</v>
      </c>
      <c r="G11" s="11" t="s">
        <v>26</v>
      </c>
      <c r="H11" s="11" t="s">
        <v>27</v>
      </c>
      <c r="I11" s="11" t="s">
        <v>28</v>
      </c>
      <c r="J11" s="11" t="s">
        <v>29</v>
      </c>
      <c r="K11" s="11" t="s">
        <v>30</v>
      </c>
    </row>
    <row r="12" spans="2:11" x14ac:dyDescent="0.35">
      <c r="C12" s="26" t="s">
        <v>31</v>
      </c>
      <c r="D12" s="19">
        <v>1411530</v>
      </c>
      <c r="E12" s="19">
        <v>1512080</v>
      </c>
      <c r="F12" s="19">
        <v>1616580</v>
      </c>
      <c r="G12" s="21">
        <f>(1+G13)*F12</f>
        <v>1665077.4000000001</v>
      </c>
      <c r="H12" s="21">
        <f t="shared" ref="H12:K12" si="0">(1+H13)*G12</f>
        <v>1715029.7220000003</v>
      </c>
      <c r="I12" s="21">
        <f t="shared" si="0"/>
        <v>1766480.6136600003</v>
      </c>
      <c r="J12" s="21">
        <f t="shared" si="0"/>
        <v>1819475.0320698004</v>
      </c>
      <c r="K12" s="21">
        <f t="shared" si="0"/>
        <v>1874059.2830318946</v>
      </c>
    </row>
    <row r="13" spans="2:11" x14ac:dyDescent="0.35">
      <c r="C13" s="12" t="s">
        <v>32</v>
      </c>
      <c r="D13" s="22" t="e">
        <f>D12/#REF!-1</f>
        <v>#REF!</v>
      </c>
      <c r="E13" s="22">
        <f>E12/D12-1</f>
        <v>7.1234759445424567E-2</v>
      </c>
      <c r="F13" s="22">
        <f>F12/E12-1</f>
        <v>6.9110099994709184E-2</v>
      </c>
      <c r="G13" s="20">
        <v>0.03</v>
      </c>
      <c r="H13" s="20">
        <v>0.03</v>
      </c>
      <c r="I13" s="20">
        <v>0.03</v>
      </c>
      <c r="J13" s="20">
        <v>0.03</v>
      </c>
      <c r="K13" s="20">
        <v>0.03</v>
      </c>
    </row>
    <row r="14" spans="2:11" x14ac:dyDescent="0.35">
      <c r="C14" s="25" t="s">
        <v>47</v>
      </c>
      <c r="D14" s="19">
        <v>302678</v>
      </c>
      <c r="E14" s="19">
        <v>331668</v>
      </c>
      <c r="F14" s="29">
        <v>358029</v>
      </c>
      <c r="G14" s="21">
        <f>G12*G15</f>
        <v>361321.79580000002</v>
      </c>
      <c r="H14" s="21">
        <f>H12*H15</f>
        <v>372161.44967400009</v>
      </c>
      <c r="I14" s="21">
        <f>I12*I15</f>
        <v>383326.29316422006</v>
      </c>
      <c r="J14" s="21">
        <f>J12*J15</f>
        <v>394826.08195914672</v>
      </c>
      <c r="K14" s="21">
        <f>K12*K15</f>
        <v>406670.86441792111</v>
      </c>
    </row>
    <row r="15" spans="2:11" ht="15" thickBot="1" x14ac:dyDescent="0.4">
      <c r="C15" s="2" t="s">
        <v>48</v>
      </c>
      <c r="D15" s="23">
        <f>D14/D12</f>
        <v>0.2144325660807776</v>
      </c>
      <c r="E15" s="23">
        <f>E14/E12</f>
        <v>0.21934553727316014</v>
      </c>
      <c r="F15" s="23">
        <f>F14/F12</f>
        <v>0.22147310989867497</v>
      </c>
      <c r="G15" s="30">
        <v>0.217</v>
      </c>
      <c r="H15" s="30">
        <v>0.217</v>
      </c>
      <c r="I15" s="30">
        <v>0.217</v>
      </c>
      <c r="J15" s="30">
        <v>0.217</v>
      </c>
      <c r="K15" s="30">
        <v>0.217</v>
      </c>
    </row>
    <row r="16" spans="2:11" x14ac:dyDescent="0.35">
      <c r="B16" s="24"/>
      <c r="C16" s="27" t="s">
        <v>49</v>
      </c>
      <c r="D16" s="19">
        <f>D14+27488</f>
        <v>330166</v>
      </c>
      <c r="E16" s="19">
        <f>E14+26079</f>
        <v>357747</v>
      </c>
      <c r="F16" s="19">
        <f>F14+12108</f>
        <v>370137</v>
      </c>
      <c r="G16" s="41">
        <f>G14+AVERAGE(12108,26079,27488)</f>
        <v>383213.46246666671</v>
      </c>
      <c r="H16" s="41">
        <f>H14+21891.6666666667</f>
        <v>394053.11634066678</v>
      </c>
      <c r="I16" s="41">
        <f t="shared" ref="I16:K16" si="1">I14+21891.6666666667</f>
        <v>405217.95983088674</v>
      </c>
      <c r="J16" s="41">
        <f t="shared" si="1"/>
        <v>416717.7486258134</v>
      </c>
      <c r="K16" s="41">
        <f t="shared" si="1"/>
        <v>428562.5310845878</v>
      </c>
    </row>
    <row r="17" spans="3:11" x14ac:dyDescent="0.35">
      <c r="C17" t="s">
        <v>33</v>
      </c>
      <c r="D17" s="22">
        <f>D16/D12</f>
        <v>0.23390647028401806</v>
      </c>
      <c r="E17" s="22">
        <f>E16/E12</f>
        <v>0.23659264060102639</v>
      </c>
      <c r="F17" s="22">
        <f>F16/F12</f>
        <v>0.22896299595442229</v>
      </c>
      <c r="G17" s="23">
        <f>G16/G12</f>
        <v>0.23014753696534868</v>
      </c>
      <c r="H17" s="23">
        <f t="shared" ref="H17:K17" si="2">H16/H12</f>
        <v>0.22976459899548418</v>
      </c>
      <c r="I17" s="23">
        <f t="shared" si="2"/>
        <v>0.22939281455872249</v>
      </c>
      <c r="J17" s="23">
        <f t="shared" si="2"/>
        <v>0.22903185879487623</v>
      </c>
      <c r="K17" s="23">
        <f t="shared" si="2"/>
        <v>0.22868141630570504</v>
      </c>
    </row>
    <row r="18" spans="3:11" x14ac:dyDescent="0.35">
      <c r="C18" s="25" t="s">
        <v>34</v>
      </c>
      <c r="D18" s="42">
        <v>-12738</v>
      </c>
      <c r="E18" s="19">
        <v>9403</v>
      </c>
      <c r="F18" s="19">
        <v>78971</v>
      </c>
      <c r="G18" s="21">
        <f>G12*G19</f>
        <v>74928.483000000007</v>
      </c>
      <c r="H18" s="32">
        <f>H19*H12</f>
        <v>77176.337490000005</v>
      </c>
      <c r="I18" s="21">
        <f>I19*I12</f>
        <v>70659.224546400015</v>
      </c>
      <c r="J18" s="21">
        <f>J19*J12</f>
        <v>63681.62612244302</v>
      </c>
      <c r="K18" s="21">
        <f>K19*K12</f>
        <v>65592.074906116322</v>
      </c>
    </row>
    <row r="19" spans="3:11" x14ac:dyDescent="0.35">
      <c r="C19" s="25"/>
      <c r="D19" s="22">
        <f t="shared" ref="D19:E19" si="3">D18/D12</f>
        <v>-9.0242502816093167E-3</v>
      </c>
      <c r="E19" s="22">
        <f t="shared" si="3"/>
        <v>6.2185863181842228E-3</v>
      </c>
      <c r="F19" s="23">
        <f>F18/F12</f>
        <v>4.8850660035383339E-2</v>
      </c>
      <c r="G19" s="33">
        <v>4.4999999999999998E-2</v>
      </c>
      <c r="H19" s="33">
        <v>4.4999999999999998E-2</v>
      </c>
      <c r="I19" s="33">
        <v>0.04</v>
      </c>
      <c r="J19" s="33">
        <v>3.5000000000000003E-2</v>
      </c>
      <c r="K19" s="33">
        <v>3.5000000000000003E-2</v>
      </c>
    </row>
    <row r="20" spans="3:11" ht="15" thickBot="1" x14ac:dyDescent="0.4">
      <c r="C20" s="28" t="s">
        <v>23</v>
      </c>
      <c r="D20" s="34">
        <v>37667.947</v>
      </c>
      <c r="E20" s="34">
        <v>37667.947</v>
      </c>
      <c r="F20" s="35">
        <v>37780.875</v>
      </c>
      <c r="G20" s="35">
        <f>F20</f>
        <v>37780.875</v>
      </c>
      <c r="H20" s="35">
        <f t="shared" ref="H20:K20" si="4">G20</f>
        <v>37780.875</v>
      </c>
      <c r="I20" s="35">
        <f t="shared" si="4"/>
        <v>37780.875</v>
      </c>
      <c r="J20" s="35">
        <f t="shared" si="4"/>
        <v>37780.875</v>
      </c>
      <c r="K20" s="35">
        <f t="shared" si="4"/>
        <v>37780.875</v>
      </c>
    </row>
    <row r="21" spans="3:11" x14ac:dyDescent="0.35">
      <c r="C21" s="14" t="s">
        <v>35</v>
      </c>
      <c r="D21">
        <v>-0.34</v>
      </c>
      <c r="E21">
        <v>0.25</v>
      </c>
      <c r="F21">
        <v>2.09</v>
      </c>
      <c r="G21" s="21">
        <f>G18/G20</f>
        <v>1.9832384242027219</v>
      </c>
      <c r="H21" s="36">
        <f>H18/H20</f>
        <v>2.0427355769288034</v>
      </c>
      <c r="I21" s="36">
        <f t="shared" ref="I21:K21" si="5">I18/I20</f>
        <v>1.8702379059881491</v>
      </c>
      <c r="J21" s="36">
        <f t="shared" si="5"/>
        <v>1.6855519127718197</v>
      </c>
      <c r="K21" s="36">
        <f t="shared" si="5"/>
        <v>1.7361184701549746</v>
      </c>
    </row>
    <row r="23" spans="3:11" x14ac:dyDescent="0.35">
      <c r="C23" s="25" t="s">
        <v>36</v>
      </c>
      <c r="D23" s="34">
        <v>24672</v>
      </c>
      <c r="E23" s="34">
        <v>71861</v>
      </c>
      <c r="F23" s="34">
        <v>56011</v>
      </c>
    </row>
    <row r="24" spans="3:11" ht="15" thickBot="1" x14ac:dyDescent="0.4">
      <c r="C24" s="15" t="s">
        <v>37</v>
      </c>
      <c r="D24" s="34">
        <v>14268</v>
      </c>
      <c r="E24" s="34">
        <v>11262</v>
      </c>
      <c r="F24" s="34">
        <v>12207</v>
      </c>
    </row>
    <row r="25" spans="3:11" x14ac:dyDescent="0.35">
      <c r="C25" s="16" t="s">
        <v>38</v>
      </c>
      <c r="D25">
        <f t="shared" ref="D25:F25" si="6">D23-D24</f>
        <v>10404</v>
      </c>
      <c r="E25">
        <f t="shared" si="6"/>
        <v>60599</v>
      </c>
      <c r="F25">
        <f t="shared" si="6"/>
        <v>43804</v>
      </c>
      <c r="G25" s="21">
        <f>G26*G12</f>
        <v>44957.089800000002</v>
      </c>
      <c r="H25" s="32">
        <f>H26*H12</f>
        <v>46305.80249400001</v>
      </c>
      <c r="I25" s="32">
        <f t="shared" ref="I25:K25" si="7">I26*I12</f>
        <v>47694.976568820006</v>
      </c>
      <c r="J25" s="32">
        <f t="shared" si="7"/>
        <v>49125.82586588461</v>
      </c>
      <c r="K25" s="32">
        <f t="shared" si="7"/>
        <v>50599.600641861151</v>
      </c>
    </row>
    <row r="26" spans="3:11" ht="15" thickBot="1" x14ac:dyDescent="0.4">
      <c r="C26" s="17" t="s">
        <v>39</v>
      </c>
      <c r="D26" s="31">
        <f>D25/D12</f>
        <v>7.3707253830949393E-3</v>
      </c>
      <c r="E26" s="31">
        <f>E25/E12</f>
        <v>4.0076583249563515E-2</v>
      </c>
      <c r="F26" s="31">
        <f>F25/F12</f>
        <v>2.7096710339110961E-2</v>
      </c>
      <c r="G26" s="31">
        <v>2.7E-2</v>
      </c>
      <c r="H26" s="31">
        <v>2.7E-2</v>
      </c>
      <c r="I26" s="31">
        <v>2.7E-2</v>
      </c>
      <c r="J26" s="31">
        <v>2.7E-2</v>
      </c>
      <c r="K26" s="31">
        <v>2.7E-2</v>
      </c>
    </row>
    <row r="27" spans="3:11" ht="15" thickBot="1" x14ac:dyDescent="0.4">
      <c r="C27" s="18" t="s">
        <v>40</v>
      </c>
      <c r="D27" s="32">
        <f t="shared" ref="D27:F27" si="8">D25/D20</f>
        <v>0.27620300092277394</v>
      </c>
      <c r="E27" s="32">
        <f t="shared" si="8"/>
        <v>1.6087683249633966</v>
      </c>
      <c r="F27" s="32">
        <f t="shared" si="8"/>
        <v>1.1594225914566563</v>
      </c>
      <c r="G27" s="32">
        <f>G25/G20</f>
        <v>1.189943054521633</v>
      </c>
      <c r="H27" s="32">
        <f t="shared" ref="H27:K27" si="9">H25/H20</f>
        <v>1.2256413461572822</v>
      </c>
      <c r="I27" s="32">
        <f t="shared" si="9"/>
        <v>1.2624105865420006</v>
      </c>
      <c r="J27" s="32">
        <f t="shared" si="9"/>
        <v>1.3002829041382606</v>
      </c>
      <c r="K27" s="32">
        <f t="shared" si="9"/>
        <v>1.3392913912624085</v>
      </c>
    </row>
    <row r="28" spans="3:11" x14ac:dyDescent="0.35">
      <c r="C28" s="16" t="s">
        <v>12</v>
      </c>
      <c r="D28" s="23">
        <v>8.0000000000000002E-3</v>
      </c>
      <c r="E28" s="23">
        <v>4.3999999999999997E-2</v>
      </c>
      <c r="F28" s="23">
        <v>3.2000000000000001E-2</v>
      </c>
      <c r="G28" s="23">
        <v>3.3000000000000002E-2</v>
      </c>
      <c r="H28" s="23">
        <v>3.4000000000000002E-2</v>
      </c>
      <c r="I28" s="23">
        <v>3.5000000000000003E-2</v>
      </c>
      <c r="J28" s="23">
        <v>3.5999999999999997E-2</v>
      </c>
      <c r="K28" s="23">
        <v>3.6999999999999998E-2</v>
      </c>
    </row>
    <row r="31" spans="3:11" x14ac:dyDescent="0.35">
      <c r="C31" s="13" t="s">
        <v>41</v>
      </c>
      <c r="E31" s="32">
        <v>1476424</v>
      </c>
      <c r="F31" s="32">
        <v>1642249</v>
      </c>
    </row>
    <row r="32" spans="3:11" x14ac:dyDescent="0.35">
      <c r="C32" s="13" t="s">
        <v>42</v>
      </c>
      <c r="E32" s="32">
        <f>E31-1044041-2962</f>
        <v>429421</v>
      </c>
      <c r="F32" s="32">
        <f>F31-1044041-1987</f>
        <v>596221</v>
      </c>
    </row>
    <row r="33" spans="3:11" x14ac:dyDescent="0.35">
      <c r="C33" s="13" t="s">
        <v>43</v>
      </c>
      <c r="D33" s="21">
        <f>D14*(1-D34)</f>
        <v>929862.55077037308</v>
      </c>
      <c r="E33" s="19">
        <f>E14*(1-E34)</f>
        <v>540490.79822146939</v>
      </c>
      <c r="F33" s="19">
        <f>F14*(1-F34)</f>
        <v>333836.74159077107</v>
      </c>
      <c r="G33" s="19">
        <f t="shared" ref="G33:K33" si="10">G14*(1-G34)</f>
        <v>234859.16727000003</v>
      </c>
      <c r="H33" s="19">
        <f t="shared" si="10"/>
        <v>241904.94228810008</v>
      </c>
      <c r="I33" s="19">
        <f t="shared" si="10"/>
        <v>249162.09055674303</v>
      </c>
      <c r="J33" s="19">
        <f t="shared" si="10"/>
        <v>256636.95327344537</v>
      </c>
      <c r="K33" s="19">
        <f t="shared" si="10"/>
        <v>264336.06187164871</v>
      </c>
    </row>
    <row r="34" spans="3:11" x14ac:dyDescent="0.35">
      <c r="C34" s="13" t="s">
        <v>50</v>
      </c>
      <c r="D34" s="22">
        <f>-22325/10774</f>
        <v>-2.0721180620011137</v>
      </c>
      <c r="E34" s="22">
        <f>-17842/28338</f>
        <v>-0.62961394593831599</v>
      </c>
      <c r="F34" s="22">
        <f>5008/74115</f>
        <v>6.7570667206368479E-2</v>
      </c>
      <c r="G34">
        <v>0.35</v>
      </c>
      <c r="H34">
        <v>0.35</v>
      </c>
      <c r="I34">
        <v>0.35</v>
      </c>
      <c r="J34">
        <v>0.35</v>
      </c>
      <c r="K34">
        <v>0.35</v>
      </c>
    </row>
    <row r="36" spans="3:11" x14ac:dyDescent="0.35">
      <c r="C36" s="13" t="s">
        <v>44</v>
      </c>
      <c r="E36" s="22">
        <f>E33/E31</f>
        <v>0.36608101617250155</v>
      </c>
      <c r="F36" s="22">
        <f>F33/F31</f>
        <v>0.20328022217749628</v>
      </c>
      <c r="G36" s="37"/>
    </row>
    <row r="37" spans="3:11" x14ac:dyDescent="0.35">
      <c r="C37" s="13" t="s">
        <v>45</v>
      </c>
      <c r="E37" s="22">
        <f>E33/E32</f>
        <v>1.2586501317389447</v>
      </c>
      <c r="F37" s="22">
        <f>F33/F32</f>
        <v>0.55992113929360265</v>
      </c>
    </row>
    <row r="39" spans="3:11" x14ac:dyDescent="0.35">
      <c r="C39" s="13" t="s">
        <v>46</v>
      </c>
      <c r="D39" s="21">
        <v>36.200000000000003</v>
      </c>
      <c r="E39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3" sqref="B3"/>
    </sheetView>
  </sheetViews>
  <sheetFormatPr defaultRowHeight="14.5" x14ac:dyDescent="0.35"/>
  <cols>
    <col min="1" max="2" width="42.54296875" customWidth="1"/>
    <col min="3" max="3" width="29.81640625" bestFit="1" customWidth="1"/>
  </cols>
  <sheetData>
    <row r="1" spans="1:3" x14ac:dyDescent="0.35">
      <c r="A1" t="s">
        <v>58</v>
      </c>
      <c r="B1" t="s">
        <v>61</v>
      </c>
      <c r="C1" t="s">
        <v>62</v>
      </c>
    </row>
    <row r="3" spans="1:3" x14ac:dyDescent="0.35">
      <c r="A3" t="s">
        <v>59</v>
      </c>
    </row>
    <row r="4" spans="1:3" x14ac:dyDescent="0.35">
      <c r="A4" t="s">
        <v>60</v>
      </c>
    </row>
    <row r="5" spans="1:3" x14ac:dyDescent="0.35">
      <c r="A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OBrien, Timothy T.</dc:creator>
  <cp:lastModifiedBy>OBrien, Timothy T.</cp:lastModifiedBy>
  <cp:lastPrinted>2016-10-24T18:13:16Z</cp:lastPrinted>
  <dcterms:created xsi:type="dcterms:W3CDTF">2016-10-22T04:29:54Z</dcterms:created>
  <dcterms:modified xsi:type="dcterms:W3CDTF">2016-11-16T01:29:21Z</dcterms:modified>
</cp:coreProperties>
</file>