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adhenu\Documents\Investments\ebay\"/>
    </mc:Choice>
  </mc:AlternateContent>
  <bookViews>
    <workbookView xWindow="0" yWindow="0" windowWidth="20490" windowHeight="7755" activeTab="3"/>
  </bookViews>
  <sheets>
    <sheet name="Summary" sheetId="1" r:id="rId1"/>
    <sheet name="Revenue Drivers" sheetId="3" r:id="rId2"/>
    <sheet name="Debt" sheetId="4" r:id="rId3"/>
    <sheet name="Model (2)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5" l="1"/>
  <c r="F21" i="5"/>
  <c r="G21" i="5"/>
  <c r="H21" i="5"/>
  <c r="I21" i="5"/>
  <c r="J21" i="5"/>
  <c r="D9" i="5"/>
  <c r="C45" i="5"/>
  <c r="C42" i="5"/>
  <c r="C43" i="5" s="1"/>
  <c r="D38" i="5"/>
  <c r="D42" i="5" s="1"/>
  <c r="D43" i="5" s="1"/>
  <c r="C38" i="5"/>
  <c r="B38" i="5"/>
  <c r="B42" i="5" s="1"/>
  <c r="B43" i="5" s="1"/>
  <c r="C32" i="5"/>
  <c r="D32" i="5"/>
  <c r="B32" i="5"/>
  <c r="F30" i="5"/>
  <c r="G30" i="5"/>
  <c r="H30" i="5"/>
  <c r="I30" i="5"/>
  <c r="J30" i="5"/>
  <c r="E30" i="5"/>
  <c r="C30" i="5"/>
  <c r="M22" i="5"/>
  <c r="M20" i="5"/>
  <c r="M19" i="5"/>
  <c r="D16" i="5"/>
  <c r="D30" i="5" s="1"/>
  <c r="C16" i="5"/>
  <c r="C9" i="5" s="1"/>
  <c r="B16" i="5"/>
  <c r="B6" i="5" s="1"/>
  <c r="E14" i="5"/>
  <c r="F14" i="5" s="1"/>
  <c r="G14" i="5" s="1"/>
  <c r="E13" i="5"/>
  <c r="F13" i="5" s="1"/>
  <c r="C8" i="5"/>
  <c r="B8" i="5"/>
  <c r="D5" i="5"/>
  <c r="C5" i="5"/>
  <c r="D4" i="5"/>
  <c r="C4" i="5"/>
  <c r="B5" i="1"/>
  <c r="B6" i="1"/>
  <c r="B24" i="1"/>
  <c r="C3" i="3"/>
  <c r="B3" i="3"/>
  <c r="B45" i="5" l="1"/>
  <c r="B27" i="5"/>
  <c r="B34" i="5"/>
  <c r="D45" i="5"/>
  <c r="D34" i="5"/>
  <c r="D6" i="5"/>
  <c r="C34" i="5"/>
  <c r="D8" i="5"/>
  <c r="E15" i="5"/>
  <c r="E16" i="5" s="1"/>
  <c r="D27" i="5"/>
  <c r="B9" i="5"/>
  <c r="C27" i="5"/>
  <c r="B19" i="5"/>
  <c r="B21" i="5" s="1"/>
  <c r="B22" i="5" s="1"/>
  <c r="B30" i="5"/>
  <c r="D19" i="5"/>
  <c r="D21" i="5" s="1"/>
  <c r="D22" i="5" s="1"/>
  <c r="B51" i="5"/>
  <c r="G15" i="5"/>
  <c r="H14" i="5"/>
  <c r="C6" i="5"/>
  <c r="G13" i="5"/>
  <c r="C19" i="5"/>
  <c r="C21" i="5" s="1"/>
  <c r="C22" i="5" s="1"/>
  <c r="F15" i="5"/>
  <c r="F16" i="5" s="1"/>
  <c r="C19" i="1"/>
  <c r="C20" i="1" s="1"/>
  <c r="D19" i="1"/>
  <c r="D20" i="1" s="1"/>
  <c r="E19" i="1"/>
  <c r="E20" i="1" s="1"/>
  <c r="F19" i="1"/>
  <c r="F20" i="1" s="1"/>
  <c r="G19" i="1"/>
  <c r="G20" i="1" s="1"/>
  <c r="H19" i="1"/>
  <c r="H20" i="1" s="1"/>
  <c r="L13" i="1"/>
  <c r="L14" i="1" s="1"/>
  <c r="B19" i="1"/>
  <c r="B20" i="1" s="1"/>
  <c r="C14" i="1"/>
  <c r="B14" i="1"/>
  <c r="B4" i="1"/>
  <c r="E4" i="1" s="1"/>
  <c r="E42" i="5" l="1"/>
  <c r="E44" i="5"/>
  <c r="E18" i="5"/>
  <c r="E19" i="5" s="1"/>
  <c r="E6" i="5"/>
  <c r="F42" i="5"/>
  <c r="F44" i="5"/>
  <c r="D51" i="5"/>
  <c r="E29" i="5"/>
  <c r="E31" i="5" s="1"/>
  <c r="E26" i="5"/>
  <c r="E33" i="5"/>
  <c r="F6" i="5"/>
  <c r="F33" i="5"/>
  <c r="F26" i="5"/>
  <c r="F29" i="5"/>
  <c r="F31" i="5" s="1"/>
  <c r="C51" i="5"/>
  <c r="F18" i="5"/>
  <c r="F19" i="5" s="1"/>
  <c r="H15" i="5"/>
  <c r="I14" i="5"/>
  <c r="G16" i="5"/>
  <c r="H13" i="5"/>
  <c r="B7" i="1"/>
  <c r="B27" i="1" s="1"/>
  <c r="E22" i="5" l="1"/>
  <c r="E23" i="5" s="1"/>
  <c r="G42" i="5"/>
  <c r="G44" i="5"/>
  <c r="G29" i="5"/>
  <c r="G31" i="5" s="1"/>
  <c r="G26" i="5"/>
  <c r="G33" i="5"/>
  <c r="F51" i="5"/>
  <c r="G18" i="5"/>
  <c r="G19" i="5" s="1"/>
  <c r="G6" i="5"/>
  <c r="H16" i="5"/>
  <c r="I13" i="5"/>
  <c r="I15" i="5"/>
  <c r="J14" i="5"/>
  <c r="E47" i="5" l="1"/>
  <c r="E48" i="5" s="1"/>
  <c r="E51" i="5"/>
  <c r="H42" i="5"/>
  <c r="H44" i="5"/>
  <c r="H33" i="5"/>
  <c r="H26" i="5"/>
  <c r="H29" i="5"/>
  <c r="H31" i="5" s="1"/>
  <c r="F22" i="5"/>
  <c r="F23" i="5" s="1"/>
  <c r="F47" i="5" s="1"/>
  <c r="F48" i="5" s="1"/>
  <c r="J15" i="5"/>
  <c r="I16" i="5"/>
  <c r="J13" i="5"/>
  <c r="H18" i="5"/>
  <c r="H19" i="5" s="1"/>
  <c r="H6" i="5"/>
  <c r="I42" i="5" l="1"/>
  <c r="I44" i="5"/>
  <c r="J16" i="5"/>
  <c r="J44" i="5" s="1"/>
  <c r="I33" i="5"/>
  <c r="I26" i="5"/>
  <c r="I29" i="5"/>
  <c r="I31" i="5" s="1"/>
  <c r="G22" i="5"/>
  <c r="G23" i="5" s="1"/>
  <c r="G47" i="5" s="1"/>
  <c r="G48" i="5" s="1"/>
  <c r="G51" i="5"/>
  <c r="I18" i="5"/>
  <c r="I19" i="5" s="1"/>
  <c r="I6" i="5"/>
  <c r="J29" i="5" l="1"/>
  <c r="J31" i="5" s="1"/>
  <c r="J42" i="5"/>
  <c r="J6" i="5"/>
  <c r="J18" i="5"/>
  <c r="J19" i="5" s="1"/>
  <c r="J26" i="5"/>
  <c r="J33" i="5"/>
  <c r="H51" i="5"/>
  <c r="H22" i="5"/>
  <c r="H23" i="5" s="1"/>
  <c r="H47" i="5" s="1"/>
  <c r="H48" i="5" s="1"/>
  <c r="J22" i="5" l="1"/>
  <c r="J23" i="5" s="1"/>
  <c r="J47" i="5" s="1"/>
  <c r="J48" i="5" s="1"/>
  <c r="M16" i="5" s="1"/>
  <c r="M17" i="5" s="1"/>
  <c r="I22" i="5"/>
  <c r="I23" i="5" s="1"/>
  <c r="I47" i="5" s="1"/>
  <c r="I48" i="5" s="1"/>
  <c r="I51" i="5"/>
  <c r="M14" i="5" l="1"/>
  <c r="J51" i="5"/>
  <c r="M18" i="5" l="1"/>
  <c r="M21" i="5" s="1"/>
  <c r="M23" i="5" s="1"/>
</calcChain>
</file>

<file path=xl/comments1.xml><?xml version="1.0" encoding="utf-8"?>
<comments xmlns="http://schemas.openxmlformats.org/spreadsheetml/2006/main">
  <authors>
    <author>Kamadhenu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Kamadhenu:</t>
        </r>
        <r>
          <rPr>
            <sz val="9"/>
            <color indexed="81"/>
            <rFont val="Tahoma"/>
            <family val="2"/>
          </rPr>
          <t xml:space="preserve">
Management guidance of 31-33%
</t>
        </r>
      </text>
    </comment>
  </commentList>
</comments>
</file>

<file path=xl/sharedStrings.xml><?xml version="1.0" encoding="utf-8"?>
<sst xmlns="http://schemas.openxmlformats.org/spreadsheetml/2006/main" count="113" uniqueCount="88">
  <si>
    <t>CAPITALIZATION</t>
  </si>
  <si>
    <t>Share count (2015-10K)</t>
  </si>
  <si>
    <t>Market Cap</t>
  </si>
  <si>
    <t>Debt</t>
  </si>
  <si>
    <t>Cash</t>
  </si>
  <si>
    <t>Enterprise Value</t>
  </si>
  <si>
    <t>Management Guidance</t>
  </si>
  <si>
    <t xml:space="preserve">Revenue </t>
  </si>
  <si>
    <t>Operating margin</t>
  </si>
  <si>
    <t>Free Cash Flow</t>
  </si>
  <si>
    <t>Non-GAAP EPS</t>
  </si>
  <si>
    <t>Forward P/E</t>
  </si>
  <si>
    <t>FY 16 Low</t>
  </si>
  <si>
    <t>FY16 High</t>
  </si>
  <si>
    <t>FCF Yield</t>
  </si>
  <si>
    <t>FY13</t>
  </si>
  <si>
    <t>FY14</t>
  </si>
  <si>
    <t>FY15</t>
  </si>
  <si>
    <t>US</t>
  </si>
  <si>
    <t>International</t>
  </si>
  <si>
    <t>Assumptions</t>
  </si>
  <si>
    <t>Tax rate</t>
  </si>
  <si>
    <t>FY16</t>
  </si>
  <si>
    <t>Potential Buyback</t>
  </si>
  <si>
    <t>Average buyback share price</t>
  </si>
  <si>
    <t>shares repurchased</t>
  </si>
  <si>
    <t>shares repurchased as a % of float</t>
  </si>
  <si>
    <t>Marketplace</t>
  </si>
  <si>
    <t>StubHub</t>
  </si>
  <si>
    <t>Classifieds</t>
  </si>
  <si>
    <t>Domestic</t>
  </si>
  <si>
    <t>$750 M</t>
  </si>
  <si>
    <t>$750M</t>
  </si>
  <si>
    <t>Total Revenue</t>
  </si>
  <si>
    <t>FY</t>
  </si>
  <si>
    <t>US Rev growth</t>
  </si>
  <si>
    <t>Intl Rev growth</t>
  </si>
  <si>
    <t>FY17</t>
  </si>
  <si>
    <t>FY18</t>
  </si>
  <si>
    <t>FY19</t>
  </si>
  <si>
    <t>FY20</t>
  </si>
  <si>
    <t>FY21</t>
  </si>
  <si>
    <t xml:space="preserve">International </t>
  </si>
  <si>
    <t>Cost of Net Revenues</t>
  </si>
  <si>
    <t>Cost of revenues</t>
  </si>
  <si>
    <t>GP</t>
  </si>
  <si>
    <t>OPEX</t>
  </si>
  <si>
    <t>Opex</t>
  </si>
  <si>
    <t>EBIT</t>
  </si>
  <si>
    <t>Tax</t>
  </si>
  <si>
    <t>D&amp;A</t>
  </si>
  <si>
    <t>EBITDA</t>
  </si>
  <si>
    <t>Cost of Capital</t>
  </si>
  <si>
    <t>Cost of Equity</t>
  </si>
  <si>
    <t>Cost of Debt</t>
  </si>
  <si>
    <t xml:space="preserve">Tax rate </t>
  </si>
  <si>
    <t>WACC</t>
  </si>
  <si>
    <t>Discount rate</t>
  </si>
  <si>
    <t>YEAR</t>
  </si>
  <si>
    <t>Terminal Value</t>
  </si>
  <si>
    <t>Terminal Value (Discounted)</t>
  </si>
  <si>
    <t>Equity Value</t>
  </si>
  <si>
    <t>Shares</t>
  </si>
  <si>
    <t>Per share value</t>
  </si>
  <si>
    <t>FX Effect</t>
  </si>
  <si>
    <t>NOPAT</t>
  </si>
  <si>
    <t>Adjustments for Non-Cash charges</t>
  </si>
  <si>
    <t>Stock based compensation</t>
  </si>
  <si>
    <t>Deferred Income taxes</t>
  </si>
  <si>
    <t>% of Revenue</t>
  </si>
  <si>
    <t>% of  Revenue</t>
  </si>
  <si>
    <t>Excess tax benefit from stock-based compensation</t>
  </si>
  <si>
    <t>% of stock based compensation</t>
  </si>
  <si>
    <t>Changes in Working capital</t>
  </si>
  <si>
    <t>Decrease / (Increase) in AR:</t>
  </si>
  <si>
    <t>Decrease / (Increase) in Other Assets:</t>
  </si>
  <si>
    <t>Increase / (Decrease) in AP:</t>
  </si>
  <si>
    <t>Increase / (Decrease) in Inc. Tax Payable:</t>
  </si>
  <si>
    <t>Increase / (Decrease) in Accrued Expenses:</t>
  </si>
  <si>
    <t>Net Decrease/(Increase) in Working Capital</t>
  </si>
  <si>
    <t>Less: Capex</t>
  </si>
  <si>
    <t>Unlevered FCF</t>
  </si>
  <si>
    <t>PV of FCF</t>
  </si>
  <si>
    <t>Discount Period</t>
  </si>
  <si>
    <t>Sum of PV of FCF</t>
  </si>
  <si>
    <t>Terminal growth rate</t>
  </si>
  <si>
    <t>Operating Margin</t>
  </si>
  <si>
    <t>Share price (03/23/2016)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</si>
</sst>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%"/>
    <numFmt numFmtId="168" formatCode="&quot;Yes&quot;;&quot;Yes&quot;;&quot;No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6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44" fontId="4" fillId="0" borderId="0" xfId="2" applyFont="1"/>
    <xf numFmtId="164" fontId="4" fillId="0" borderId="0" xfId="2" applyNumberFormat="1" applyFont="1"/>
    <xf numFmtId="164" fontId="4" fillId="0" borderId="0" xfId="0" applyNumberFormat="1" applyFont="1"/>
    <xf numFmtId="3" fontId="5" fillId="0" borderId="0" xfId="0" applyNumberFormat="1" applyFont="1" applyAlignment="1">
      <alignment vertical="center"/>
    </xf>
    <xf numFmtId="0" fontId="0" fillId="2" borderId="0" xfId="0" applyFill="1"/>
    <xf numFmtId="0" fontId="2" fillId="2" borderId="0" xfId="0" applyFont="1" applyFill="1"/>
    <xf numFmtId="44" fontId="0" fillId="0" borderId="0" xfId="2" applyFont="1"/>
    <xf numFmtId="9" fontId="0" fillId="0" borderId="0" xfId="3" applyFont="1"/>
    <xf numFmtId="164" fontId="0" fillId="0" borderId="0" xfId="2" applyNumberFormat="1" applyFont="1"/>
    <xf numFmtId="165" fontId="0" fillId="0" borderId="0" xfId="1" applyNumberFormat="1" applyFont="1"/>
    <xf numFmtId="9" fontId="4" fillId="0" borderId="0" xfId="3" applyFont="1"/>
    <xf numFmtId="0" fontId="2" fillId="0" borderId="0" xfId="0" applyFont="1"/>
    <xf numFmtId="0" fontId="2" fillId="0" borderId="0" xfId="0" applyFont="1" applyFill="1"/>
    <xf numFmtId="0" fontId="0" fillId="0" borderId="0" xfId="0" applyFill="1"/>
    <xf numFmtId="9" fontId="0" fillId="0" borderId="0" xfId="0" applyNumberFormat="1" applyFill="1"/>
    <xf numFmtId="9" fontId="0" fillId="0" borderId="0" xfId="0" applyNumberFormat="1"/>
    <xf numFmtId="166" fontId="0" fillId="0" borderId="0" xfId="0" applyNumberFormat="1"/>
    <xf numFmtId="10" fontId="0" fillId="0" borderId="0" xfId="0" applyNumberFormat="1"/>
    <xf numFmtId="164" fontId="0" fillId="0" borderId="0" xfId="0" applyNumberFormat="1"/>
    <xf numFmtId="9" fontId="0" fillId="2" borderId="0" xfId="0" applyNumberFormat="1" applyFill="1"/>
    <xf numFmtId="9" fontId="0" fillId="2" borderId="0" xfId="3" applyFont="1" applyFill="1"/>
    <xf numFmtId="167" fontId="0" fillId="0" borderId="0" xfId="0" applyNumberFormat="1"/>
    <xf numFmtId="43" fontId="0" fillId="0" borderId="0" xfId="1" applyFont="1"/>
    <xf numFmtId="166" fontId="0" fillId="0" borderId="0" xfId="3" applyNumberFormat="1" applyFont="1"/>
    <xf numFmtId="10" fontId="0" fillId="0" borderId="0" xfId="3" applyNumberFormat="1" applyFont="1"/>
    <xf numFmtId="0" fontId="0" fillId="3" borderId="0" xfId="0" applyFill="1"/>
    <xf numFmtId="9" fontId="0" fillId="3" borderId="0" xfId="0" applyNumberFormat="1" applyFill="1"/>
    <xf numFmtId="9" fontId="0" fillId="3" borderId="0" xfId="3" applyFont="1" applyFill="1"/>
    <xf numFmtId="164" fontId="0" fillId="3" borderId="0" xfId="2" applyNumberFormat="1" applyFont="1" applyFill="1"/>
    <xf numFmtId="164" fontId="0" fillId="0" borderId="0" xfId="0" applyNumberFormat="1" applyFill="1"/>
    <xf numFmtId="164" fontId="0" fillId="0" borderId="0" xfId="2" applyNumberFormat="1" applyFont="1" applyFill="1"/>
    <xf numFmtId="168" fontId="7" fillId="0" borderId="0" xfId="4" applyNumberFormat="1" applyFont="1" applyBorder="1" applyAlignment="1">
      <alignment horizontal="right"/>
    </xf>
    <xf numFmtId="166" fontId="0" fillId="3" borderId="0" xfId="3" applyNumberFormat="1" applyFont="1" applyFill="1"/>
    <xf numFmtId="0" fontId="2" fillId="0" borderId="0" xfId="0" applyFont="1" applyAlignment="1">
      <alignment horizontal="left"/>
    </xf>
    <xf numFmtId="10" fontId="0" fillId="0" borderId="0" xfId="2" applyNumberFormat="1" applyFont="1"/>
    <xf numFmtId="0" fontId="0" fillId="0" borderId="0" xfId="0" applyFont="1"/>
    <xf numFmtId="0" fontId="8" fillId="0" borderId="0" xfId="4" applyFont="1" applyBorder="1" applyAlignment="1">
      <alignment horizontal="left" indent="1"/>
    </xf>
    <xf numFmtId="164" fontId="2" fillId="3" borderId="0" xfId="2" applyNumberFormat="1" applyFont="1" applyFill="1"/>
    <xf numFmtId="164" fontId="2" fillId="0" borderId="0" xfId="2" applyNumberFormat="1" applyFont="1"/>
    <xf numFmtId="168" fontId="9" fillId="0" borderId="0" xfId="4" applyNumberFormat="1" applyFont="1" applyBorder="1" applyAlignment="1">
      <alignment horizontal="right"/>
    </xf>
    <xf numFmtId="164" fontId="2" fillId="0" borderId="0" xfId="2" applyNumberFormat="1" applyFont="1" applyFill="1"/>
    <xf numFmtId="9" fontId="0" fillId="0" borderId="3" xfId="3" applyFont="1" applyFill="1" applyBorder="1"/>
    <xf numFmtId="164" fontId="0" fillId="0" borderId="5" xfId="2" applyNumberFormat="1" applyFont="1" applyFill="1" applyBorder="1"/>
    <xf numFmtId="9" fontId="0" fillId="0" borderId="5" xfId="3" applyFont="1" applyFill="1" applyBorder="1"/>
    <xf numFmtId="164" fontId="0" fillId="0" borderId="5" xfId="0" applyNumberFormat="1" applyFill="1" applyBorder="1"/>
    <xf numFmtId="3" fontId="0" fillId="0" borderId="5" xfId="0" applyNumberFormat="1" applyFill="1" applyBorder="1"/>
    <xf numFmtId="0" fontId="0" fillId="4" borderId="2" xfId="0" applyFont="1" applyFill="1" applyBorder="1"/>
    <xf numFmtId="0" fontId="0" fillId="4" borderId="4" xfId="0" applyFont="1" applyFill="1" applyBorder="1"/>
    <xf numFmtId="0" fontId="2" fillId="4" borderId="6" xfId="0" applyFont="1" applyFill="1" applyBorder="1"/>
    <xf numFmtId="44" fontId="2" fillId="0" borderId="7" xfId="0" applyNumberFormat="1" applyFont="1" applyFill="1" applyBorder="1"/>
    <xf numFmtId="0" fontId="2" fillId="4" borderId="4" xfId="0" applyFont="1" applyFill="1" applyBorder="1"/>
    <xf numFmtId="164" fontId="2" fillId="0" borderId="5" xfId="0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3" fillId="0" borderId="1" xfId="4" applyFont="1" applyBorder="1" applyAlignment="1">
      <alignment horizontal="left" indent="1"/>
    </xf>
    <xf numFmtId="0" fontId="13" fillId="0" borderId="0" xfId="4" applyFont="1" applyBorder="1" applyAlignment="1">
      <alignment horizontal="left" indent="1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D5" sqref="D5"/>
    </sheetView>
  </sheetViews>
  <sheetFormatPr defaultRowHeight="15" x14ac:dyDescent="0.25"/>
  <cols>
    <col min="1" max="1" width="25.85546875" customWidth="1"/>
    <col min="2" max="2" width="19" bestFit="1" customWidth="1"/>
    <col min="3" max="3" width="18" bestFit="1" customWidth="1"/>
    <col min="4" max="4" width="11.5703125" bestFit="1" customWidth="1"/>
    <col min="5" max="5" width="15.28515625" bestFit="1" customWidth="1"/>
    <col min="6" max="12" width="11.5703125" bestFit="1" customWidth="1"/>
  </cols>
  <sheetData>
    <row r="1" spans="1:12" s="2" customFormat="1" ht="16.5" x14ac:dyDescent="0.3">
      <c r="A1" s="1" t="s">
        <v>0</v>
      </c>
    </row>
    <row r="2" spans="1:12" s="3" customFormat="1" ht="16.5" x14ac:dyDescent="0.3">
      <c r="A2" s="3" t="s">
        <v>1</v>
      </c>
      <c r="B2" s="7">
        <v>1178705177</v>
      </c>
    </row>
    <row r="3" spans="1:12" s="3" customFormat="1" ht="16.5" x14ac:dyDescent="0.3">
      <c r="A3" s="3" t="s">
        <v>87</v>
      </c>
      <c r="B3" s="4">
        <v>24</v>
      </c>
      <c r="C3" s="4"/>
    </row>
    <row r="4" spans="1:12" s="3" customFormat="1" ht="16.5" x14ac:dyDescent="0.3">
      <c r="A4" s="3" t="s">
        <v>2</v>
      </c>
      <c r="B4" s="5">
        <f>B2*B3</f>
        <v>28288924248</v>
      </c>
      <c r="D4" s="3" t="s">
        <v>14</v>
      </c>
      <c r="E4" s="14">
        <f>B12/B4</f>
        <v>7.7768952283702966E-2</v>
      </c>
    </row>
    <row r="5" spans="1:12" s="3" customFormat="1" ht="16.5" x14ac:dyDescent="0.3">
      <c r="A5" s="3" t="s">
        <v>3</v>
      </c>
      <c r="B5" s="5">
        <f>6779000000+2250000000</f>
        <v>9029000000</v>
      </c>
    </row>
    <row r="6" spans="1:12" s="3" customFormat="1" ht="16.5" x14ac:dyDescent="0.3">
      <c r="A6" s="3" t="s">
        <v>4</v>
      </c>
      <c r="B6" s="5">
        <f>1832000000+4299000000+3391000000</f>
        <v>9522000000</v>
      </c>
    </row>
    <row r="7" spans="1:12" s="3" customFormat="1" ht="16.5" x14ac:dyDescent="0.3">
      <c r="A7" s="3" t="s">
        <v>5</v>
      </c>
      <c r="B7" s="6">
        <f>B4+B5-B6</f>
        <v>27795924248</v>
      </c>
    </row>
    <row r="9" spans="1:12" s="9" customFormat="1" ht="16.5" x14ac:dyDescent="0.3">
      <c r="A9" s="1" t="s">
        <v>6</v>
      </c>
      <c r="B9" s="9" t="s">
        <v>12</v>
      </c>
      <c r="C9" s="9" t="s">
        <v>13</v>
      </c>
    </row>
    <row r="10" spans="1:12" ht="16.5" x14ac:dyDescent="0.3">
      <c r="A10" s="3" t="s">
        <v>7</v>
      </c>
      <c r="B10" s="12">
        <v>8500000000</v>
      </c>
      <c r="C10" s="12">
        <v>8800000000</v>
      </c>
    </row>
    <row r="11" spans="1:12" ht="16.5" x14ac:dyDescent="0.3">
      <c r="A11" s="3" t="s">
        <v>8</v>
      </c>
      <c r="B11" s="11">
        <v>0.31</v>
      </c>
      <c r="C11" s="11">
        <v>0.33</v>
      </c>
    </row>
    <row r="12" spans="1:12" ht="16.5" x14ac:dyDescent="0.3">
      <c r="A12" s="3" t="s">
        <v>9</v>
      </c>
      <c r="B12" s="12">
        <v>2200000000</v>
      </c>
      <c r="C12" s="12">
        <v>2400000000</v>
      </c>
      <c r="L12">
        <v>30</v>
      </c>
    </row>
    <row r="13" spans="1:12" ht="16.5" x14ac:dyDescent="0.3">
      <c r="A13" s="3" t="s">
        <v>10</v>
      </c>
      <c r="B13" s="10">
        <v>1.82</v>
      </c>
      <c r="C13" s="10">
        <v>1.87</v>
      </c>
      <c r="L13" s="13">
        <f t="shared" ref="L13" si="0">$B$12/L12</f>
        <v>73333333.333333328</v>
      </c>
    </row>
    <row r="14" spans="1:12" ht="16.5" x14ac:dyDescent="0.3">
      <c r="A14" s="3" t="s">
        <v>11</v>
      </c>
      <c r="B14">
        <f>B3/B13</f>
        <v>13.186813186813186</v>
      </c>
      <c r="C14">
        <f>B3/C13</f>
        <v>12.834224598930481</v>
      </c>
      <c r="L14" s="11">
        <f t="shared" ref="L14" si="1">L13/$B$2</f>
        <v>6.2215161826962372E-2</v>
      </c>
    </row>
    <row r="16" spans="1:12" s="8" customFormat="1" x14ac:dyDescent="0.25">
      <c r="A16" s="9" t="s">
        <v>23</v>
      </c>
    </row>
    <row r="18" spans="1:8" x14ac:dyDescent="0.25">
      <c r="A18" t="s">
        <v>24</v>
      </c>
      <c r="B18">
        <v>23</v>
      </c>
      <c r="C18">
        <v>24</v>
      </c>
      <c r="D18">
        <v>25</v>
      </c>
      <c r="E18">
        <v>26</v>
      </c>
      <c r="F18">
        <v>27</v>
      </c>
      <c r="G18">
        <v>28</v>
      </c>
      <c r="H18">
        <v>29</v>
      </c>
    </row>
    <row r="19" spans="1:8" x14ac:dyDescent="0.25">
      <c r="A19" t="s">
        <v>25</v>
      </c>
      <c r="B19" s="13">
        <f t="shared" ref="B19:H19" si="2">$B$12/B18</f>
        <v>95652173.913043484</v>
      </c>
      <c r="C19" s="13">
        <f t="shared" si="2"/>
        <v>91666666.666666672</v>
      </c>
      <c r="D19" s="13">
        <f t="shared" si="2"/>
        <v>88000000</v>
      </c>
      <c r="E19" s="13">
        <f t="shared" si="2"/>
        <v>84615384.615384609</v>
      </c>
      <c r="F19" s="13">
        <f t="shared" si="2"/>
        <v>81481481.481481478</v>
      </c>
      <c r="G19" s="13">
        <f t="shared" si="2"/>
        <v>78571428.571428567</v>
      </c>
      <c r="H19" s="13">
        <f t="shared" si="2"/>
        <v>75862068.965517238</v>
      </c>
    </row>
    <row r="20" spans="1:8" x14ac:dyDescent="0.25">
      <c r="A20" t="s">
        <v>26</v>
      </c>
      <c r="B20" s="11">
        <f t="shared" ref="B20:H20" si="3">B19/$B$2</f>
        <v>8.1150211078646589E-2</v>
      </c>
      <c r="C20" s="11">
        <f t="shared" si="3"/>
        <v>7.776895228370298E-2</v>
      </c>
      <c r="D20" s="11">
        <f t="shared" si="3"/>
        <v>7.4658194192354851E-2</v>
      </c>
      <c r="E20" s="11">
        <f t="shared" si="3"/>
        <v>7.1786725184956587E-2</v>
      </c>
      <c r="F20" s="11">
        <f t="shared" si="3"/>
        <v>6.9127957585513752E-2</v>
      </c>
      <c r="G20" s="11">
        <f t="shared" si="3"/>
        <v>6.6659101957459693E-2</v>
      </c>
      <c r="H20" s="11">
        <f t="shared" si="3"/>
        <v>6.4360512234788669E-2</v>
      </c>
    </row>
    <row r="23" spans="1:8" s="8" customFormat="1" x14ac:dyDescent="0.25">
      <c r="A23" s="8" t="s">
        <v>52</v>
      </c>
    </row>
    <row r="24" spans="1:8" x14ac:dyDescent="0.25">
      <c r="A24" t="s">
        <v>53</v>
      </c>
      <c r="B24" s="25">
        <f>2%+5.5%*1.2</f>
        <v>8.6000000000000007E-2</v>
      </c>
    </row>
    <row r="25" spans="1:8" x14ac:dyDescent="0.25">
      <c r="A25" t="s">
        <v>54</v>
      </c>
      <c r="B25" s="19">
        <v>0.04</v>
      </c>
    </row>
    <row r="26" spans="1:8" x14ac:dyDescent="0.25">
      <c r="A26" t="s">
        <v>55</v>
      </c>
      <c r="B26" s="19">
        <v>0.19</v>
      </c>
    </row>
    <row r="27" spans="1:8" x14ac:dyDescent="0.25">
      <c r="A27" t="s">
        <v>56</v>
      </c>
      <c r="B27" s="28">
        <f>(B4/B7)*B24+(1-B26)*B25*B5/B7</f>
        <v>9.8049881738474676E-2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1" sqref="D11"/>
    </sheetView>
  </sheetViews>
  <sheetFormatPr defaultRowHeight="15" x14ac:dyDescent="0.25"/>
  <cols>
    <col min="1" max="1" width="12" bestFit="1" customWidth="1"/>
  </cols>
  <sheetData>
    <row r="1" spans="1:4" x14ac:dyDescent="0.25">
      <c r="A1" t="s">
        <v>34</v>
      </c>
      <c r="B1" t="s">
        <v>16</v>
      </c>
      <c r="C1" t="s">
        <v>17</v>
      </c>
      <c r="D1" t="s">
        <v>22</v>
      </c>
    </row>
    <row r="2" spans="1:4" s="15" customFormat="1" x14ac:dyDescent="0.25">
      <c r="A2" s="15" t="s">
        <v>30</v>
      </c>
    </row>
    <row r="3" spans="1:4" x14ac:dyDescent="0.25">
      <c r="A3" t="s">
        <v>27</v>
      </c>
      <c r="B3">
        <f>6351+1103</f>
        <v>7454</v>
      </c>
      <c r="C3">
        <f>6103+1078</f>
        <v>7181</v>
      </c>
    </row>
    <row r="4" spans="1:4" x14ac:dyDescent="0.25">
      <c r="A4" t="s">
        <v>28</v>
      </c>
      <c r="B4">
        <v>629</v>
      </c>
      <c r="C4">
        <v>725</v>
      </c>
    </row>
    <row r="5" spans="1:4" x14ac:dyDescent="0.25">
      <c r="A5" t="s">
        <v>29</v>
      </c>
      <c r="B5">
        <v>716</v>
      </c>
      <c r="C5">
        <v>703</v>
      </c>
    </row>
    <row r="7" spans="1:4" s="15" customFormat="1" x14ac:dyDescent="0.25">
      <c r="A7" s="15" t="s">
        <v>19</v>
      </c>
    </row>
    <row r="8" spans="1:4" x14ac:dyDescent="0.25">
      <c r="A8" t="s">
        <v>27</v>
      </c>
    </row>
    <row r="9" spans="1:4" x14ac:dyDescent="0.25">
      <c r="A9" t="s">
        <v>28</v>
      </c>
    </row>
    <row r="10" spans="1:4" x14ac:dyDescent="0.25">
      <c r="A10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topLeftCell="A7" workbookViewId="0">
      <selection activeCell="D8" sqref="D8"/>
    </sheetView>
  </sheetViews>
  <sheetFormatPr defaultRowHeight="15" x14ac:dyDescent="0.25"/>
  <sheetData>
    <row r="2" spans="1:4" x14ac:dyDescent="0.25">
      <c r="A2" t="s">
        <v>3</v>
      </c>
    </row>
    <row r="3" spans="1:4" x14ac:dyDescent="0.25">
      <c r="B3" t="s">
        <v>31</v>
      </c>
      <c r="C3" s="21">
        <v>2.5000000000000001E-2</v>
      </c>
      <c r="D3">
        <v>2018</v>
      </c>
    </row>
    <row r="4" spans="1:4" x14ac:dyDescent="0.25">
      <c r="B4" t="s">
        <v>32</v>
      </c>
      <c r="C4" s="21">
        <v>3.7999999999999999E-2</v>
      </c>
      <c r="D4">
        <v>2022</v>
      </c>
    </row>
    <row r="5" spans="1:4" x14ac:dyDescent="0.25">
      <c r="B5" t="s">
        <v>32</v>
      </c>
      <c r="C5" s="19">
        <v>0.06</v>
      </c>
      <c r="D5">
        <v>2056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9"/>
  <sheetViews>
    <sheetView tabSelected="1" topLeftCell="A4" workbookViewId="0">
      <selection activeCell="L26" sqref="L26"/>
    </sheetView>
  </sheetViews>
  <sheetFormatPr defaultRowHeight="15" x14ac:dyDescent="0.25"/>
  <cols>
    <col min="1" max="1" width="41" style="15" bestFit="1" customWidth="1"/>
    <col min="2" max="2" width="15.28515625" style="29" bestFit="1" customWidth="1"/>
    <col min="3" max="3" width="10.5703125" style="29" bestFit="1" customWidth="1"/>
    <col min="4" max="4" width="8.7109375" style="29" bestFit="1" customWidth="1"/>
    <col min="5" max="5" width="10.7109375" bestFit="1" customWidth="1"/>
    <col min="6" max="9" width="9.5703125" bestFit="1" customWidth="1"/>
    <col min="10" max="10" width="9.7109375" bestFit="1" customWidth="1"/>
    <col min="12" max="12" width="26.85546875" bestFit="1" customWidth="1"/>
    <col min="15" max="15" width="12.5703125" bestFit="1" customWidth="1"/>
  </cols>
  <sheetData>
    <row r="1" spans="1:46" s="8" customFormat="1" x14ac:dyDescent="0.25">
      <c r="A1" s="9" t="s">
        <v>20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46" s="9" customFormat="1" x14ac:dyDescent="0.25">
      <c r="B2" s="9" t="s">
        <v>15</v>
      </c>
      <c r="C2" s="9" t="s">
        <v>16</v>
      </c>
      <c r="D2" s="9" t="s">
        <v>17</v>
      </c>
      <c r="E2" s="9" t="s">
        <v>22</v>
      </c>
      <c r="F2" s="9" t="s">
        <v>37</v>
      </c>
      <c r="G2" s="9" t="s">
        <v>38</v>
      </c>
      <c r="H2" s="9" t="s">
        <v>39</v>
      </c>
      <c r="I2" s="9" t="s">
        <v>40</v>
      </c>
      <c r="J2" s="9" t="s">
        <v>41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</row>
    <row r="3" spans="1:46" s="17" customFormat="1" x14ac:dyDescent="0.25">
      <c r="A3" s="16" t="s">
        <v>21</v>
      </c>
      <c r="B3" s="30">
        <v>0.19</v>
      </c>
      <c r="C3" s="30">
        <v>0.19</v>
      </c>
      <c r="D3" s="30">
        <v>0.19</v>
      </c>
      <c r="E3" s="23">
        <v>0.2</v>
      </c>
      <c r="F3" s="23">
        <v>0.2</v>
      </c>
      <c r="G3" s="23">
        <v>0.2</v>
      </c>
      <c r="H3" s="23">
        <v>0.2</v>
      </c>
      <c r="I3" s="23">
        <v>0.2</v>
      </c>
      <c r="J3" s="23">
        <v>0.2</v>
      </c>
    </row>
    <row r="4" spans="1:46" s="17" customFormat="1" x14ac:dyDescent="0.25">
      <c r="A4" s="16" t="s">
        <v>35</v>
      </c>
      <c r="B4" s="29"/>
      <c r="C4" s="31">
        <f>C13/B13-1</f>
        <v>3.1003217315004328E-2</v>
      </c>
      <c r="D4" s="31">
        <f>D13/C13-1</f>
        <v>2.8085106382978786E-2</v>
      </c>
      <c r="E4" s="24">
        <v>0.05</v>
      </c>
      <c r="F4" s="24">
        <v>0.03</v>
      </c>
      <c r="G4" s="24">
        <v>0.03</v>
      </c>
      <c r="H4" s="24">
        <v>0.03</v>
      </c>
      <c r="I4" s="24">
        <v>0.03</v>
      </c>
      <c r="J4" s="24">
        <v>0.03</v>
      </c>
    </row>
    <row r="5" spans="1:46" x14ac:dyDescent="0.25">
      <c r="A5" s="15" t="s">
        <v>36</v>
      </c>
      <c r="C5" s="31">
        <f>C14/B14-1</f>
        <v>8.8259611409673422E-2</v>
      </c>
      <c r="D5" s="31">
        <f>D14/C14-1</f>
        <v>-5.6410256410256432E-2</v>
      </c>
      <c r="E5" s="23">
        <v>0.08</v>
      </c>
      <c r="F5" s="23">
        <v>0.08</v>
      </c>
      <c r="G5" s="23">
        <v>7.0000000000000007E-2</v>
      </c>
      <c r="H5" s="23">
        <v>0.06</v>
      </c>
      <c r="I5" s="23">
        <v>0.05</v>
      </c>
      <c r="J5" s="23">
        <v>0.04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1:46" x14ac:dyDescent="0.25">
      <c r="A6" s="15" t="s">
        <v>42</v>
      </c>
      <c r="B6" s="31">
        <f t="shared" ref="B6:J6" si="0">B14/B16</f>
        <v>0.58592709216422434</v>
      </c>
      <c r="C6" s="31">
        <f t="shared" si="0"/>
        <v>0.59897610921501709</v>
      </c>
      <c r="D6" s="31">
        <f t="shared" si="0"/>
        <v>0.57821229050279332</v>
      </c>
      <c r="E6" s="24">
        <f t="shared" si="0"/>
        <v>0.61379608000764363</v>
      </c>
      <c r="F6" s="24">
        <f t="shared" si="0"/>
        <v>0.6264204119578789</v>
      </c>
      <c r="G6" s="24">
        <f t="shared" si="0"/>
        <v>0.63650196590579144</v>
      </c>
      <c r="H6" s="24">
        <f t="shared" si="0"/>
        <v>0.64405598046894708</v>
      </c>
      <c r="I6" s="24">
        <f t="shared" si="0"/>
        <v>0.64909379520749788</v>
      </c>
      <c r="J6" s="24">
        <f t="shared" si="0"/>
        <v>0.6516177721654467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x14ac:dyDescent="0.25">
      <c r="A7" s="15" t="s">
        <v>64</v>
      </c>
      <c r="B7" s="31"/>
      <c r="C7" s="31"/>
      <c r="D7" s="31"/>
      <c r="E7" s="24">
        <v>-0.08</v>
      </c>
      <c r="F7" s="24">
        <v>-0.08</v>
      </c>
      <c r="G7" s="24">
        <v>-0.08</v>
      </c>
      <c r="H7" s="24">
        <v>-0.08</v>
      </c>
      <c r="I7" s="24">
        <v>-0.08</v>
      </c>
      <c r="J7" s="24">
        <v>-0.08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</row>
    <row r="8" spans="1:46" x14ac:dyDescent="0.25">
      <c r="A8" s="15" t="s">
        <v>44</v>
      </c>
      <c r="B8" s="36">
        <f>B18/B16</f>
        <v>0.18069516773646602</v>
      </c>
      <c r="C8" s="36">
        <f t="shared" ref="C8:D8" si="1">C18/C16</f>
        <v>0.18919226393629124</v>
      </c>
      <c r="D8" s="36">
        <f t="shared" si="1"/>
        <v>0.20612197392923651</v>
      </c>
      <c r="E8" s="23">
        <v>0.20599999999999999</v>
      </c>
      <c r="F8" s="23">
        <v>0.20599999999999999</v>
      </c>
      <c r="G8" s="23">
        <v>0.20599999999999999</v>
      </c>
      <c r="H8" s="23">
        <v>0.20599999999999999</v>
      </c>
      <c r="I8" s="23">
        <v>0.20599999999999999</v>
      </c>
      <c r="J8" s="23">
        <v>0.20599999999999999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x14ac:dyDescent="0.25">
      <c r="A9" s="15" t="s">
        <v>47</v>
      </c>
      <c r="B9" s="31">
        <f>B20/B16</f>
        <v>0.52210245852004356</v>
      </c>
      <c r="C9" s="31">
        <f t="shared" ref="C9" si="2">C20/C16</f>
        <v>0.52912400455062569</v>
      </c>
      <c r="D9" s="31">
        <f>D20/D16</f>
        <v>0.53817504655493487</v>
      </c>
      <c r="E9" s="23">
        <v>0.53</v>
      </c>
      <c r="F9" s="23">
        <v>0.53</v>
      </c>
      <c r="G9" s="23">
        <v>0.53</v>
      </c>
      <c r="H9" s="23">
        <v>0.53</v>
      </c>
      <c r="I9" s="23">
        <v>0.53</v>
      </c>
      <c r="J9" s="23">
        <v>0.53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x14ac:dyDescent="0.25">
      <c r="A10" s="15" t="s">
        <v>86</v>
      </c>
      <c r="E10" s="23">
        <v>0.31</v>
      </c>
      <c r="F10" s="23">
        <v>0.31</v>
      </c>
      <c r="G10" s="23">
        <v>0.31</v>
      </c>
      <c r="H10" s="23">
        <v>0.31</v>
      </c>
      <c r="I10" s="23">
        <v>0.31</v>
      </c>
      <c r="J10" s="23">
        <v>0.31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x14ac:dyDescent="0.25">
      <c r="A11" s="15" t="s">
        <v>58</v>
      </c>
      <c r="E11" s="8">
        <v>1</v>
      </c>
      <c r="F11" s="8">
        <v>2</v>
      </c>
      <c r="G11" s="8">
        <v>3</v>
      </c>
      <c r="H11" s="8">
        <v>4</v>
      </c>
      <c r="I11" s="8">
        <v>5</v>
      </c>
      <c r="J11" s="8">
        <v>6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s="8" customFormat="1" ht="15.75" thickBot="1" x14ac:dyDescent="0.3">
      <c r="A12" s="9"/>
      <c r="B12" s="9" t="s">
        <v>15</v>
      </c>
      <c r="C12" s="9" t="s">
        <v>16</v>
      </c>
      <c r="D12" s="9" t="s">
        <v>17</v>
      </c>
      <c r="E12" s="9" t="s">
        <v>22</v>
      </c>
      <c r="F12" s="9" t="s">
        <v>37</v>
      </c>
      <c r="G12" s="9" t="s">
        <v>38</v>
      </c>
      <c r="H12" s="9" t="s">
        <v>39</v>
      </c>
      <c r="I12" s="9" t="s">
        <v>40</v>
      </c>
      <c r="J12" s="9" t="s">
        <v>41</v>
      </c>
      <c r="K12" s="17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x14ac:dyDescent="0.25">
      <c r="A13" s="15" t="s">
        <v>18</v>
      </c>
      <c r="B13" s="32">
        <v>3419</v>
      </c>
      <c r="C13" s="32">
        <v>3525</v>
      </c>
      <c r="D13" s="32">
        <v>3624</v>
      </c>
      <c r="E13" s="22">
        <f>D13*(1+E4)</f>
        <v>3805.2000000000003</v>
      </c>
      <c r="F13" s="22">
        <f t="shared" ref="F13:J14" si="3">E13*(1+F4)</f>
        <v>3919.3560000000002</v>
      </c>
      <c r="G13" s="22">
        <f t="shared" si="3"/>
        <v>4036.9366800000003</v>
      </c>
      <c r="H13" s="22">
        <f t="shared" si="3"/>
        <v>4158.0447804000005</v>
      </c>
      <c r="I13" s="22">
        <f t="shared" si="3"/>
        <v>4282.7861238120004</v>
      </c>
      <c r="J13" s="22">
        <f t="shared" si="3"/>
        <v>4411.2697075263604</v>
      </c>
      <c r="K13" s="17"/>
      <c r="L13" s="50" t="s">
        <v>57</v>
      </c>
      <c r="M13" s="45">
        <v>0.1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x14ac:dyDescent="0.25">
      <c r="A14" s="15" t="s">
        <v>19</v>
      </c>
      <c r="B14" s="32">
        <v>4838</v>
      </c>
      <c r="C14" s="32">
        <v>5265</v>
      </c>
      <c r="D14" s="32">
        <v>4968</v>
      </c>
      <c r="E14" s="22">
        <f>D14*(1+E5)</f>
        <v>5365.4400000000005</v>
      </c>
      <c r="F14" s="22">
        <f t="shared" si="3"/>
        <v>5794.6752000000006</v>
      </c>
      <c r="G14" s="22">
        <f t="shared" si="3"/>
        <v>6200.3024640000012</v>
      </c>
      <c r="H14" s="22">
        <f t="shared" si="3"/>
        <v>6572.3206118400012</v>
      </c>
      <c r="I14" s="22">
        <f t="shared" si="3"/>
        <v>6900.9366424320015</v>
      </c>
      <c r="J14" s="22">
        <f t="shared" si="3"/>
        <v>7176.9741081292814</v>
      </c>
      <c r="K14" s="17"/>
      <c r="L14" s="51" t="s">
        <v>84</v>
      </c>
      <c r="M14" s="46">
        <f>SUM(E48:J48)</f>
        <v>15461.432632118882</v>
      </c>
      <c r="N14" s="17"/>
      <c r="O14" s="1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x14ac:dyDescent="0.25">
      <c r="A15" s="15" t="s">
        <v>64</v>
      </c>
      <c r="B15" s="32"/>
      <c r="C15" s="32"/>
      <c r="D15" s="32"/>
      <c r="E15" s="22">
        <f>E14*E7</f>
        <v>-429.23520000000008</v>
      </c>
      <c r="F15" s="22">
        <f t="shared" ref="F15:J15" si="4">F14*F7</f>
        <v>-463.57401600000003</v>
      </c>
      <c r="G15" s="22">
        <f t="shared" si="4"/>
        <v>-496.02419712000011</v>
      </c>
      <c r="H15" s="22">
        <f t="shared" si="4"/>
        <v>-525.78564894720012</v>
      </c>
      <c r="I15" s="22">
        <f t="shared" si="4"/>
        <v>-552.07493139456017</v>
      </c>
      <c r="J15" s="22">
        <f t="shared" si="4"/>
        <v>-574.15792865034257</v>
      </c>
      <c r="K15" s="17"/>
      <c r="L15" s="51" t="s">
        <v>85</v>
      </c>
      <c r="M15" s="47">
        <v>0.03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s="15" customFormat="1" x14ac:dyDescent="0.25">
      <c r="A16" s="15" t="s">
        <v>33</v>
      </c>
      <c r="B16" s="41">
        <f>SUM(B13:B14)</f>
        <v>8257</v>
      </c>
      <c r="C16" s="41">
        <f>SUM(C13:C14)</f>
        <v>8790</v>
      </c>
      <c r="D16" s="41">
        <f>SUM(D13:D14)</f>
        <v>8592</v>
      </c>
      <c r="E16" s="42">
        <f>SUM(E13:E15)</f>
        <v>8741.4048000000003</v>
      </c>
      <c r="F16" s="42">
        <f t="shared" ref="F16:J16" si="5">SUM(F13:F15)</f>
        <v>9250.4571840000008</v>
      </c>
      <c r="G16" s="42">
        <f t="shared" si="5"/>
        <v>9741.2149468800017</v>
      </c>
      <c r="H16" s="42">
        <f t="shared" si="5"/>
        <v>10204.579743292801</v>
      </c>
      <c r="I16" s="42">
        <f t="shared" si="5"/>
        <v>10631.647834849442</v>
      </c>
      <c r="J16" s="42">
        <f t="shared" si="5"/>
        <v>11014.0858870053</v>
      </c>
      <c r="K16" s="16"/>
      <c r="L16" s="51" t="s">
        <v>59</v>
      </c>
      <c r="M16" s="48">
        <f>J48*(1+M15)/(M13-M15)</f>
        <v>42622.938941869506</v>
      </c>
      <c r="O16" s="43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</row>
    <row r="17" spans="1:46" x14ac:dyDescent="0.25">
      <c r="B17" s="32"/>
      <c r="C17" s="32"/>
      <c r="D17" s="32"/>
      <c r="E17" s="12"/>
      <c r="F17" s="12"/>
      <c r="G17" s="12"/>
      <c r="H17" s="12"/>
      <c r="I17" s="12"/>
      <c r="J17" s="12"/>
      <c r="K17" s="17"/>
      <c r="L17" s="51" t="s">
        <v>60</v>
      </c>
      <c r="M17" s="46">
        <f>M16/(1+M13)^J50</f>
        <v>24059.537854959264</v>
      </c>
      <c r="O17" s="3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x14ac:dyDescent="0.25">
      <c r="A18" s="15" t="s">
        <v>43</v>
      </c>
      <c r="B18" s="32">
        <v>1492</v>
      </c>
      <c r="C18" s="32">
        <v>1663</v>
      </c>
      <c r="D18" s="32">
        <v>1771</v>
      </c>
      <c r="E18" s="12">
        <f>E16*E8</f>
        <v>1800.7293887999999</v>
      </c>
      <c r="F18" s="12">
        <f t="shared" ref="F18:J18" si="6">F16*F8</f>
        <v>1905.5941799040002</v>
      </c>
      <c r="G18" s="12">
        <f t="shared" si="6"/>
        <v>2006.6902790572801</v>
      </c>
      <c r="H18" s="12">
        <f t="shared" si="6"/>
        <v>2102.143427118317</v>
      </c>
      <c r="I18" s="12">
        <f t="shared" si="6"/>
        <v>2190.1194539789849</v>
      </c>
      <c r="J18" s="12">
        <f t="shared" si="6"/>
        <v>2268.9016927230919</v>
      </c>
      <c r="K18" s="17"/>
      <c r="L18" s="54" t="s">
        <v>5</v>
      </c>
      <c r="M18" s="55">
        <f>M17+M14</f>
        <v>39520.970487078142</v>
      </c>
      <c r="N18" s="17"/>
      <c r="O18" s="18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x14ac:dyDescent="0.25">
      <c r="A19" s="15" t="s">
        <v>45</v>
      </c>
      <c r="B19" s="32">
        <f>B16-B18</f>
        <v>6765</v>
      </c>
      <c r="C19" s="32">
        <f t="shared" ref="C19:J19" si="7">C16-C18</f>
        <v>7127</v>
      </c>
      <c r="D19" s="32">
        <f t="shared" si="7"/>
        <v>6821</v>
      </c>
      <c r="E19" s="12">
        <f t="shared" si="7"/>
        <v>6940.6754111999999</v>
      </c>
      <c r="F19" s="12">
        <f t="shared" si="7"/>
        <v>7344.8630040960006</v>
      </c>
      <c r="G19" s="12">
        <f t="shared" si="7"/>
        <v>7734.5246678227213</v>
      </c>
      <c r="H19" s="12">
        <f t="shared" si="7"/>
        <v>8102.4363161744841</v>
      </c>
      <c r="I19" s="12">
        <f t="shared" si="7"/>
        <v>8441.5283808704571</v>
      </c>
      <c r="J19" s="12">
        <f t="shared" si="7"/>
        <v>8745.1841942822084</v>
      </c>
      <c r="K19" s="17"/>
      <c r="L19" s="51" t="s">
        <v>4</v>
      </c>
      <c r="M19" s="46">
        <f>Summary!B6/1000000</f>
        <v>9522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0" spans="1:46" x14ac:dyDescent="0.25">
      <c r="A20" s="15" t="s">
        <v>46</v>
      </c>
      <c r="B20" s="32">
        <v>4311</v>
      </c>
      <c r="C20" s="32">
        <v>4651</v>
      </c>
      <c r="D20" s="32">
        <v>4624</v>
      </c>
      <c r="E20" s="12"/>
      <c r="F20" s="12"/>
      <c r="G20" s="12"/>
      <c r="H20" s="12"/>
      <c r="I20" s="12"/>
      <c r="J20" s="12"/>
      <c r="K20" s="17"/>
      <c r="L20" s="51" t="s">
        <v>3</v>
      </c>
      <c r="M20" s="46">
        <f>Summary!B5/1000000</f>
        <v>9029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  <row r="21" spans="1:46" x14ac:dyDescent="0.25">
      <c r="A21" s="15" t="s">
        <v>48</v>
      </c>
      <c r="B21" s="32">
        <f>B19-B20</f>
        <v>2454</v>
      </c>
      <c r="C21" s="32">
        <f t="shared" ref="C21:D21" si="8">C19-C20</f>
        <v>2476</v>
      </c>
      <c r="D21" s="32">
        <f t="shared" si="8"/>
        <v>2197</v>
      </c>
      <c r="E21" s="12">
        <f>E16*E10</f>
        <v>2709.8354880000002</v>
      </c>
      <c r="F21" s="12">
        <f t="shared" ref="F21:J21" si="9">F16*F10</f>
        <v>2867.6417270400002</v>
      </c>
      <c r="G21" s="12">
        <f t="shared" si="9"/>
        <v>3019.7766335328006</v>
      </c>
      <c r="H21" s="12">
        <f t="shared" si="9"/>
        <v>3163.4197204207685</v>
      </c>
      <c r="I21" s="12">
        <f t="shared" si="9"/>
        <v>3295.8108288033268</v>
      </c>
      <c r="J21" s="12">
        <f t="shared" si="9"/>
        <v>3414.366624971643</v>
      </c>
      <c r="K21" s="17"/>
      <c r="L21" s="54" t="s">
        <v>61</v>
      </c>
      <c r="M21" s="55">
        <f>M18+M19-M20</f>
        <v>40013.970487078142</v>
      </c>
      <c r="N21" s="17"/>
      <c r="O21" s="18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</row>
    <row r="22" spans="1:46" x14ac:dyDescent="0.25">
      <c r="A22" s="15" t="s">
        <v>49</v>
      </c>
      <c r="B22" s="32">
        <f>B3*B21</f>
        <v>466.26</v>
      </c>
      <c r="C22" s="32">
        <f t="shared" ref="C22:J22" si="10">C3*C21</f>
        <v>470.44</v>
      </c>
      <c r="D22" s="32">
        <f t="shared" si="10"/>
        <v>417.43</v>
      </c>
      <c r="E22" s="34">
        <f t="shared" si="10"/>
        <v>541.9670976000001</v>
      </c>
      <c r="F22" s="34">
        <f t="shared" si="10"/>
        <v>573.52834540800006</v>
      </c>
      <c r="G22" s="34">
        <f t="shared" si="10"/>
        <v>603.95532670656019</v>
      </c>
      <c r="H22" s="34">
        <f t="shared" si="10"/>
        <v>632.68394408415372</v>
      </c>
      <c r="I22" s="34">
        <f t="shared" si="10"/>
        <v>659.1621657606654</v>
      </c>
      <c r="J22" s="34">
        <f t="shared" si="10"/>
        <v>682.87332499432864</v>
      </c>
      <c r="K22" s="17"/>
      <c r="L22" s="51" t="s">
        <v>62</v>
      </c>
      <c r="M22" s="49">
        <f>Summary!B2/1000000</f>
        <v>1178.705177</v>
      </c>
      <c r="N22" s="17"/>
      <c r="O22" s="34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3" spans="1:46" s="15" customFormat="1" ht="15.75" thickBot="1" x14ac:dyDescent="0.3">
      <c r="A23" s="15" t="s">
        <v>65</v>
      </c>
      <c r="B23" s="41"/>
      <c r="C23" s="41"/>
      <c r="D23" s="41"/>
      <c r="E23" s="44">
        <f>E21-E22</f>
        <v>2167.8683904</v>
      </c>
      <c r="F23" s="44">
        <f t="shared" ref="F23:J23" si="11">F21-F22</f>
        <v>2294.1133816320003</v>
      </c>
      <c r="G23" s="44">
        <f t="shared" si="11"/>
        <v>2415.8213068262403</v>
      </c>
      <c r="H23" s="44">
        <f t="shared" si="11"/>
        <v>2530.7357763366149</v>
      </c>
      <c r="I23" s="44">
        <f t="shared" si="11"/>
        <v>2636.6486630426616</v>
      </c>
      <c r="J23" s="44">
        <f t="shared" si="11"/>
        <v>2731.4932999773146</v>
      </c>
      <c r="K23" s="16"/>
      <c r="L23" s="52" t="s">
        <v>63</v>
      </c>
      <c r="M23" s="53">
        <f>M21/M22</f>
        <v>33.947395216266315</v>
      </c>
      <c r="N23" s="16"/>
      <c r="O23" s="44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</row>
    <row r="24" spans="1:46" x14ac:dyDescent="0.25">
      <c r="B24" s="32"/>
      <c r="C24" s="32"/>
      <c r="D24" s="32"/>
      <c r="E24" s="12"/>
      <c r="F24" s="12"/>
      <c r="G24" s="12"/>
      <c r="H24" s="12"/>
      <c r="I24" s="12"/>
      <c r="J24" s="12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</row>
    <row r="25" spans="1:46" x14ac:dyDescent="0.25">
      <c r="A25" s="15" t="s">
        <v>66</v>
      </c>
      <c r="B25" s="32"/>
      <c r="C25" s="32"/>
      <c r="D25" s="32"/>
      <c r="E25" s="12"/>
      <c r="F25" s="12"/>
      <c r="G25" s="12"/>
      <c r="H25" s="12"/>
      <c r="I25" s="12"/>
      <c r="J25" s="12"/>
      <c r="K25" s="17"/>
      <c r="L25" s="17"/>
      <c r="M25" s="17"/>
      <c r="N25" s="17"/>
      <c r="O25" s="34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</row>
    <row r="26" spans="1:46" x14ac:dyDescent="0.25">
      <c r="A26" s="57" t="s">
        <v>50</v>
      </c>
      <c r="B26" s="32">
        <v>660</v>
      </c>
      <c r="C26" s="32">
        <v>682</v>
      </c>
      <c r="D26" s="32">
        <v>687</v>
      </c>
      <c r="E26" s="12">
        <f>E16*E27</f>
        <v>699.31238400000007</v>
      </c>
      <c r="F26" s="12">
        <f t="shared" ref="F26:J26" si="12">F16*F27</f>
        <v>740.03657472000009</v>
      </c>
      <c r="G26" s="12">
        <f t="shared" si="12"/>
        <v>779.29719575040019</v>
      </c>
      <c r="H26" s="12">
        <f t="shared" si="12"/>
        <v>816.3663794634241</v>
      </c>
      <c r="I26" s="12">
        <f t="shared" si="12"/>
        <v>850.53182678795542</v>
      </c>
      <c r="J26" s="12">
        <f t="shared" si="12"/>
        <v>881.12687096042396</v>
      </c>
      <c r="K26" s="17"/>
      <c r="L26" s="17"/>
      <c r="M26" s="17"/>
      <c r="N26" s="17"/>
      <c r="O26" s="33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</row>
    <row r="27" spans="1:46" x14ac:dyDescent="0.25">
      <c r="A27" s="57" t="s">
        <v>70</v>
      </c>
      <c r="B27" s="36">
        <f>B26/B16</f>
        <v>7.9932178757417954E-2</v>
      </c>
      <c r="C27" s="36">
        <f t="shared" ref="C27:D27" si="13">C26/C16</f>
        <v>7.7588168373151314E-2</v>
      </c>
      <c r="D27" s="36">
        <f t="shared" si="13"/>
        <v>7.995810055865922E-2</v>
      </c>
      <c r="E27" s="11">
        <v>0.08</v>
      </c>
      <c r="F27" s="11">
        <v>0.08</v>
      </c>
      <c r="G27" s="11">
        <v>0.08</v>
      </c>
      <c r="H27" s="11">
        <v>0.08</v>
      </c>
      <c r="I27" s="11">
        <v>0.08</v>
      </c>
      <c r="J27" s="11">
        <v>0.08</v>
      </c>
      <c r="K27" s="17"/>
      <c r="L27" s="17"/>
      <c r="M27" s="17"/>
      <c r="N27" s="17"/>
      <c r="O27" s="33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</row>
    <row r="28" spans="1:46" x14ac:dyDescent="0.25">
      <c r="A28" s="57"/>
      <c r="B28" s="32"/>
      <c r="C28" s="32"/>
      <c r="D28" s="32"/>
      <c r="E28" s="12"/>
      <c r="F28" s="12"/>
      <c r="G28" s="12"/>
      <c r="H28" s="12"/>
      <c r="I28" s="12"/>
      <c r="J28" s="12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</row>
    <row r="29" spans="1:46" x14ac:dyDescent="0.25">
      <c r="A29" s="57" t="s">
        <v>67</v>
      </c>
      <c r="B29" s="32">
        <v>298</v>
      </c>
      <c r="C29" s="32">
        <v>344</v>
      </c>
      <c r="D29" s="32">
        <v>379</v>
      </c>
      <c r="E29" s="12">
        <f>E16*E30</f>
        <v>349.65619200000003</v>
      </c>
      <c r="F29" s="12">
        <f t="shared" ref="F29:J29" si="14">F16*F30</f>
        <v>370.01828736000004</v>
      </c>
      <c r="G29" s="12">
        <f t="shared" si="14"/>
        <v>389.6485978752001</v>
      </c>
      <c r="H29" s="12">
        <f t="shared" si="14"/>
        <v>408.18318973171205</v>
      </c>
      <c r="I29" s="12">
        <f t="shared" si="14"/>
        <v>425.26591339397771</v>
      </c>
      <c r="J29" s="12">
        <f t="shared" si="14"/>
        <v>440.56343548021198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</row>
    <row r="30" spans="1:46" x14ac:dyDescent="0.25">
      <c r="A30" s="57" t="s">
        <v>69</v>
      </c>
      <c r="B30" s="31">
        <f>B29/B16</f>
        <v>3.6090589802591742E-2</v>
      </c>
      <c r="C30" s="31">
        <f t="shared" ref="C30:D30" si="15">C29/C16</f>
        <v>3.9135381114903299E-2</v>
      </c>
      <c r="D30" s="31">
        <f t="shared" si="15"/>
        <v>4.4110800744878956E-2</v>
      </c>
      <c r="E30" s="11">
        <f>4%</f>
        <v>0.04</v>
      </c>
      <c r="F30" s="11">
        <f>4%</f>
        <v>0.04</v>
      </c>
      <c r="G30" s="11">
        <f>4%</f>
        <v>0.04</v>
      </c>
      <c r="H30" s="11">
        <f>4%</f>
        <v>0.04</v>
      </c>
      <c r="I30" s="11">
        <f>4%</f>
        <v>0.04</v>
      </c>
      <c r="J30" s="11">
        <f>4%</f>
        <v>0.04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</row>
    <row r="31" spans="1:46" ht="30" x14ac:dyDescent="0.25">
      <c r="A31" s="58" t="s">
        <v>71</v>
      </c>
      <c r="B31" s="32">
        <v>-112</v>
      </c>
      <c r="C31" s="32">
        <v>-75</v>
      </c>
      <c r="D31" s="32">
        <v>-74</v>
      </c>
      <c r="E31" s="12">
        <f>E29*E32</f>
        <v>-69.931238400000012</v>
      </c>
      <c r="F31" s="12">
        <f t="shared" ref="F31:J31" si="16">F29*F32</f>
        <v>-74.003657472000015</v>
      </c>
      <c r="G31" s="12">
        <f t="shared" si="16"/>
        <v>-77.929719575040025</v>
      </c>
      <c r="H31" s="12">
        <f t="shared" si="16"/>
        <v>-81.636637946342418</v>
      </c>
      <c r="I31" s="12">
        <f t="shared" si="16"/>
        <v>-85.053182678795551</v>
      </c>
      <c r="J31" s="12">
        <f t="shared" si="16"/>
        <v>-88.112687096042407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</row>
    <row r="32" spans="1:46" x14ac:dyDescent="0.25">
      <c r="A32" s="57" t="s">
        <v>72</v>
      </c>
      <c r="B32" s="31">
        <f>B31/B29</f>
        <v>-0.37583892617449666</v>
      </c>
      <c r="C32" s="31">
        <f t="shared" ref="C32:D32" si="17">C31/C29</f>
        <v>-0.21802325581395349</v>
      </c>
      <c r="D32" s="31">
        <f t="shared" si="17"/>
        <v>-0.19525065963060687</v>
      </c>
      <c r="E32" s="11">
        <v>-0.2</v>
      </c>
      <c r="F32" s="11">
        <v>-0.2</v>
      </c>
      <c r="G32" s="11">
        <v>-0.2</v>
      </c>
      <c r="H32" s="11">
        <v>-0.2</v>
      </c>
      <c r="I32" s="11">
        <v>-0.2</v>
      </c>
      <c r="J32" s="11">
        <v>-0.2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</row>
    <row r="33" spans="1:46" x14ac:dyDescent="0.25">
      <c r="A33" s="57" t="s">
        <v>68</v>
      </c>
      <c r="B33" s="32">
        <v>-33</v>
      </c>
      <c r="C33" s="32">
        <v>2744</v>
      </c>
      <c r="D33" s="32">
        <v>-32</v>
      </c>
      <c r="E33" s="12">
        <f>E16*E34</f>
        <v>-34.965619199999999</v>
      </c>
      <c r="F33" s="12">
        <f t="shared" ref="F33:J33" si="18">F16*F34</f>
        <v>-37.001828736000007</v>
      </c>
      <c r="G33" s="12">
        <f t="shared" si="18"/>
        <v>-38.964859787520005</v>
      </c>
      <c r="H33" s="12">
        <f t="shared" si="18"/>
        <v>-40.818318973171202</v>
      </c>
      <c r="I33" s="12">
        <f t="shared" si="18"/>
        <v>-42.526591339397768</v>
      </c>
      <c r="J33" s="12">
        <f t="shared" si="18"/>
        <v>-44.056343548021204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</row>
    <row r="34" spans="1:46" x14ac:dyDescent="0.25">
      <c r="A34" s="57" t="s">
        <v>69</v>
      </c>
      <c r="B34" s="36">
        <f>B33/B16</f>
        <v>-3.9966089378708977E-3</v>
      </c>
      <c r="C34" s="36">
        <f t="shared" ref="C34:D34" si="19">C33/C16</f>
        <v>0.31217292377701933</v>
      </c>
      <c r="D34" s="36">
        <f t="shared" si="19"/>
        <v>-3.7243947858472998E-3</v>
      </c>
      <c r="E34" s="38">
        <v>-4.0000000000000001E-3</v>
      </c>
      <c r="F34" s="38">
        <v>-4.0000000000000001E-3</v>
      </c>
      <c r="G34" s="38">
        <v>-4.0000000000000001E-3</v>
      </c>
      <c r="H34" s="38">
        <v>-4.0000000000000001E-3</v>
      </c>
      <c r="I34" s="38">
        <v>-4.0000000000000001E-3</v>
      </c>
      <c r="J34" s="38">
        <v>-4.0000000000000001E-3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</row>
    <row r="35" spans="1:46" x14ac:dyDescent="0.25">
      <c r="A35" s="37"/>
      <c r="B35" s="36"/>
      <c r="C35" s="36"/>
      <c r="D35" s="36"/>
      <c r="E35" s="38"/>
      <c r="F35" s="38"/>
      <c r="G35" s="38"/>
      <c r="H35" s="38"/>
      <c r="I35" s="38"/>
      <c r="J35" s="38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</row>
    <row r="36" spans="1:46" x14ac:dyDescent="0.25">
      <c r="A36" s="37" t="s">
        <v>73</v>
      </c>
      <c r="B36" s="36"/>
      <c r="C36" s="36"/>
      <c r="D36" s="36"/>
      <c r="E36" s="38"/>
      <c r="F36" s="38"/>
      <c r="G36" s="38"/>
      <c r="H36" s="38"/>
      <c r="I36" s="38"/>
      <c r="J36" s="38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</row>
    <row r="37" spans="1:46" x14ac:dyDescent="0.25">
      <c r="A37" s="59" t="s">
        <v>74</v>
      </c>
      <c r="B37" s="32">
        <v>-89</v>
      </c>
      <c r="C37" s="32">
        <v>51</v>
      </c>
      <c r="D37" s="32">
        <v>-105</v>
      </c>
      <c r="E37" s="12"/>
      <c r="F37" s="12"/>
      <c r="G37" s="12"/>
      <c r="H37" s="12"/>
      <c r="I37" s="12"/>
      <c r="J37" s="12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</row>
    <row r="38" spans="1:46" x14ac:dyDescent="0.25">
      <c r="A38" s="59" t="s">
        <v>75</v>
      </c>
      <c r="B38" s="32">
        <f>-367-105</f>
        <v>-472</v>
      </c>
      <c r="C38" s="32">
        <f>-36-3</f>
        <v>-39</v>
      </c>
      <c r="D38" s="32">
        <f>-143+143</f>
        <v>0</v>
      </c>
      <c r="E38" s="12"/>
      <c r="F38" s="12"/>
      <c r="G38" s="12"/>
      <c r="H38" s="12"/>
      <c r="I38" s="12"/>
      <c r="J38" s="12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1:46" x14ac:dyDescent="0.25">
      <c r="A39" s="59" t="s">
        <v>76</v>
      </c>
      <c r="B39" s="32">
        <v>-13</v>
      </c>
      <c r="C39" s="32">
        <v>81</v>
      </c>
      <c r="D39" s="32">
        <v>226</v>
      </c>
      <c r="E39" s="12"/>
      <c r="F39" s="12"/>
      <c r="G39" s="12"/>
      <c r="H39" s="12"/>
      <c r="I39" s="12"/>
      <c r="J39" s="12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1:46" x14ac:dyDescent="0.25">
      <c r="A40" s="59" t="s">
        <v>77</v>
      </c>
      <c r="B40" s="32">
        <v>189</v>
      </c>
      <c r="C40" s="32">
        <v>132</v>
      </c>
      <c r="D40" s="32">
        <v>-34</v>
      </c>
      <c r="E40" s="12"/>
      <c r="F40" s="12"/>
      <c r="G40" s="12"/>
      <c r="H40" s="12"/>
      <c r="I40" s="12"/>
      <c r="J40" s="12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</row>
    <row r="41" spans="1:46" x14ac:dyDescent="0.25">
      <c r="A41" s="59" t="s">
        <v>78</v>
      </c>
      <c r="B41" s="32">
        <v>274</v>
      </c>
      <c r="C41" s="32">
        <v>-81</v>
      </c>
      <c r="D41" s="32">
        <v>-202</v>
      </c>
      <c r="E41" s="12"/>
      <c r="F41" s="12"/>
      <c r="G41" s="12"/>
      <c r="H41" s="12"/>
      <c r="I41" s="12"/>
      <c r="J41" s="12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</row>
    <row r="42" spans="1:46" x14ac:dyDescent="0.25">
      <c r="A42" s="40" t="s">
        <v>79</v>
      </c>
      <c r="B42" s="32">
        <f>SUM(B37:B41)</f>
        <v>-111</v>
      </c>
      <c r="C42" s="32">
        <f t="shared" ref="C42:D42" si="20">SUM(C37:C41)</f>
        <v>144</v>
      </c>
      <c r="D42" s="32">
        <f t="shared" si="20"/>
        <v>-115</v>
      </c>
      <c r="E42" s="12">
        <f>E43*E16</f>
        <v>-113.6382624</v>
      </c>
      <c r="F42" s="12">
        <f t="shared" ref="F42:J42" si="21">F43*F16</f>
        <v>-120.25594339200001</v>
      </c>
      <c r="G42" s="12">
        <f t="shared" si="21"/>
        <v>-126.63579430944002</v>
      </c>
      <c r="H42" s="12">
        <f t="shared" si="21"/>
        <v>-132.6595366628064</v>
      </c>
      <c r="I42" s="12">
        <f t="shared" si="21"/>
        <v>-138.21142185304274</v>
      </c>
      <c r="J42" s="12">
        <f t="shared" si="21"/>
        <v>-143.18311653106889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</row>
    <row r="43" spans="1:46" x14ac:dyDescent="0.25">
      <c r="A43" s="60" t="s">
        <v>69</v>
      </c>
      <c r="B43" s="36">
        <f>B42/B16</f>
        <v>-1.3443139154656655E-2</v>
      </c>
      <c r="C43" s="36">
        <f t="shared" ref="C43:D43" si="22">C42/C16</f>
        <v>1.6382252559726963E-2</v>
      </c>
      <c r="D43" s="36">
        <f t="shared" si="22"/>
        <v>-1.3384543761638733E-2</v>
      </c>
      <c r="E43" s="27">
        <v>-1.2999999999999999E-2</v>
      </c>
      <c r="F43" s="27">
        <v>-1.2999999999999999E-2</v>
      </c>
      <c r="G43" s="27">
        <v>-1.2999999999999999E-2</v>
      </c>
      <c r="H43" s="27">
        <v>-1.2999999999999999E-2</v>
      </c>
      <c r="I43" s="27">
        <v>-1.2999999999999999E-2</v>
      </c>
      <c r="J43" s="27">
        <v>-1.2999999999999999E-2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</row>
    <row r="44" spans="1:46" x14ac:dyDescent="0.25">
      <c r="A44" s="15" t="s">
        <v>80</v>
      </c>
      <c r="B44" s="32">
        <v>678</v>
      </c>
      <c r="C44" s="32">
        <v>622</v>
      </c>
      <c r="D44" s="32">
        <v>668</v>
      </c>
      <c r="E44" s="12">
        <f>E45*E16</f>
        <v>699.31238400000007</v>
      </c>
      <c r="F44" s="12">
        <f t="shared" ref="F44:J44" si="23">F45*F16</f>
        <v>740.03657472000009</v>
      </c>
      <c r="G44" s="12">
        <f t="shared" si="23"/>
        <v>779.29719575040019</v>
      </c>
      <c r="H44" s="12">
        <f t="shared" si="23"/>
        <v>816.3663794634241</v>
      </c>
      <c r="I44" s="12">
        <f t="shared" si="23"/>
        <v>850.53182678795542</v>
      </c>
      <c r="J44" s="12">
        <f t="shared" si="23"/>
        <v>881.12687096042396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1:46" x14ac:dyDescent="0.25">
      <c r="A45" s="39" t="s">
        <v>69</v>
      </c>
      <c r="B45" s="36">
        <f>B44/B16</f>
        <v>8.2112147268983887E-2</v>
      </c>
      <c r="C45" s="36">
        <f t="shared" ref="C45:D45" si="24">C44/C16</f>
        <v>7.0762229806598409E-2</v>
      </c>
      <c r="D45" s="36">
        <f t="shared" si="24"/>
        <v>7.7746741154562385E-2</v>
      </c>
      <c r="E45" s="20">
        <v>0.08</v>
      </c>
      <c r="F45" s="20">
        <v>0.08</v>
      </c>
      <c r="G45" s="20">
        <v>0.08</v>
      </c>
      <c r="H45" s="20">
        <v>0.08</v>
      </c>
      <c r="I45" s="20">
        <v>0.08</v>
      </c>
      <c r="J45" s="20">
        <v>0.08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</row>
    <row r="46" spans="1:46" x14ac:dyDescent="0.25">
      <c r="A46" s="39"/>
      <c r="B46" s="36"/>
      <c r="C46" s="36"/>
      <c r="D46" s="36"/>
      <c r="E46" s="20"/>
      <c r="F46" s="20"/>
      <c r="G46" s="20"/>
      <c r="H46" s="20"/>
      <c r="I46" s="20"/>
      <c r="J46" s="20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</row>
    <row r="47" spans="1:46" x14ac:dyDescent="0.25">
      <c r="A47" s="15" t="s">
        <v>81</v>
      </c>
      <c r="B47" s="36"/>
      <c r="C47" s="36"/>
      <c r="D47" s="36"/>
      <c r="E47" s="12">
        <f>E23+E26+E29+E31+E33+E42-E44</f>
        <v>2298.9894623999999</v>
      </c>
      <c r="F47" s="12">
        <f t="shared" ref="F47:J47" si="25">F23+F26+F29+F31+F33+F42-F44</f>
        <v>2432.8702393920003</v>
      </c>
      <c r="G47" s="12">
        <f t="shared" si="25"/>
        <v>2561.9395310294408</v>
      </c>
      <c r="H47" s="12">
        <f t="shared" si="25"/>
        <v>2683.8044724860069</v>
      </c>
      <c r="I47" s="12">
        <f t="shared" si="25"/>
        <v>2796.1233805654037</v>
      </c>
      <c r="J47" s="12">
        <f t="shared" si="25"/>
        <v>2896.7045882823941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  <row r="48" spans="1:46" x14ac:dyDescent="0.25">
      <c r="A48" s="56" t="s">
        <v>82</v>
      </c>
      <c r="B48" s="36"/>
      <c r="C48" s="36"/>
      <c r="D48" s="36"/>
      <c r="E48" s="12">
        <f>E47/(1+M13)^E50</f>
        <v>2089.9904203636361</v>
      </c>
      <c r="F48" s="12">
        <f t="shared" ref="F48:J48" si="26">F47/(1+C56)^F50</f>
        <v>2432.8702393920003</v>
      </c>
      <c r="G48" s="12">
        <f t="shared" si="26"/>
        <v>2561.9395310294408</v>
      </c>
      <c r="H48" s="12">
        <f t="shared" si="26"/>
        <v>2683.8044724860069</v>
      </c>
      <c r="I48" s="12">
        <f t="shared" si="26"/>
        <v>2796.1233805654037</v>
      </c>
      <c r="J48" s="12">
        <f t="shared" si="26"/>
        <v>2896.7045882823941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</row>
    <row r="49" spans="1:46" x14ac:dyDescent="0.25">
      <c r="A49" s="39"/>
      <c r="B49" s="36"/>
      <c r="C49" s="36"/>
      <c r="D49" s="36"/>
      <c r="E49" s="20"/>
      <c r="F49" s="20"/>
      <c r="G49" s="20"/>
      <c r="H49" s="20"/>
      <c r="I49" s="20"/>
      <c r="J49" s="20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</row>
    <row r="50" spans="1:46" x14ac:dyDescent="0.25">
      <c r="A50" s="39" t="s">
        <v>83</v>
      </c>
      <c r="B50" s="36"/>
      <c r="C50" s="36"/>
      <c r="D50" s="36"/>
      <c r="E50" s="13">
        <v>1</v>
      </c>
      <c r="F50" s="13">
        <v>2</v>
      </c>
      <c r="G50" s="13">
        <v>3</v>
      </c>
      <c r="H50" s="13">
        <v>4</v>
      </c>
      <c r="I50" s="13">
        <v>5</v>
      </c>
      <c r="J50" s="13">
        <v>6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</row>
    <row r="51" spans="1:46" x14ac:dyDescent="0.25">
      <c r="A51" s="15" t="s">
        <v>51</v>
      </c>
      <c r="B51" s="32">
        <f t="shared" ref="B51:J51" si="27">B21+B26</f>
        <v>3114</v>
      </c>
      <c r="C51" s="32">
        <f t="shared" si="27"/>
        <v>3158</v>
      </c>
      <c r="D51" s="32">
        <f t="shared" si="27"/>
        <v>2884</v>
      </c>
      <c r="E51" s="12">
        <f t="shared" si="27"/>
        <v>3409.1478720000005</v>
      </c>
      <c r="F51" s="12">
        <f t="shared" si="27"/>
        <v>3607.6783017600001</v>
      </c>
      <c r="G51" s="12">
        <f t="shared" si="27"/>
        <v>3799.0738292832007</v>
      </c>
      <c r="H51" s="12">
        <f t="shared" si="27"/>
        <v>3979.7860998841925</v>
      </c>
      <c r="I51" s="12">
        <f t="shared" si="27"/>
        <v>4146.342655591282</v>
      </c>
      <c r="J51" s="12">
        <f t="shared" si="27"/>
        <v>4295.4934959320672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</row>
    <row r="52" spans="1:46" x14ac:dyDescent="0.25">
      <c r="B52" s="34"/>
      <c r="C52" s="34"/>
      <c r="D52" s="34"/>
      <c r="E52" s="12"/>
      <c r="F52" s="12"/>
      <c r="G52" s="12"/>
      <c r="H52" s="12"/>
      <c r="I52" s="12"/>
      <c r="J52" s="12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</row>
    <row r="53" spans="1:46" x14ac:dyDescent="0.25">
      <c r="B53" s="34"/>
      <c r="C53" s="34"/>
      <c r="D53" s="34"/>
      <c r="E53" s="12"/>
      <c r="F53" s="12"/>
      <c r="G53" s="12"/>
      <c r="H53" s="12"/>
      <c r="I53" s="12"/>
      <c r="J53" s="12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</row>
    <row r="54" spans="1:46" x14ac:dyDescent="0.25">
      <c r="B54" s="34"/>
      <c r="C54" s="34"/>
      <c r="D54" s="34"/>
      <c r="E54" s="12"/>
      <c r="F54" s="12"/>
      <c r="G54" s="12"/>
      <c r="H54" s="12"/>
      <c r="I54" s="12"/>
      <c r="J54" s="12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</row>
    <row r="55" spans="1:46" x14ac:dyDescent="0.25">
      <c r="B55" s="34"/>
      <c r="C55" s="34"/>
      <c r="D55" s="34"/>
      <c r="E55" s="12"/>
      <c r="F55" s="12"/>
      <c r="G55" s="12"/>
      <c r="H55" s="12"/>
      <c r="I55" s="12"/>
      <c r="J55" s="12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</row>
    <row r="56" spans="1:46" x14ac:dyDescent="0.25">
      <c r="C56" s="34"/>
      <c r="D56" s="34"/>
      <c r="E56" s="12"/>
      <c r="F56" s="12"/>
      <c r="G56" s="12"/>
      <c r="H56" s="12"/>
      <c r="I56" s="12"/>
      <c r="J56" s="12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</row>
    <row r="57" spans="1:46" x14ac:dyDescent="0.25">
      <c r="C57" s="34"/>
      <c r="D57" s="34"/>
      <c r="E57" s="26"/>
      <c r="F57" s="26"/>
      <c r="G57" s="26"/>
      <c r="H57" s="26"/>
      <c r="I57" s="26"/>
      <c r="J57" s="26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</row>
    <row r="58" spans="1:46" x14ac:dyDescent="0.25">
      <c r="C58" s="34"/>
      <c r="D58" s="34"/>
      <c r="E58" s="26"/>
      <c r="F58" s="26"/>
      <c r="G58" s="26"/>
      <c r="H58" s="26"/>
      <c r="I58" s="26"/>
      <c r="J58" s="26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</row>
    <row r="59" spans="1:46" x14ac:dyDescent="0.25">
      <c r="C59" s="17"/>
      <c r="D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</row>
    <row r="60" spans="1:46" x14ac:dyDescent="0.25">
      <c r="C60" s="17"/>
      <c r="D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</row>
    <row r="61" spans="1:46" x14ac:dyDescent="0.25">
      <c r="C61" s="17"/>
      <c r="D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</row>
    <row r="62" spans="1:46" x14ac:dyDescent="0.25">
      <c r="C62" s="17"/>
      <c r="D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</row>
    <row r="63" spans="1:46" x14ac:dyDescent="0.25">
      <c r="C63" s="17"/>
      <c r="D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</row>
    <row r="64" spans="1:46" x14ac:dyDescent="0.25">
      <c r="C64" s="17"/>
      <c r="D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</row>
    <row r="65" spans="2:46" x14ac:dyDescent="0.25">
      <c r="C65" s="17"/>
      <c r="D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</row>
    <row r="66" spans="2:46" x14ac:dyDescent="0.25">
      <c r="C66" s="17"/>
      <c r="D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</row>
    <row r="67" spans="2:46" x14ac:dyDescent="0.25">
      <c r="B67" s="17"/>
      <c r="C67" s="17"/>
      <c r="D67" s="17"/>
    </row>
    <row r="68" spans="2:46" x14ac:dyDescent="0.25">
      <c r="B68" s="17"/>
      <c r="C68" s="17"/>
      <c r="D68" s="17"/>
    </row>
    <row r="69" spans="2:46" x14ac:dyDescent="0.25">
      <c r="B69" s="17"/>
      <c r="C69" s="17"/>
      <c r="D69" s="17"/>
    </row>
    <row r="70" spans="2:46" x14ac:dyDescent="0.25">
      <c r="B70" s="17"/>
      <c r="C70" s="17"/>
      <c r="D70" s="17"/>
    </row>
    <row r="71" spans="2:46" x14ac:dyDescent="0.25">
      <c r="B71" s="17"/>
      <c r="C71" s="17"/>
      <c r="D71" s="17"/>
    </row>
    <row r="72" spans="2:46" x14ac:dyDescent="0.25">
      <c r="B72" s="17"/>
      <c r="C72" s="17"/>
      <c r="D72" s="17"/>
    </row>
    <row r="73" spans="2:46" x14ac:dyDescent="0.25">
      <c r="B73" s="17"/>
      <c r="C73" s="17"/>
      <c r="D73" s="17"/>
    </row>
    <row r="74" spans="2:46" x14ac:dyDescent="0.25">
      <c r="B74" s="17"/>
      <c r="C74" s="17"/>
      <c r="D74" s="17"/>
    </row>
    <row r="75" spans="2:46" x14ac:dyDescent="0.25">
      <c r="B75" s="17"/>
      <c r="C75" s="17"/>
      <c r="D75" s="17"/>
    </row>
    <row r="76" spans="2:46" x14ac:dyDescent="0.25">
      <c r="B76" s="17"/>
      <c r="C76" s="17"/>
      <c r="D76" s="17"/>
    </row>
    <row r="77" spans="2:46" x14ac:dyDescent="0.25">
      <c r="B77" s="17"/>
      <c r="C77" s="17"/>
      <c r="D77" s="17"/>
    </row>
    <row r="78" spans="2:46" x14ac:dyDescent="0.25">
      <c r="B78" s="17"/>
      <c r="C78" s="17"/>
      <c r="D78" s="17"/>
    </row>
    <row r="79" spans="2:46" x14ac:dyDescent="0.25">
      <c r="B79" s="17"/>
      <c r="C79" s="17"/>
      <c r="D79" s="17"/>
    </row>
    <row r="80" spans="2:46" x14ac:dyDescent="0.25">
      <c r="B80" s="17"/>
      <c r="C80" s="17"/>
      <c r="D80" s="17"/>
    </row>
    <row r="81" spans="2:4" x14ac:dyDescent="0.25">
      <c r="B81" s="17"/>
      <c r="C81" s="17"/>
      <c r="D81" s="17"/>
    </row>
    <row r="82" spans="2:4" x14ac:dyDescent="0.25">
      <c r="B82" s="17"/>
      <c r="C82" s="17"/>
      <c r="D82" s="17"/>
    </row>
    <row r="83" spans="2:4" x14ac:dyDescent="0.25">
      <c r="B83" s="17"/>
      <c r="C83" s="17"/>
      <c r="D83" s="17"/>
    </row>
    <row r="84" spans="2:4" x14ac:dyDescent="0.25">
      <c r="B84" s="17"/>
      <c r="C84" s="17"/>
      <c r="D84" s="17"/>
    </row>
    <row r="85" spans="2:4" x14ac:dyDescent="0.25">
      <c r="B85" s="17"/>
      <c r="C85" s="17"/>
      <c r="D85" s="17"/>
    </row>
    <row r="86" spans="2:4" x14ac:dyDescent="0.25">
      <c r="B86" s="17"/>
      <c r="C86" s="17"/>
      <c r="D86" s="17"/>
    </row>
    <row r="87" spans="2:4" x14ac:dyDescent="0.25">
      <c r="B87" s="17"/>
      <c r="C87" s="17"/>
      <c r="D87" s="17"/>
    </row>
    <row r="88" spans="2:4" x14ac:dyDescent="0.25">
      <c r="B88" s="17"/>
      <c r="C88" s="17"/>
      <c r="D88" s="17"/>
    </row>
    <row r="89" spans="2:4" x14ac:dyDescent="0.25">
      <c r="B89" s="17"/>
      <c r="C89" s="17"/>
      <c r="D89" s="17"/>
    </row>
  </sheetData>
  <pageMargins left="0.7" right="0.7" top="0.75" bottom="0.75" header="0.3" footer="0.3"/>
  <pageSetup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Revenue Drivers</vt:lpstr>
      <vt:lpstr>Debt</vt:lpstr>
      <vt:lpstr>Model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Kamadhenu</dc:creator>
  <cp:lastModifiedBy>Kamadhenu</cp:lastModifiedBy>
  <dcterms:created xsi:type="dcterms:W3CDTF">2016-03-19T20:23:13Z</dcterms:created>
  <dcterms:modified xsi:type="dcterms:W3CDTF">2016-03-23T15:25:53Z</dcterms:modified>
</cp:coreProperties>
</file>