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 8.1\Documents\Caiman Valores\"/>
    </mc:Choice>
  </mc:AlternateContent>
  <bookViews>
    <workbookView xWindow="0" yWindow="0" windowWidth="20490" windowHeight="7755"/>
  </bookViews>
  <sheets>
    <sheet name="Retained Earnings Valuation" sheetId="2" r:id="rId1"/>
    <sheet name="CAPM" sheetId="1" r:id="rId2"/>
    <sheet name="Currency Sensitivity" sheetId="3" r:id="rId3"/>
  </sheets>
  <definedNames>
    <definedName name="_xlnm.Print_Area" localSheetId="1">CAPM!$A$1:$D$22</definedName>
    <definedName name="_xlnm.Print_Area" localSheetId="2">'Currency Sensitivity'!$A$1:$E$16</definedName>
    <definedName name="_xlnm.Print_Area" localSheetId="0">'Retained Earnings Valuation'!$A$1:$R$27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C11" i="1" l="1"/>
  <c r="C8" i="1"/>
  <c r="N15" i="2" s="1"/>
  <c r="C12" i="1" s="1"/>
  <c r="D9" i="2"/>
  <c r="E9" i="2" s="1"/>
  <c r="F9" i="2" s="1"/>
  <c r="G9" i="2" s="1"/>
  <c r="H9" i="2" s="1"/>
  <c r="I9" i="2" s="1"/>
  <c r="J9" i="2" s="1"/>
  <c r="K9" i="2" s="1"/>
  <c r="L9" i="2" s="1"/>
  <c r="M9" i="2" s="1"/>
  <c r="N9" i="2" s="1"/>
  <c r="E14" i="2"/>
  <c r="F14" i="2" s="1"/>
  <c r="G14" i="2" s="1"/>
  <c r="H14" i="2" s="1"/>
  <c r="I14" i="2" s="1"/>
  <c r="J14" i="2" s="1"/>
  <c r="K14" i="2" s="1"/>
  <c r="L14" i="2" s="1"/>
  <c r="M14" i="2" s="1"/>
  <c r="N14" i="2" s="1"/>
  <c r="D17" i="2"/>
  <c r="I15" i="2" l="1"/>
  <c r="E15" i="2"/>
  <c r="M15" i="2"/>
  <c r="D6" i="2"/>
  <c r="E5" i="2" s="1"/>
  <c r="E10" i="2" s="1"/>
  <c r="G15" i="2"/>
  <c r="K15" i="2"/>
  <c r="D10" i="2"/>
  <c r="D15" i="2"/>
  <c r="D7" i="2" s="1"/>
  <c r="F15" i="2"/>
  <c r="H15" i="2"/>
  <c r="J15" i="2"/>
  <c r="L15" i="2"/>
  <c r="E7" i="2" l="1"/>
  <c r="E8" i="2" s="1"/>
  <c r="E6" i="2"/>
  <c r="F5" i="2" s="1"/>
  <c r="F10" i="2" s="1"/>
  <c r="D8" i="2"/>
  <c r="F6" i="2" l="1"/>
  <c r="G5" i="2" s="1"/>
  <c r="G10" i="2" s="1"/>
  <c r="F7" i="2"/>
  <c r="F8" i="2" s="1"/>
  <c r="G6" i="2" l="1"/>
  <c r="H5" i="2" s="1"/>
  <c r="H6" i="2" s="1"/>
  <c r="I5" i="2" s="1"/>
  <c r="G7" i="2"/>
  <c r="G8" i="2" s="1"/>
  <c r="H10" i="2"/>
  <c r="H7" i="2" l="1"/>
  <c r="I10" i="2"/>
  <c r="I6" i="2"/>
  <c r="J5" i="2" s="1"/>
  <c r="I7" i="2"/>
  <c r="I8" i="2" s="1"/>
  <c r="H8" i="2"/>
  <c r="J10" i="2" l="1"/>
  <c r="J6" i="2"/>
  <c r="K5" i="2" s="1"/>
  <c r="J7" i="2"/>
  <c r="K6" i="2" l="1"/>
  <c r="L5" i="2" s="1"/>
  <c r="K10" i="2"/>
  <c r="K7" i="2"/>
  <c r="K8" i="2" s="1"/>
  <c r="J8" i="2"/>
  <c r="L10" i="2" l="1"/>
  <c r="L6" i="2"/>
  <c r="M5" i="2" s="1"/>
  <c r="L7" i="2"/>
  <c r="M10" i="2" l="1"/>
  <c r="M6" i="2"/>
  <c r="N5" i="2" s="1"/>
  <c r="M7" i="2"/>
  <c r="M8" i="2" s="1"/>
  <c r="L8" i="2"/>
  <c r="C13" i="1" l="1"/>
  <c r="C15" i="1"/>
  <c r="C16" i="1" s="1"/>
  <c r="D19" i="2" s="1"/>
  <c r="N10" i="2"/>
  <c r="N6" i="2"/>
  <c r="N7" i="2"/>
  <c r="N8" i="2" l="1"/>
  <c r="D18" i="2"/>
  <c r="D20" i="2" s="1"/>
  <c r="D22" i="2" s="1"/>
</calcChain>
</file>

<file path=xl/sharedStrings.xml><?xml version="1.0" encoding="utf-8"?>
<sst xmlns="http://schemas.openxmlformats.org/spreadsheetml/2006/main" count="42" uniqueCount="38">
  <si>
    <t>Tangible Book Value and Execess Return Valuation</t>
  </si>
  <si>
    <t>USD Millions</t>
  </si>
  <si>
    <t>Tangible Book Value</t>
  </si>
  <si>
    <t>Retained Earnings</t>
  </si>
  <si>
    <t>Excess Return</t>
  </si>
  <si>
    <t>Present Value</t>
  </si>
  <si>
    <t>Total Shares Issued</t>
  </si>
  <si>
    <t>Tangible Book Value Per Share</t>
  </si>
  <si>
    <t>Key Assumptions</t>
  </si>
  <si>
    <t>RoE</t>
  </si>
  <si>
    <t>Payout Ratio</t>
  </si>
  <si>
    <t>Cost of Equity</t>
  </si>
  <si>
    <t>Total Excess Return</t>
  </si>
  <si>
    <t>Terminal Value (Year 11)</t>
  </si>
  <si>
    <t>Total</t>
  </si>
  <si>
    <t>Shares Outstanding (mm)</t>
  </si>
  <si>
    <t>Indicative Value Per Share*</t>
  </si>
  <si>
    <t>Notes:</t>
  </si>
  <si>
    <t>Cost of Equity (Capital Asset Pricing Model)</t>
  </si>
  <si>
    <t>Risk Free Rate</t>
  </si>
  <si>
    <t>Beta</t>
  </si>
  <si>
    <t>Terminal Value</t>
  </si>
  <si>
    <t>ROE</t>
  </si>
  <si>
    <t>Cost Of Equity</t>
  </si>
  <si>
    <t>Final Year Book Value</t>
  </si>
  <si>
    <t>Cost of Equity (Cost of Equity (Re) = Rf + Beta (Rm-Rf).)</t>
  </si>
  <si>
    <t>GDP Growth rate</t>
  </si>
  <si>
    <t>Equity Risk Premium (Rm-Rf)</t>
  </si>
  <si>
    <t>**Tangible book value represents the value of all assets less intangibles, goodwill and non-earning assets.</t>
  </si>
  <si>
    <t>**Risk free rate is the expected yield on 10 year govt bonds.</t>
  </si>
  <si>
    <t>Indicative Fair Value (p/shr)</t>
  </si>
  <si>
    <t>Tangible Book Value 2016</t>
  </si>
  <si>
    <t>Westpac</t>
  </si>
  <si>
    <t>* Exchange rate AUD/USD: $0.75435</t>
  </si>
  <si>
    <t>*Longterm GDP growth rate for Australia 2.5% used.</t>
  </si>
  <si>
    <t>***Equity risk premium 6.45%.</t>
  </si>
  <si>
    <t>Westpac CAPM Calculations</t>
  </si>
  <si>
    <t>Exchange Rate AUD/USD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</si>
</sst>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$-409]#,##0"/>
    <numFmt numFmtId="165" formatCode="&quot;$&quot;#,##0.00"/>
    <numFmt numFmtId="166" formatCode="0.0%"/>
    <numFmt numFmtId="167" formatCode="&quot;$&quot;#,##0.00;[Red]\-&quot;$&quot;#,##0.00"/>
    <numFmt numFmtId="168" formatCode="0.00000000000000%"/>
    <numFmt numFmtId="171" formatCode="[$$-540A]#,##0.00"/>
    <numFmt numFmtId="172" formatCode="[$$-409]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212121"/>
      <name val="Calibri"/>
      <family val="2"/>
    </font>
    <font>
      <sz val="11"/>
      <color rgb="FF212121"/>
      <name val="Calibri"/>
      <family val="2"/>
    </font>
    <font>
      <sz val="11"/>
      <color theme="1"/>
      <name val="Calibri"/>
      <family val="2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auto="1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1" fillId="5" borderId="7" xfId="0" applyFont="1" applyFill="1" applyBorder="1"/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10" fontId="0" fillId="4" borderId="10" xfId="0" applyNumberFormat="1" applyFill="1" applyBorder="1"/>
    <xf numFmtId="0" fontId="0" fillId="0" borderId="11" xfId="0" applyBorder="1"/>
    <xf numFmtId="164" fontId="0" fillId="2" borderId="12" xfId="0" applyNumberFormat="1" applyFont="1" applyFill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0" fillId="4" borderId="10" xfId="0" applyFill="1" applyBorder="1"/>
    <xf numFmtId="0" fontId="0" fillId="5" borderId="11" xfId="0" applyFill="1" applyBorder="1"/>
    <xf numFmtId="164" fontId="0" fillId="5" borderId="12" xfId="0" applyNumberFormat="1" applyFont="1" applyFill="1" applyBorder="1"/>
    <xf numFmtId="164" fontId="0" fillId="5" borderId="13" xfId="0" applyNumberFormat="1" applyFont="1" applyFill="1" applyBorder="1"/>
    <xf numFmtId="0" fontId="0" fillId="6" borderId="11" xfId="0" applyFill="1" applyBorder="1"/>
    <xf numFmtId="164" fontId="0" fillId="6" borderId="12" xfId="0" applyNumberFormat="1" applyFont="1" applyFill="1" applyBorder="1"/>
    <xf numFmtId="164" fontId="0" fillId="6" borderId="13" xfId="0" applyNumberFormat="1" applyFont="1" applyFill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0" fontId="1" fillId="5" borderId="14" xfId="0" applyFont="1" applyFill="1" applyBorder="1"/>
    <xf numFmtId="164" fontId="1" fillId="5" borderId="15" xfId="0" applyNumberFormat="1" applyFont="1" applyFill="1" applyBorder="1"/>
    <xf numFmtId="164" fontId="1" fillId="5" borderId="16" xfId="0" applyNumberFormat="1" applyFont="1" applyFill="1" applyBorder="1"/>
    <xf numFmtId="0" fontId="1" fillId="4" borderId="17" xfId="0" applyFont="1" applyFill="1" applyBorder="1"/>
    <xf numFmtId="165" fontId="1" fillId="4" borderId="0" xfId="0" applyNumberFormat="1" applyFont="1" applyFill="1" applyBorder="1"/>
    <xf numFmtId="0" fontId="1" fillId="6" borderId="7" xfId="0" applyFont="1" applyFill="1" applyBorder="1"/>
    <xf numFmtId="0" fontId="1" fillId="0" borderId="11" xfId="0" applyFont="1" applyFill="1" applyBorder="1"/>
    <xf numFmtId="166" fontId="0" fillId="2" borderId="12" xfId="0" applyNumberFormat="1" applyFont="1" applyFill="1" applyBorder="1"/>
    <xf numFmtId="166" fontId="0" fillId="2" borderId="13" xfId="0" applyNumberFormat="1" applyFont="1" applyFill="1" applyBorder="1"/>
    <xf numFmtId="0" fontId="1" fillId="6" borderId="11" xfId="0" applyFont="1" applyFill="1" applyBorder="1"/>
    <xf numFmtId="9" fontId="0" fillId="6" borderId="18" xfId="0" applyNumberFormat="1" applyFont="1" applyFill="1" applyBorder="1"/>
    <xf numFmtId="9" fontId="0" fillId="6" borderId="19" xfId="0" applyNumberFormat="1" applyFont="1" applyFill="1" applyBorder="1"/>
    <xf numFmtId="0" fontId="1" fillId="0" borderId="14" xfId="0" applyFont="1" applyFill="1" applyBorder="1"/>
    <xf numFmtId="166" fontId="0" fillId="2" borderId="15" xfId="0" applyNumberFormat="1" applyFont="1" applyFill="1" applyBorder="1"/>
    <xf numFmtId="166" fontId="0" fillId="0" borderId="15" xfId="0" applyNumberFormat="1" applyFont="1" applyFill="1" applyBorder="1"/>
    <xf numFmtId="166" fontId="0" fillId="0" borderId="16" xfId="0" applyNumberFormat="1" applyFont="1" applyFill="1" applyBorder="1"/>
    <xf numFmtId="0" fontId="0" fillId="4" borderId="17" xfId="0" applyFill="1" applyBorder="1"/>
    <xf numFmtId="0" fontId="0" fillId="4" borderId="0" xfId="0" applyFill="1" applyBorder="1"/>
    <xf numFmtId="9" fontId="1" fillId="4" borderId="0" xfId="0" applyNumberFormat="1" applyFont="1" applyFill="1" applyBorder="1"/>
    <xf numFmtId="0" fontId="3" fillId="6" borderId="20" xfId="0" applyFont="1" applyFill="1" applyBorder="1" applyAlignment="1">
      <alignment horizontal="left" vertical="center" wrapText="1"/>
    </xf>
    <xf numFmtId="164" fontId="4" fillId="6" borderId="2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/>
    <xf numFmtId="0" fontId="3" fillId="2" borderId="22" xfId="0" applyFont="1" applyFill="1" applyBorder="1" applyAlignment="1">
      <alignment horizontal="left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left" vertical="center" wrapText="1"/>
    </xf>
    <xf numFmtId="164" fontId="4" fillId="6" borderId="23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/>
    <xf numFmtId="3" fontId="4" fillId="6" borderId="2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167" fontId="3" fillId="7" borderId="26" xfId="0" applyNumberFormat="1" applyFont="1" applyFill="1" applyBorder="1" applyAlignment="1">
      <alignment horizontal="center" vertical="center" wrapText="1"/>
    </xf>
    <xf numFmtId="165" fontId="5" fillId="4" borderId="27" xfId="0" applyNumberFormat="1" applyFont="1" applyFill="1" applyBorder="1"/>
    <xf numFmtId="9" fontId="1" fillId="4" borderId="27" xfId="0" applyNumberFormat="1" applyFont="1" applyFill="1" applyBorder="1"/>
    <xf numFmtId="0" fontId="0" fillId="4" borderId="28" xfId="0" applyFill="1" applyBorder="1"/>
    <xf numFmtId="0" fontId="0" fillId="2" borderId="0" xfId="0" applyFill="1" applyBorder="1"/>
    <xf numFmtId="0" fontId="1" fillId="2" borderId="31" xfId="0" applyFont="1" applyFill="1" applyBorder="1"/>
    <xf numFmtId="0" fontId="0" fillId="2" borderId="32" xfId="0" applyFill="1" applyBorder="1"/>
    <xf numFmtId="0" fontId="6" fillId="2" borderId="31" xfId="0" applyFont="1" applyFill="1" applyBorder="1"/>
    <xf numFmtId="49" fontId="8" fillId="2" borderId="31" xfId="1" applyNumberFormat="1" applyFont="1" applyFill="1" applyBorder="1"/>
    <xf numFmtId="0" fontId="0" fillId="2" borderId="31" xfId="0" applyFill="1" applyBorder="1"/>
    <xf numFmtId="0" fontId="1" fillId="2" borderId="33" xfId="0" applyFont="1" applyFill="1" applyBorder="1"/>
    <xf numFmtId="0" fontId="0" fillId="2" borderId="31" xfId="0" applyFont="1" applyFill="1" applyBorder="1"/>
    <xf numFmtId="0" fontId="0" fillId="2" borderId="35" xfId="0" applyFill="1" applyBorder="1"/>
    <xf numFmtId="0" fontId="0" fillId="2" borderId="31" xfId="0" applyFont="1" applyFill="1" applyBorder="1" applyAlignment="1">
      <alignment wrapText="1"/>
    </xf>
    <xf numFmtId="10" fontId="0" fillId="0" borderId="0" xfId="0" applyNumberFormat="1"/>
    <xf numFmtId="168" fontId="0" fillId="0" borderId="0" xfId="0" applyNumberFormat="1"/>
    <xf numFmtId="10" fontId="9" fillId="8" borderId="32" xfId="0" applyNumberFormat="1" applyFont="1" applyFill="1" applyBorder="1"/>
    <xf numFmtId="0" fontId="9" fillId="8" borderId="32" xfId="0" applyFont="1" applyFill="1" applyBorder="1"/>
    <xf numFmtId="10" fontId="9" fillId="2" borderId="34" xfId="0" applyNumberFormat="1" applyFont="1" applyFill="1" applyBorder="1"/>
    <xf numFmtId="0" fontId="9" fillId="2" borderId="32" xfId="0" applyFont="1" applyFill="1" applyBorder="1"/>
    <xf numFmtId="9" fontId="9" fillId="2" borderId="32" xfId="0" applyNumberFormat="1" applyFont="1" applyFill="1" applyBorder="1"/>
    <xf numFmtId="10" fontId="9" fillId="2" borderId="32" xfId="0" applyNumberFormat="1" applyFont="1" applyFill="1" applyBorder="1"/>
    <xf numFmtId="165" fontId="9" fillId="2" borderId="32" xfId="0" applyNumberFormat="1" applyFont="1" applyFill="1" applyBorder="1"/>
    <xf numFmtId="165" fontId="9" fillId="2" borderId="34" xfId="0" applyNumberFormat="1" applyFont="1" applyFill="1" applyBorder="1"/>
    <xf numFmtId="167" fontId="0" fillId="2" borderId="10" xfId="0" applyNumberFormat="1" applyFill="1" applyBorder="1" applyAlignment="1">
      <alignment horizontal="center"/>
    </xf>
    <xf numFmtId="167" fontId="0" fillId="2" borderId="28" xfId="0" applyNumberFormat="1" applyFill="1" applyBorder="1" applyAlignment="1">
      <alignment horizontal="center"/>
    </xf>
    <xf numFmtId="171" fontId="0" fillId="2" borderId="10" xfId="0" applyNumberFormat="1" applyFill="1" applyBorder="1" applyAlignment="1">
      <alignment horizontal="center" wrapText="1"/>
    </xf>
    <xf numFmtId="0" fontId="1" fillId="4" borderId="4" xfId="0" applyFont="1" applyFill="1" applyBorder="1" applyAlignment="1"/>
    <xf numFmtId="0" fontId="1" fillId="4" borderId="5" xfId="0" applyFont="1" applyFill="1" applyBorder="1" applyAlignment="1"/>
    <xf numFmtId="0" fontId="1" fillId="4" borderId="6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6" borderId="36" xfId="0" applyFont="1" applyFill="1" applyBorder="1" applyAlignment="1"/>
    <xf numFmtId="0" fontId="0" fillId="0" borderId="37" xfId="0" applyBorder="1" applyAlignment="1"/>
    <xf numFmtId="0" fontId="1" fillId="6" borderId="29" xfId="0" applyFont="1" applyFill="1" applyBorder="1" applyAlignment="1"/>
    <xf numFmtId="0" fontId="0" fillId="0" borderId="30" xfId="0" applyBorder="1" applyAlignment="1"/>
    <xf numFmtId="172" fontId="0" fillId="2" borderId="40" xfId="0" applyNumberFormat="1" applyFill="1" applyBorder="1" applyAlignment="1">
      <alignment horizontal="center" vertical="top" wrapText="1"/>
    </xf>
    <xf numFmtId="172" fontId="0" fillId="2" borderId="40" xfId="0" applyNumberFormat="1" applyFill="1" applyBorder="1" applyAlignment="1">
      <alignment horizontal="center"/>
    </xf>
    <xf numFmtId="172" fontId="0" fillId="2" borderId="43" xfId="0" applyNumberFormat="1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Normal="100" zoomScaleSheetLayoutView="100" workbookViewId="0"/>
  </sheetViews>
  <sheetFormatPr baseColWidth="10" defaultColWidth="9.140625" defaultRowHeight="15" x14ac:dyDescent="0.25"/>
  <cols>
    <col min="1" max="1" width="4" customWidth="1"/>
    <col min="2" max="2" width="12" customWidth="1"/>
    <col min="3" max="3" width="30.7109375" customWidth="1"/>
    <col min="4" max="4" width="12.7109375" customWidth="1"/>
    <col min="5" max="5" width="12.140625" customWidth="1"/>
    <col min="6" max="6" width="13.28515625" bestFit="1" customWidth="1"/>
    <col min="7" max="7" width="12" customWidth="1"/>
    <col min="8" max="8" width="12.140625" customWidth="1"/>
    <col min="9" max="9" width="12.42578125" customWidth="1"/>
    <col min="10" max="12" width="11.7109375" customWidth="1"/>
    <col min="13" max="13" width="12.140625" customWidth="1"/>
    <col min="14" max="14" width="12.28515625" customWidth="1"/>
    <col min="15" max="15" width="0.7109375" customWidth="1"/>
    <col min="16" max="16" width="3.85546875" customWidth="1"/>
    <col min="17" max="17" width="2.5703125" customWidth="1"/>
    <col min="18" max="18" width="2.140625" customWidth="1"/>
    <col min="19" max="19" width="27.85546875" bestFit="1" customWidth="1"/>
    <col min="20" max="20" width="27.42578125" customWidth="1"/>
    <col min="22" max="22" width="28.7109375" customWidth="1"/>
    <col min="23" max="23" width="24.42578125" bestFit="1" customWidth="1"/>
    <col min="24" max="27" width="12" customWidth="1"/>
  </cols>
  <sheetData>
    <row r="1" spans="1:23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U1" s="1"/>
      <c r="V1" s="1"/>
    </row>
    <row r="2" spans="1:23" ht="19.5" thickBot="1" x14ac:dyDescent="0.35">
      <c r="A2" s="1"/>
      <c r="B2" s="1"/>
      <c r="C2" s="78" t="s">
        <v>32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1"/>
      <c r="Q2" s="1"/>
      <c r="R2" s="1"/>
      <c r="U2" s="1"/>
    </row>
    <row r="3" spans="1:23" ht="15.75" thickBot="1" x14ac:dyDescent="0.3">
      <c r="A3" s="1"/>
      <c r="B3" s="1"/>
      <c r="C3" s="75" t="s">
        <v>0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  <c r="Q3" s="1"/>
      <c r="R3" s="1"/>
      <c r="U3" s="1"/>
    </row>
    <row r="4" spans="1:23" x14ac:dyDescent="0.25">
      <c r="A4" s="1"/>
      <c r="B4" s="1"/>
      <c r="C4" s="2" t="s">
        <v>1</v>
      </c>
      <c r="D4" s="3">
        <v>2016</v>
      </c>
      <c r="E4" s="3">
        <v>2017</v>
      </c>
      <c r="F4" s="3">
        <v>2018</v>
      </c>
      <c r="G4" s="3">
        <v>2019</v>
      </c>
      <c r="H4" s="3">
        <v>2020</v>
      </c>
      <c r="I4" s="3">
        <v>2021</v>
      </c>
      <c r="J4" s="3">
        <v>2022</v>
      </c>
      <c r="K4" s="3">
        <v>2023</v>
      </c>
      <c r="L4" s="3">
        <v>2024</v>
      </c>
      <c r="M4" s="3">
        <v>2025</v>
      </c>
      <c r="N4" s="4">
        <v>2026</v>
      </c>
      <c r="O4" s="5"/>
      <c r="P4" s="1"/>
      <c r="Q4" s="1"/>
      <c r="R4" s="1"/>
      <c r="U4" s="1"/>
      <c r="W4" s="62"/>
    </row>
    <row r="5" spans="1:23" x14ac:dyDescent="0.25">
      <c r="A5" s="1"/>
      <c r="B5" s="1"/>
      <c r="C5" s="6" t="s">
        <v>2</v>
      </c>
      <c r="D5" s="7">
        <f>53915*0.75453</f>
        <v>40680.484949999998</v>
      </c>
      <c r="E5" s="8">
        <f>D5+D6</f>
        <v>42331.705834120497</v>
      </c>
      <c r="F5" s="8">
        <f t="shared" ref="F5:N5" si="0">E5+E6</f>
        <v>43992.674975933885</v>
      </c>
      <c r="G5" s="8">
        <f t="shared" si="0"/>
        <v>45837.85974244948</v>
      </c>
      <c r="H5" s="8">
        <f t="shared" si="0"/>
        <v>47760.437093627035</v>
      </c>
      <c r="I5" s="8">
        <f t="shared" si="0"/>
        <v>49828.272978032714</v>
      </c>
      <c r="J5" s="8">
        <f t="shared" si="0"/>
        <v>52053.055538228895</v>
      </c>
      <c r="K5" s="8">
        <f t="shared" si="0"/>
        <v>54306.744630812056</v>
      </c>
      <c r="L5" s="8">
        <f t="shared" si="0"/>
        <v>56364.101344405739</v>
      </c>
      <c r="M5" s="8">
        <f t="shared" si="0"/>
        <v>58194.356443261284</v>
      </c>
      <c r="N5" s="9">
        <f t="shared" si="0"/>
        <v>60084.043585686864</v>
      </c>
      <c r="O5" s="10"/>
      <c r="P5" s="1"/>
      <c r="Q5" s="1"/>
      <c r="R5" s="1"/>
      <c r="U5" s="1"/>
      <c r="W5" s="62"/>
    </row>
    <row r="6" spans="1:23" x14ac:dyDescent="0.25">
      <c r="A6" s="1"/>
      <c r="B6" s="1"/>
      <c r="C6" s="11" t="s">
        <v>3</v>
      </c>
      <c r="D6" s="12">
        <f>(D5*D13)*(1-D14)</f>
        <v>1651.2208841204995</v>
      </c>
      <c r="E6" s="12">
        <f t="shared" ref="E6:N6" si="1">(E5*E13)*(1-E14)</f>
        <v>1660.9691418133855</v>
      </c>
      <c r="F6" s="12">
        <f t="shared" si="1"/>
        <v>1845.1847665155947</v>
      </c>
      <c r="G6" s="12">
        <f t="shared" si="1"/>
        <v>1922.5773511775581</v>
      </c>
      <c r="H6" s="12">
        <f t="shared" si="1"/>
        <v>2067.8358844056756</v>
      </c>
      <c r="I6" s="12">
        <f t="shared" si="1"/>
        <v>2224.7825601961822</v>
      </c>
      <c r="J6" s="12">
        <f t="shared" si="1"/>
        <v>2253.6890925831581</v>
      </c>
      <c r="K6" s="12">
        <f t="shared" si="1"/>
        <v>2057.3567135936837</v>
      </c>
      <c r="L6" s="12">
        <f t="shared" si="1"/>
        <v>1830.2550988555429</v>
      </c>
      <c r="M6" s="12">
        <f t="shared" si="1"/>
        <v>1889.6871424255801</v>
      </c>
      <c r="N6" s="13">
        <f t="shared" si="1"/>
        <v>1951.0490633144234</v>
      </c>
      <c r="O6" s="10"/>
      <c r="P6" s="1"/>
      <c r="Q6" s="1"/>
      <c r="R6" s="1"/>
      <c r="U6" s="1"/>
      <c r="W6" s="62"/>
    </row>
    <row r="7" spans="1:23" x14ac:dyDescent="0.25">
      <c r="A7" s="1"/>
      <c r="B7" s="1"/>
      <c r="C7" s="6" t="s">
        <v>4</v>
      </c>
      <c r="D7" s="8">
        <f t="shared" ref="D7:N7" si="2">(D13-D15)*D5</f>
        <v>2959.5052801124989</v>
      </c>
      <c r="E7" s="8">
        <f t="shared" si="2"/>
        <v>2867.9730702616625</v>
      </c>
      <c r="F7" s="8">
        <f t="shared" si="2"/>
        <v>3420.4304793788588</v>
      </c>
      <c r="G7" s="8">
        <f t="shared" si="2"/>
        <v>3563.8935949754464</v>
      </c>
      <c r="H7" s="8">
        <f t="shared" si="2"/>
        <v>3952.1761694976367</v>
      </c>
      <c r="I7" s="8">
        <f t="shared" si="2"/>
        <v>4372.4309538223706</v>
      </c>
      <c r="J7" s="8">
        <f t="shared" si="2"/>
        <v>4307.3903457884408</v>
      </c>
      <c r="K7" s="8">
        <f t="shared" si="2"/>
        <v>3407.7482255834566</v>
      </c>
      <c r="L7" s="8">
        <f t="shared" si="2"/>
        <v>2409.5653324733444</v>
      </c>
      <c r="M7" s="8">
        <f t="shared" si="2"/>
        <v>2487.8087379494191</v>
      </c>
      <c r="N7" s="9">
        <f t="shared" si="2"/>
        <v>2568.5928632881123</v>
      </c>
      <c r="O7" s="10"/>
      <c r="P7" s="1"/>
      <c r="Q7" s="1"/>
      <c r="R7" s="1"/>
      <c r="U7" s="1"/>
      <c r="W7" s="62"/>
    </row>
    <row r="8" spans="1:23" x14ac:dyDescent="0.25">
      <c r="A8" s="1"/>
      <c r="B8" s="1"/>
      <c r="C8" s="14" t="s">
        <v>5</v>
      </c>
      <c r="D8" s="15">
        <f>D7+(1+0.1)^0</f>
        <v>2960.5052801124989</v>
      </c>
      <c r="E8" s="15">
        <f>E7+(1+0.1)^1</f>
        <v>2869.0730702616625</v>
      </c>
      <c r="F8" s="15">
        <f>F7+(1+0.1)^2</f>
        <v>3421.6404793788588</v>
      </c>
      <c r="G8" s="15">
        <f>G7+(1+0.1)^3</f>
        <v>3565.2245949754465</v>
      </c>
      <c r="H8" s="15">
        <f>H7+(1+0.1)^4</f>
        <v>3953.6402694976368</v>
      </c>
      <c r="I8" s="15">
        <f>I7+(1+0.1)^5</f>
        <v>4374.041463822371</v>
      </c>
      <c r="J8" s="15">
        <f>J7+(1+0.1)^6</f>
        <v>4309.1619067884403</v>
      </c>
      <c r="K8" s="15">
        <f>K7+(1+0.1)^7</f>
        <v>3409.6969426834567</v>
      </c>
      <c r="L8" s="15">
        <f>L7+(1+0.1)^8</f>
        <v>2411.7089212833444</v>
      </c>
      <c r="M8" s="15">
        <f>M7+(1+0.1)^9</f>
        <v>2490.166685640419</v>
      </c>
      <c r="N8" s="16">
        <f>N7+(1+0.1)^10</f>
        <v>2571.1866057482125</v>
      </c>
      <c r="O8" s="10"/>
      <c r="P8" s="1"/>
      <c r="Q8" s="1"/>
      <c r="R8" s="1"/>
      <c r="U8" s="1"/>
      <c r="W8" s="62"/>
    </row>
    <row r="9" spans="1:23" x14ac:dyDescent="0.25">
      <c r="A9" s="1"/>
      <c r="B9" s="1"/>
      <c r="C9" s="6" t="s">
        <v>6</v>
      </c>
      <c r="D9" s="17">
        <f>D21</f>
        <v>3141</v>
      </c>
      <c r="E9" s="17">
        <f>D9</f>
        <v>3141</v>
      </c>
      <c r="F9" s="17">
        <f t="shared" ref="F9:N9" si="3">E9</f>
        <v>3141</v>
      </c>
      <c r="G9" s="17">
        <f t="shared" si="3"/>
        <v>3141</v>
      </c>
      <c r="H9" s="17">
        <f t="shared" si="3"/>
        <v>3141</v>
      </c>
      <c r="I9" s="17">
        <f t="shared" si="3"/>
        <v>3141</v>
      </c>
      <c r="J9" s="17">
        <f t="shared" si="3"/>
        <v>3141</v>
      </c>
      <c r="K9" s="17">
        <f t="shared" si="3"/>
        <v>3141</v>
      </c>
      <c r="L9" s="17">
        <f t="shared" si="3"/>
        <v>3141</v>
      </c>
      <c r="M9" s="17">
        <f t="shared" si="3"/>
        <v>3141</v>
      </c>
      <c r="N9" s="18">
        <f t="shared" si="3"/>
        <v>3141</v>
      </c>
      <c r="O9" s="10"/>
      <c r="P9" s="1"/>
      <c r="Q9" s="1"/>
      <c r="R9" s="1"/>
      <c r="U9" s="1"/>
      <c r="W9" s="63"/>
    </row>
    <row r="10" spans="1:23" ht="15.75" thickBot="1" x14ac:dyDescent="0.3">
      <c r="A10" s="1"/>
      <c r="B10" s="1"/>
      <c r="C10" s="19" t="s">
        <v>7</v>
      </c>
      <c r="D10" s="20">
        <f t="shared" ref="D10:N10" si="4">D5/D9</f>
        <v>12.951443791786055</v>
      </c>
      <c r="E10" s="20">
        <f t="shared" si="4"/>
        <v>13.47714289529465</v>
      </c>
      <c r="F10" s="20">
        <f t="shared" si="4"/>
        <v>14.005945551077328</v>
      </c>
      <c r="G10" s="20">
        <f t="shared" si="4"/>
        <v>14.593396925326164</v>
      </c>
      <c r="H10" s="20">
        <f t="shared" si="4"/>
        <v>15.205487772565117</v>
      </c>
      <c r="I10" s="20">
        <f t="shared" si="4"/>
        <v>15.863824571166099</v>
      </c>
      <c r="J10" s="20">
        <f t="shared" si="4"/>
        <v>16.572128474444092</v>
      </c>
      <c r="K10" s="20">
        <f t="shared" si="4"/>
        <v>17.289635348873624</v>
      </c>
      <c r="L10" s="20">
        <f t="shared" si="4"/>
        <v>17.944635894430352</v>
      </c>
      <c r="M10" s="20">
        <f t="shared" si="4"/>
        <v>18.527334111194296</v>
      </c>
      <c r="N10" s="21">
        <f t="shared" si="4"/>
        <v>19.128953704452996</v>
      </c>
      <c r="O10" s="10"/>
      <c r="P10" s="1"/>
      <c r="Q10" s="1"/>
      <c r="R10" s="1"/>
      <c r="U10" s="1"/>
    </row>
    <row r="11" spans="1:23" ht="15.75" thickBot="1" x14ac:dyDescent="0.3">
      <c r="A11" s="1"/>
      <c r="B11" s="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0"/>
      <c r="P11" s="1"/>
      <c r="Q11" s="1"/>
      <c r="R11" s="1"/>
      <c r="U11" s="1"/>
    </row>
    <row r="12" spans="1:23" x14ac:dyDescent="0.25">
      <c r="A12" s="1"/>
      <c r="B12" s="1"/>
      <c r="C12" s="24" t="s">
        <v>8</v>
      </c>
      <c r="D12" s="3">
        <v>2016</v>
      </c>
      <c r="E12" s="3">
        <v>2017</v>
      </c>
      <c r="F12" s="3">
        <v>2018</v>
      </c>
      <c r="G12" s="3">
        <v>2019</v>
      </c>
      <c r="H12" s="3">
        <v>2020</v>
      </c>
      <c r="I12" s="3">
        <v>2021</v>
      </c>
      <c r="J12" s="3">
        <v>2022</v>
      </c>
      <c r="K12" s="3">
        <v>2023</v>
      </c>
      <c r="L12" s="3">
        <v>2024</v>
      </c>
      <c r="M12" s="3">
        <v>2025</v>
      </c>
      <c r="N12" s="4">
        <v>2026</v>
      </c>
      <c r="O12" s="10"/>
      <c r="P12" s="1"/>
      <c r="Q12" s="1"/>
      <c r="R12" s="1"/>
      <c r="U12" s="1"/>
    </row>
    <row r="13" spans="1:23" x14ac:dyDescent="0.25">
      <c r="A13" s="1"/>
      <c r="B13" s="1"/>
      <c r="C13" s="25" t="s">
        <v>9</v>
      </c>
      <c r="D13" s="26">
        <v>0.15</v>
      </c>
      <c r="E13" s="26">
        <v>0.14499999999999999</v>
      </c>
      <c r="F13" s="26">
        <v>0.155</v>
      </c>
      <c r="G13" s="26">
        <v>0.155</v>
      </c>
      <c r="H13" s="26">
        <v>0.16</v>
      </c>
      <c r="I13" s="26">
        <v>0.16500000000000001</v>
      </c>
      <c r="J13" s="26">
        <v>0.16</v>
      </c>
      <c r="K13" s="26">
        <v>0.14000000000000001</v>
      </c>
      <c r="L13" s="26">
        <v>0.12</v>
      </c>
      <c r="M13" s="26">
        <v>0.12</v>
      </c>
      <c r="N13" s="27">
        <v>0.12</v>
      </c>
      <c r="O13" s="10"/>
      <c r="P13" s="1"/>
      <c r="Q13" s="1"/>
      <c r="R13" s="1"/>
      <c r="U13" s="1"/>
    </row>
    <row r="14" spans="1:23" x14ac:dyDescent="0.25">
      <c r="A14" s="1"/>
      <c r="B14" s="1"/>
      <c r="C14" s="28" t="s">
        <v>10</v>
      </c>
      <c r="D14" s="29">
        <v>0.72940000000000005</v>
      </c>
      <c r="E14" s="29">
        <f>D14</f>
        <v>0.72940000000000005</v>
      </c>
      <c r="F14" s="29">
        <f t="shared" ref="F14:N14" si="5">E14</f>
        <v>0.72940000000000005</v>
      </c>
      <c r="G14" s="29">
        <f t="shared" si="5"/>
        <v>0.72940000000000005</v>
      </c>
      <c r="H14" s="29">
        <f t="shared" si="5"/>
        <v>0.72940000000000005</v>
      </c>
      <c r="I14" s="29">
        <f t="shared" si="5"/>
        <v>0.72940000000000005</v>
      </c>
      <c r="J14" s="29">
        <f t="shared" si="5"/>
        <v>0.72940000000000005</v>
      </c>
      <c r="K14" s="29">
        <f t="shared" si="5"/>
        <v>0.72940000000000005</v>
      </c>
      <c r="L14" s="29">
        <f t="shared" si="5"/>
        <v>0.72940000000000005</v>
      </c>
      <c r="M14" s="29">
        <f t="shared" si="5"/>
        <v>0.72940000000000005</v>
      </c>
      <c r="N14" s="30">
        <f t="shared" si="5"/>
        <v>0.72940000000000005</v>
      </c>
      <c r="O14" s="10"/>
      <c r="P14" s="1"/>
      <c r="Q14" s="1"/>
      <c r="R14" s="1"/>
      <c r="U14" s="1"/>
    </row>
    <row r="15" spans="1:23" ht="15.75" thickBot="1" x14ac:dyDescent="0.3">
      <c r="A15" s="1"/>
      <c r="B15" s="1"/>
      <c r="C15" s="31" t="s">
        <v>11</v>
      </c>
      <c r="D15" s="32">
        <f>CAPM!C8</f>
        <v>7.7250000000000013E-2</v>
      </c>
      <c r="E15" s="33">
        <f>CAPM!C8</f>
        <v>7.7250000000000013E-2</v>
      </c>
      <c r="F15" s="33">
        <f>CAPM!C8</f>
        <v>7.7250000000000013E-2</v>
      </c>
      <c r="G15" s="33">
        <f>CAPM!C8</f>
        <v>7.7250000000000013E-2</v>
      </c>
      <c r="H15" s="33">
        <f>CAPM!C8</f>
        <v>7.7250000000000013E-2</v>
      </c>
      <c r="I15" s="33">
        <f>CAPM!C8</f>
        <v>7.7250000000000013E-2</v>
      </c>
      <c r="J15" s="33">
        <f>CAPM!C8</f>
        <v>7.7250000000000013E-2</v>
      </c>
      <c r="K15" s="33">
        <f>CAPM!C8</f>
        <v>7.7250000000000013E-2</v>
      </c>
      <c r="L15" s="33">
        <f>CAPM!C8</f>
        <v>7.7250000000000013E-2</v>
      </c>
      <c r="M15" s="33">
        <f>CAPM!C8</f>
        <v>7.7250000000000013E-2</v>
      </c>
      <c r="N15" s="34">
        <f>CAPM!C8</f>
        <v>7.7250000000000013E-2</v>
      </c>
      <c r="O15" s="10"/>
      <c r="P15" s="1"/>
      <c r="Q15" s="1"/>
      <c r="R15" s="1"/>
      <c r="U15" s="1"/>
    </row>
    <row r="16" spans="1:23" ht="15.75" thickBot="1" x14ac:dyDescent="0.3">
      <c r="A16" s="1"/>
      <c r="B16" s="1"/>
      <c r="C16" s="35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10"/>
      <c r="P16" s="1"/>
      <c r="Q16" s="1"/>
      <c r="R16" s="1"/>
      <c r="U16" s="1"/>
    </row>
    <row r="17" spans="1:21" x14ac:dyDescent="0.25">
      <c r="A17" s="1"/>
      <c r="B17" s="1"/>
      <c r="C17" s="38" t="s">
        <v>31</v>
      </c>
      <c r="D17" s="39">
        <f>D5</f>
        <v>40680.484949999998</v>
      </c>
      <c r="E17" s="40"/>
      <c r="F17" s="37"/>
      <c r="G17" s="37"/>
      <c r="H17" s="37"/>
      <c r="I17" s="37"/>
      <c r="J17" s="37"/>
      <c r="K17" s="37"/>
      <c r="L17" s="37"/>
      <c r="M17" s="37"/>
      <c r="N17" s="37"/>
      <c r="O17" s="10"/>
      <c r="P17" s="1"/>
      <c r="Q17" s="1"/>
      <c r="R17" s="1"/>
      <c r="U17" s="1"/>
    </row>
    <row r="18" spans="1:21" x14ac:dyDescent="0.25">
      <c r="A18" s="1"/>
      <c r="B18" s="1"/>
      <c r="C18" s="41" t="s">
        <v>12</v>
      </c>
      <c r="D18" s="42">
        <f>SUM(D7:N7)</f>
        <v>36317.515053131247</v>
      </c>
      <c r="E18" s="40"/>
      <c r="F18" s="37"/>
      <c r="G18" s="37"/>
      <c r="H18" s="37"/>
      <c r="I18" s="37"/>
      <c r="J18" s="37"/>
      <c r="K18" s="37"/>
      <c r="L18" s="37"/>
      <c r="M18" s="37"/>
      <c r="N18" s="37"/>
      <c r="O18" s="10"/>
      <c r="P18" s="1"/>
      <c r="Q18" s="1"/>
      <c r="R18" s="1"/>
      <c r="U18" s="1"/>
    </row>
    <row r="19" spans="1:21" x14ac:dyDescent="0.25">
      <c r="A19" s="1"/>
      <c r="B19" s="1"/>
      <c r="C19" s="43" t="s">
        <v>13</v>
      </c>
      <c r="D19" s="44">
        <f>CAPM!C16</f>
        <v>20506.023881981786</v>
      </c>
      <c r="E19" s="45"/>
      <c r="F19" s="37"/>
      <c r="G19" s="37"/>
      <c r="H19" s="37"/>
      <c r="I19" s="37"/>
      <c r="J19" s="37"/>
      <c r="K19" s="37"/>
      <c r="L19" s="37"/>
      <c r="M19" s="37"/>
      <c r="N19" s="37"/>
      <c r="O19" s="10"/>
      <c r="P19" s="1"/>
      <c r="Q19" s="1"/>
      <c r="R19" s="1"/>
      <c r="U19" s="1"/>
    </row>
    <row r="20" spans="1:21" x14ac:dyDescent="0.25">
      <c r="A20" s="1"/>
      <c r="B20" s="1"/>
      <c r="C20" s="41" t="s">
        <v>14</v>
      </c>
      <c r="D20" s="42">
        <f>SUM(D17:D19)</f>
        <v>97504.023885113042</v>
      </c>
      <c r="E20" s="40"/>
      <c r="F20" s="37"/>
      <c r="G20" s="37"/>
      <c r="H20" s="37"/>
      <c r="I20" s="37"/>
      <c r="J20" s="37"/>
      <c r="K20" s="37"/>
      <c r="L20" s="37"/>
      <c r="M20" s="37"/>
      <c r="N20" s="37"/>
      <c r="O20" s="10"/>
      <c r="P20" s="1"/>
      <c r="Q20" s="1"/>
      <c r="R20" s="1"/>
      <c r="U20" s="1"/>
    </row>
    <row r="21" spans="1:21" ht="15.75" thickBot="1" x14ac:dyDescent="0.3">
      <c r="A21" s="1"/>
      <c r="B21" s="1"/>
      <c r="C21" s="43" t="s">
        <v>15</v>
      </c>
      <c r="D21" s="46">
        <v>3141</v>
      </c>
      <c r="E21" s="40"/>
      <c r="F21" s="37"/>
      <c r="G21" s="37"/>
      <c r="H21" s="37"/>
      <c r="I21" s="37"/>
      <c r="J21" s="37"/>
      <c r="K21" s="37"/>
      <c r="L21" s="37"/>
      <c r="M21" s="37"/>
      <c r="N21" s="37"/>
      <c r="O21" s="10"/>
      <c r="P21" s="1"/>
      <c r="Q21" s="1"/>
      <c r="R21" s="1"/>
      <c r="U21" s="1"/>
    </row>
    <row r="22" spans="1:21" ht="16.5" thickTop="1" thickBot="1" x14ac:dyDescent="0.3">
      <c r="A22" s="1"/>
      <c r="B22" s="1"/>
      <c r="C22" s="47" t="s">
        <v>16</v>
      </c>
      <c r="D22" s="48">
        <f>D20/D21</f>
        <v>31.042350807103801</v>
      </c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 t="s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1"/>
    </row>
    <row r="24" spans="1:21" x14ac:dyDescent="0.25">
      <c r="A24" s="1"/>
      <c r="B24" s="1"/>
      <c r="C24" s="1" t="s">
        <v>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 t="s">
        <v>28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9.25" customHeight="1" x14ac:dyDescent="0.25">
      <c r="A29" s="1"/>
      <c r="B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G30" s="5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1" x14ac:dyDescent="0.25">
      <c r="A31" s="1"/>
      <c r="B31" s="1"/>
      <c r="G31" s="52"/>
      <c r="H31" s="1"/>
      <c r="I31" s="1"/>
      <c r="J31" s="1"/>
      <c r="K31" s="1"/>
      <c r="L31" s="1"/>
      <c r="M31" s="1"/>
      <c r="N31" s="1"/>
      <c r="O31" s="1"/>
      <c r="P31" s="1"/>
    </row>
    <row r="32" spans="1:21" x14ac:dyDescent="0.25">
      <c r="A32" s="1"/>
      <c r="B32" s="1"/>
      <c r="G32" s="52"/>
      <c r="H32" s="1"/>
      <c r="I32" s="1"/>
      <c r="J32" s="1"/>
      <c r="K32" s="1"/>
      <c r="L32" s="1"/>
      <c r="M32" s="1"/>
      <c r="N32" s="1"/>
      <c r="O32" s="1"/>
      <c r="P32" s="1"/>
    </row>
    <row r="33" spans="1:22" x14ac:dyDescent="0.25">
      <c r="A33" s="1"/>
      <c r="B33" s="1"/>
      <c r="G33" s="52"/>
      <c r="H33" s="1"/>
      <c r="I33" s="1"/>
      <c r="J33" s="1"/>
      <c r="K33" s="1"/>
      <c r="L33" s="1"/>
      <c r="M33" s="1"/>
      <c r="N33" s="1"/>
      <c r="O33" s="1"/>
      <c r="P33" s="1"/>
    </row>
    <row r="34" spans="1:22" x14ac:dyDescent="0.25">
      <c r="A34" s="1"/>
      <c r="B34" s="1"/>
      <c r="G34" s="52"/>
      <c r="H34" s="1"/>
      <c r="I34" s="1"/>
      <c r="J34" s="1"/>
      <c r="K34" s="1"/>
      <c r="L34" s="1"/>
      <c r="M34" s="1"/>
      <c r="N34" s="1"/>
      <c r="O34" s="1"/>
      <c r="P34" s="1"/>
    </row>
    <row r="35" spans="1:22" x14ac:dyDescent="0.25">
      <c r="A35" s="1"/>
      <c r="B35" s="1"/>
      <c r="G35" s="52"/>
      <c r="H35" s="1"/>
      <c r="I35" s="1"/>
      <c r="J35" s="1"/>
      <c r="K35" s="1"/>
      <c r="L35" s="1"/>
      <c r="M35" s="1"/>
      <c r="N35" s="1"/>
      <c r="O35" s="1"/>
      <c r="P35" s="1"/>
    </row>
    <row r="36" spans="1:22" x14ac:dyDescent="0.25">
      <c r="A36" s="1"/>
      <c r="B36" s="1"/>
      <c r="G36" s="52"/>
      <c r="H36" s="1"/>
      <c r="I36" s="1"/>
      <c r="J36" s="1"/>
      <c r="K36" s="1"/>
      <c r="L36" s="1"/>
      <c r="M36" s="1"/>
      <c r="N36" s="1"/>
      <c r="O36" s="1"/>
      <c r="P36" s="1"/>
    </row>
    <row r="37" spans="1:22" x14ac:dyDescent="0.25">
      <c r="A37" s="1"/>
      <c r="B37" s="1"/>
      <c r="G37" s="5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1"/>
      <c r="B38" s="1"/>
      <c r="G38" s="5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1"/>
      <c r="B39" s="1"/>
      <c r="G39" s="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x14ac:dyDescent="0.25">
      <c r="A40" s="1"/>
      <c r="B40" s="1"/>
      <c r="G40" s="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1"/>
      <c r="B41" s="1"/>
      <c r="G41" s="5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2">
    <mergeCell ref="C3:O3"/>
    <mergeCell ref="C2:O2"/>
  </mergeCells>
  <pageMargins left="0.7" right="0.7" top="0.75" bottom="0.75" header="0.3" footer="0.3"/>
  <pageSetup paperSize="9" scale="46" orientation="portrait" horizontalDpi="200" verticalDpi="200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zoomScaleSheetLayoutView="100"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39.85546875" bestFit="1" customWidth="1"/>
    <col min="3" max="3" width="11.140625" customWidth="1"/>
    <col min="4" max="5" width="11.42578125" style="1"/>
  </cols>
  <sheetData>
    <row r="1" spans="2:3" s="1" customFormat="1" ht="15.75" thickBot="1" x14ac:dyDescent="0.3"/>
    <row r="2" spans="2:3" ht="15.75" thickTop="1" x14ac:dyDescent="0.25">
      <c r="B2" s="83" t="s">
        <v>36</v>
      </c>
      <c r="C2" s="84"/>
    </row>
    <row r="3" spans="2:3" x14ac:dyDescent="0.25">
      <c r="B3" s="53" t="s">
        <v>18</v>
      </c>
      <c r="C3" s="60"/>
    </row>
    <row r="4" spans="2:3" ht="30" x14ac:dyDescent="0.25">
      <c r="B4" s="61" t="s">
        <v>25</v>
      </c>
      <c r="C4" s="54"/>
    </row>
    <row r="5" spans="2:3" x14ac:dyDescent="0.25">
      <c r="B5" s="55" t="s">
        <v>19</v>
      </c>
      <c r="C5" s="64">
        <v>2.1999999999999999E-2</v>
      </c>
    </row>
    <row r="6" spans="2:3" x14ac:dyDescent="0.25">
      <c r="B6" s="56" t="s">
        <v>20</v>
      </c>
      <c r="C6" s="65">
        <v>1.3</v>
      </c>
    </row>
    <row r="7" spans="2:3" x14ac:dyDescent="0.25">
      <c r="B7" s="57" t="s">
        <v>27</v>
      </c>
      <c r="C7" s="64">
        <v>6.4500000000000002E-2</v>
      </c>
    </row>
    <row r="8" spans="2:3" ht="15.75" thickBot="1" x14ac:dyDescent="0.3">
      <c r="B8" s="58" t="s">
        <v>11</v>
      </c>
      <c r="C8" s="66">
        <f>C5+C6*(C7-C5)</f>
        <v>7.7250000000000013E-2</v>
      </c>
    </row>
    <row r="9" spans="2:3" ht="15.75" thickTop="1" x14ac:dyDescent="0.25">
      <c r="B9" s="57"/>
      <c r="C9" s="67"/>
    </row>
    <row r="10" spans="2:3" x14ac:dyDescent="0.25">
      <c r="B10" s="53" t="s">
        <v>21</v>
      </c>
      <c r="C10" s="67"/>
    </row>
    <row r="11" spans="2:3" x14ac:dyDescent="0.25">
      <c r="B11" s="59" t="s">
        <v>22</v>
      </c>
      <c r="C11" s="68">
        <f>'Retained Earnings Valuation'!N13</f>
        <v>0.12</v>
      </c>
    </row>
    <row r="12" spans="2:3" x14ac:dyDescent="0.25">
      <c r="B12" s="59" t="s">
        <v>23</v>
      </c>
      <c r="C12" s="69">
        <f>'Retained Earnings Valuation'!N15</f>
        <v>7.7250000000000013E-2</v>
      </c>
    </row>
    <row r="13" spans="2:3" x14ac:dyDescent="0.25">
      <c r="B13" s="59" t="s">
        <v>24</v>
      </c>
      <c r="C13" s="70">
        <f>'Retained Earnings Valuation'!N5</f>
        <v>60084.043585686864</v>
      </c>
    </row>
    <row r="14" spans="2:3" x14ac:dyDescent="0.25">
      <c r="B14" s="59" t="s">
        <v>26</v>
      </c>
      <c r="C14" s="64">
        <v>2.1999999999999999E-2</v>
      </c>
    </row>
    <row r="15" spans="2:3" x14ac:dyDescent="0.25">
      <c r="B15" s="59" t="s">
        <v>21</v>
      </c>
      <c r="C15" s="70">
        <f>((C11-C12)*'Retained Earnings Valuation'!N5)/(C12-C14)</f>
        <v>46490.368566300662</v>
      </c>
    </row>
    <row r="16" spans="2:3" ht="15.75" thickBot="1" x14ac:dyDescent="0.3">
      <c r="B16" s="58" t="s">
        <v>5</v>
      </c>
      <c r="C16" s="71">
        <f>C15/(1+C12)^11</f>
        <v>20506.023881981786</v>
      </c>
    </row>
    <row r="17" spans="2:3" ht="16.5" thickTop="1" thickBot="1" x14ac:dyDescent="0.3">
      <c r="B17" s="81"/>
      <c r="C17" s="82"/>
    </row>
    <row r="18" spans="2:3" s="1" customFormat="1" x14ac:dyDescent="0.25">
      <c r="B18" s="1" t="s">
        <v>17</v>
      </c>
    </row>
    <row r="19" spans="2:3" s="1" customFormat="1" x14ac:dyDescent="0.25">
      <c r="B19" s="1" t="s">
        <v>34</v>
      </c>
    </row>
    <row r="20" spans="2:3" s="1" customFormat="1" x14ac:dyDescent="0.25">
      <c r="B20" s="1" t="s">
        <v>29</v>
      </c>
    </row>
    <row r="21" spans="2:3" s="1" customFormat="1" x14ac:dyDescent="0.25">
      <c r="B21" s="1" t="s">
        <v>35</v>
      </c>
    </row>
    <row r="22" spans="2:3" s="1" customFormat="1" x14ac:dyDescent="0.25"/>
    <row r="23" spans="2:3" x14ac:dyDescent="0.25">
      <c r="B23" s="1"/>
      <c r="C23" s="1"/>
    </row>
    <row r="24" spans="2:3" x14ac:dyDescent="0.25">
      <c r="B24" s="1"/>
      <c r="C24" s="1"/>
    </row>
    <row r="25" spans="2:3" x14ac:dyDescent="0.25">
      <c r="B25" s="1"/>
      <c r="C25" s="1"/>
    </row>
    <row r="26" spans="2:3" x14ac:dyDescent="0.25">
      <c r="B26" s="1"/>
      <c r="C26" s="1"/>
    </row>
    <row r="27" spans="2:3" x14ac:dyDescent="0.25">
      <c r="B27" s="1"/>
      <c r="C27" s="1"/>
    </row>
  </sheetData>
  <mergeCells count="2">
    <mergeCell ref="B17:C17"/>
    <mergeCell ref="B2:C2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G5" sqref="G5"/>
    </sheetView>
  </sheetViews>
  <sheetFormatPr baseColWidth="10" defaultRowHeight="15" x14ac:dyDescent="0.25"/>
  <cols>
    <col min="1" max="1" width="1.7109375" customWidth="1"/>
    <col min="3" max="4" width="17.285156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thickBot="1" x14ac:dyDescent="0.3">
      <c r="A2" s="1"/>
      <c r="B2" s="1"/>
      <c r="C2" s="1"/>
      <c r="D2" s="1"/>
      <c r="E2" s="1"/>
      <c r="F2" s="1"/>
    </row>
    <row r="3" spans="1:6" x14ac:dyDescent="0.25">
      <c r="A3" s="1"/>
      <c r="B3" s="1"/>
      <c r="C3" s="88" t="s">
        <v>37</v>
      </c>
      <c r="D3" s="89" t="s">
        <v>30</v>
      </c>
      <c r="E3" s="1"/>
      <c r="F3" s="1"/>
    </row>
    <row r="4" spans="1:6" x14ac:dyDescent="0.25">
      <c r="A4" s="1"/>
      <c r="B4" s="1"/>
      <c r="C4" s="90"/>
      <c r="D4" s="91"/>
      <c r="E4" s="1"/>
      <c r="F4" s="1"/>
    </row>
    <row r="5" spans="1:6" x14ac:dyDescent="0.25">
      <c r="A5" s="1"/>
      <c r="B5" s="1"/>
      <c r="C5" s="92"/>
      <c r="D5" s="93"/>
      <c r="E5" s="1"/>
      <c r="F5" s="1"/>
    </row>
    <row r="6" spans="1:6" x14ac:dyDescent="0.25">
      <c r="A6" s="1"/>
      <c r="B6" s="1"/>
      <c r="C6" s="85">
        <v>0.85</v>
      </c>
      <c r="D6" s="74">
        <v>34.97</v>
      </c>
      <c r="E6" s="1"/>
      <c r="F6" s="1"/>
    </row>
    <row r="7" spans="1:6" x14ac:dyDescent="0.25">
      <c r="A7" s="1"/>
      <c r="B7" s="1"/>
      <c r="C7" s="86">
        <v>0.83</v>
      </c>
      <c r="D7" s="72">
        <v>34.15</v>
      </c>
      <c r="E7" s="1"/>
      <c r="F7" s="1"/>
    </row>
    <row r="8" spans="1:6" x14ac:dyDescent="0.25">
      <c r="A8" s="1"/>
      <c r="B8" s="1"/>
      <c r="C8" s="86">
        <v>0.81</v>
      </c>
      <c r="D8" s="72">
        <v>33.32</v>
      </c>
      <c r="E8" s="1"/>
      <c r="F8" s="1"/>
    </row>
    <row r="9" spans="1:6" x14ac:dyDescent="0.25">
      <c r="A9" s="1"/>
      <c r="B9" s="1"/>
      <c r="C9" s="86">
        <v>0.79</v>
      </c>
      <c r="D9" s="72">
        <v>32.5</v>
      </c>
      <c r="E9" s="1"/>
      <c r="F9" s="1"/>
    </row>
    <row r="10" spans="1:6" x14ac:dyDescent="0.25">
      <c r="A10" s="1"/>
      <c r="B10" s="1"/>
      <c r="C10" s="86">
        <v>0.77</v>
      </c>
      <c r="D10" s="72">
        <v>31.68</v>
      </c>
      <c r="E10" s="1"/>
      <c r="F10" s="1"/>
    </row>
    <row r="11" spans="1:6" x14ac:dyDescent="0.25">
      <c r="A11" s="1"/>
      <c r="B11" s="1"/>
      <c r="C11" s="86">
        <v>0.75453000000000003</v>
      </c>
      <c r="D11" s="72">
        <v>31.03</v>
      </c>
      <c r="E11" s="1"/>
      <c r="F11" s="1"/>
    </row>
    <row r="12" spans="1:6" x14ac:dyDescent="0.25">
      <c r="A12" s="1"/>
      <c r="B12" s="1"/>
      <c r="C12" s="86">
        <v>0.73</v>
      </c>
      <c r="D12" s="72">
        <v>30.03</v>
      </c>
      <c r="E12" s="1"/>
      <c r="F12" s="1"/>
    </row>
    <row r="13" spans="1:6" x14ac:dyDescent="0.25">
      <c r="A13" s="1"/>
      <c r="B13" s="1"/>
      <c r="C13" s="86">
        <v>0.71</v>
      </c>
      <c r="D13" s="72">
        <v>29.21</v>
      </c>
      <c r="E13" s="1"/>
      <c r="F13" s="1"/>
    </row>
    <row r="14" spans="1:6" x14ac:dyDescent="0.25">
      <c r="A14" s="1"/>
      <c r="B14" s="1"/>
      <c r="C14" s="86">
        <v>0.69</v>
      </c>
      <c r="D14" s="72">
        <v>28.39</v>
      </c>
      <c r="E14" s="1"/>
      <c r="F14" s="1"/>
    </row>
    <row r="15" spans="1:6" ht="15.75" thickBot="1" x14ac:dyDescent="0.3">
      <c r="A15" s="1"/>
      <c r="B15" s="1"/>
      <c r="C15" s="87">
        <v>0.67</v>
      </c>
      <c r="D15" s="73">
        <v>27.56</v>
      </c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</sheetData>
  <mergeCells count="2">
    <mergeCell ref="C3:C5"/>
    <mergeCell ref="D3:D5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Retained Earnings Valuation</vt:lpstr>
      <vt:lpstr>CAPM</vt:lpstr>
      <vt:lpstr>Currency Sensitivity</vt:lpstr>
      <vt:lpstr>CAPM!Área_de_impresión</vt:lpstr>
      <vt:lpstr>'Currency Sensitivity'!Área_de_impresión</vt:lpstr>
      <vt:lpstr>'Retained Earnings Valuation'!Área_de_impresión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dcterms:created xsi:type="dcterms:W3CDTF">2016-01-12T16:57:55Z</dcterms:created>
  <dcterms:modified xsi:type="dcterms:W3CDTF">2016-03-28T23:20:41Z</dcterms:modified>
</cp:coreProperties>
</file>