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3.xml" ContentType="application/vnd.openxmlformats-officedocument.drawingml.chart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er\Desktop\BTU\BTU\"/>
    </mc:Choice>
  </mc:AlternateContent>
  <bookViews>
    <workbookView xWindow="0" yWindow="0" windowWidth="8445" windowHeight="6015" activeTab="1"/>
  </bookViews>
  <sheets>
    <sheet name="Sheet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definedNames>
    <definedName name="_xlchart.v1.0" hidden="1">Лист1!$A$12:$F$12</definedName>
    <definedName name="_xlchart.v1.1" hidden="1">Лист1!$A$11:$F$11</definedName>
    <definedName name="_xlchart.v1.10" hidden="1">Лист2!$A$34</definedName>
    <definedName name="_xlchart.v1.11" hidden="1">Лист2!$U$8:$U$13</definedName>
    <definedName name="_xlchart.v1.12" hidden="1">Лист2!$V$8:$V$13</definedName>
    <definedName name="_xlchart.v1.13" hidden="1">Лист2!$W$8:$W$13</definedName>
    <definedName name="_xlchart.v1.2" hidden="1">Лист1!$A$12:$F$12</definedName>
    <definedName name="_xlchart.v1.3" hidden="1">Лист1!$A$11:$F$11</definedName>
    <definedName name="_xlchart.v1.4" hidden="1">Лист1!$A$11:$F$11</definedName>
    <definedName name="_xlchart.v1.5" hidden="1">Лист1!$A$13:$F$13</definedName>
    <definedName name="_xlchart.v1.6" hidden="1">Лист2!$A$34</definedName>
    <definedName name="_xlchart.v1.7" hidden="1">Лист2!$U$8:$U$13</definedName>
    <definedName name="_xlchart.v1.8" hidden="1">Лист2!$V$8:$V$13</definedName>
    <definedName name="_xlchart.v1.9" hidden="1">Лист2!$W$8:$W$13</definedName>
  </definedNames>
  <calcPr calcId="162913"/>
</workbook>
</file>

<file path=xl/calcChain.xml><?xml version="1.0" encoding="utf-8"?>
<calcChain xmlns="http://schemas.openxmlformats.org/spreadsheetml/2006/main">
  <c r="D2" i="3" l="1"/>
  <c r="I2" i="3"/>
  <c r="C4" i="3"/>
  <c r="D4" i="3"/>
  <c r="E4" i="3"/>
  <c r="E3" i="3" s="1"/>
  <c r="G4" i="3"/>
  <c r="H4" i="3"/>
  <c r="H3" i="3" s="1"/>
  <c r="I4" i="3"/>
  <c r="J4" i="3"/>
  <c r="J3" i="3" s="1"/>
  <c r="J2" i="3" s="1"/>
  <c r="C5" i="3"/>
  <c r="D5" i="3"/>
  <c r="E5" i="3"/>
  <c r="H5" i="3"/>
  <c r="I5" i="3"/>
  <c r="J5" i="3"/>
  <c r="C6" i="3"/>
  <c r="D6" i="3"/>
  <c r="E6" i="3"/>
  <c r="H6" i="3"/>
  <c r="I6" i="3"/>
  <c r="J6" i="3"/>
  <c r="C7" i="3"/>
  <c r="C55" i="3" s="1"/>
  <c r="C8" i="3"/>
  <c r="D8" i="3"/>
  <c r="E8" i="3"/>
  <c r="E7" i="3" s="1"/>
  <c r="H8" i="3"/>
  <c r="H7" i="3" s="1"/>
  <c r="I8" i="3"/>
  <c r="J8" i="3"/>
  <c r="L8" i="3"/>
  <c r="W8" i="3"/>
  <c r="C9" i="3"/>
  <c r="D9" i="3"/>
  <c r="E9" i="3"/>
  <c r="H9" i="3"/>
  <c r="I9" i="3"/>
  <c r="J9" i="3"/>
  <c r="W9" i="3"/>
  <c r="W10" i="3"/>
  <c r="W11" i="3"/>
  <c r="D12" i="3"/>
  <c r="H12" i="3"/>
  <c r="W12" i="3"/>
  <c r="C13" i="3"/>
  <c r="C12" i="3" s="1"/>
  <c r="D13" i="3"/>
  <c r="E13" i="3"/>
  <c r="H13" i="3"/>
  <c r="I13" i="3"/>
  <c r="J13" i="3"/>
  <c r="J12" i="3" s="1"/>
  <c r="J11" i="3" s="1"/>
  <c r="W13" i="3"/>
  <c r="C14" i="3"/>
  <c r="D14" i="3"/>
  <c r="E14" i="3"/>
  <c r="H14" i="3"/>
  <c r="I14" i="3"/>
  <c r="I12" i="3" s="1"/>
  <c r="J14" i="3"/>
  <c r="C15" i="3"/>
  <c r="D15" i="3"/>
  <c r="E15" i="3"/>
  <c r="H15" i="3"/>
  <c r="I15" i="3"/>
  <c r="J15" i="3"/>
  <c r="E16" i="3"/>
  <c r="C17" i="3"/>
  <c r="D17" i="3"/>
  <c r="E17" i="3"/>
  <c r="H17" i="3"/>
  <c r="J17" i="3"/>
  <c r="C18" i="3"/>
  <c r="C16" i="3" s="1"/>
  <c r="D18" i="3"/>
  <c r="D16" i="3" s="1"/>
  <c r="E18" i="3"/>
  <c r="H18" i="3"/>
  <c r="H16" i="3" s="1"/>
  <c r="I18" i="3"/>
  <c r="J18" i="3"/>
  <c r="J16" i="3" s="1"/>
  <c r="E22" i="3"/>
  <c r="E23" i="3"/>
  <c r="B28" i="3"/>
  <c r="C28" i="3"/>
  <c r="G28" i="3"/>
  <c r="L28" i="3"/>
  <c r="M28" i="3"/>
  <c r="P28" i="3" s="1"/>
  <c r="N28" i="3"/>
  <c r="O28" i="3"/>
  <c r="B29" i="3"/>
  <c r="H29" i="3"/>
  <c r="G29" i="3" s="1"/>
  <c r="I29" i="3"/>
  <c r="P29" i="3"/>
  <c r="C30" i="3"/>
  <c r="B30" i="3" s="1"/>
  <c r="H30" i="3"/>
  <c r="G30" i="3" s="1"/>
  <c r="L30" i="3"/>
  <c r="P30" i="3"/>
  <c r="G31" i="3"/>
  <c r="H31" i="3"/>
  <c r="I31" i="3" s="1"/>
  <c r="J31" i="3" s="1"/>
  <c r="L31" i="3"/>
  <c r="M31" i="3"/>
  <c r="P31" i="3" s="1"/>
  <c r="N31" i="3"/>
  <c r="O31" i="3"/>
  <c r="K35" i="3"/>
  <c r="V8" i="3" s="1"/>
  <c r="C39" i="3"/>
  <c r="D39" i="3"/>
  <c r="E39" i="3"/>
  <c r="H39" i="3"/>
  <c r="I39" i="3"/>
  <c r="J39" i="3"/>
  <c r="C40" i="3"/>
  <c r="D40" i="3"/>
  <c r="E40" i="3"/>
  <c r="H40" i="3"/>
  <c r="I40" i="3"/>
  <c r="J40" i="3"/>
  <c r="B41" i="3"/>
  <c r="B4" i="3" s="1"/>
  <c r="G41" i="3"/>
  <c r="L41" i="3"/>
  <c r="M41" i="3" s="1"/>
  <c r="B42" i="3"/>
  <c r="G42" i="3"/>
  <c r="G14" i="3" s="1"/>
  <c r="L42" i="3"/>
  <c r="L40" i="3" s="1"/>
  <c r="B43" i="3"/>
  <c r="F43" i="3" s="1"/>
  <c r="G43" i="3"/>
  <c r="L43" i="3"/>
  <c r="M43" i="3" s="1"/>
  <c r="N43" i="3"/>
  <c r="C44" i="3"/>
  <c r="D44" i="3"/>
  <c r="E44" i="3"/>
  <c r="H44" i="3"/>
  <c r="I44" i="3"/>
  <c r="J44" i="3"/>
  <c r="B45" i="3"/>
  <c r="G45" i="3"/>
  <c r="K45" i="3" s="1"/>
  <c r="L45" i="3"/>
  <c r="M45" i="3" s="1"/>
  <c r="B46" i="3"/>
  <c r="B18" i="3" s="1"/>
  <c r="G46" i="3"/>
  <c r="M46" i="3"/>
  <c r="N46" i="3"/>
  <c r="O46" i="3"/>
  <c r="B47" i="3"/>
  <c r="F47" i="3" s="1"/>
  <c r="G47" i="3"/>
  <c r="K47" i="3" s="1"/>
  <c r="L47" i="3"/>
  <c r="M47" i="3"/>
  <c r="N47" i="3"/>
  <c r="O47" i="3"/>
  <c r="P47" i="3"/>
  <c r="Q47" i="3" s="1"/>
  <c r="D51" i="3"/>
  <c r="I51" i="3"/>
  <c r="B52" i="3"/>
  <c r="L52" i="3"/>
  <c r="M52" i="3" s="1"/>
  <c r="L53" i="3"/>
  <c r="M53" i="3" s="1"/>
  <c r="L54" i="3"/>
  <c r="M54" i="3" s="1"/>
  <c r="N54" i="3" s="1"/>
  <c r="O54" i="3" s="1"/>
  <c r="P54" i="3" s="1"/>
  <c r="D55" i="3"/>
  <c r="I55" i="3"/>
  <c r="L55" i="3"/>
  <c r="M55" i="3" s="1"/>
  <c r="N55" i="3" s="1"/>
  <c r="O55" i="3" s="1"/>
  <c r="P55" i="3" s="1"/>
  <c r="M56" i="3"/>
  <c r="N56" i="3" s="1"/>
  <c r="O56" i="3" s="1"/>
  <c r="P56" i="3" s="1"/>
  <c r="Q56" i="3" s="1"/>
  <c r="L57" i="3"/>
  <c r="M57" i="3"/>
  <c r="N57" i="3" s="1"/>
  <c r="O57" i="3" s="1"/>
  <c r="P57" i="3" s="1"/>
  <c r="Q57" i="3"/>
  <c r="L71" i="3"/>
  <c r="M71" i="3"/>
  <c r="N71" i="3" s="1"/>
  <c r="O71" i="3" s="1"/>
  <c r="P71" i="3" s="1"/>
  <c r="Q71" i="3"/>
  <c r="L72" i="3"/>
  <c r="M72" i="3"/>
  <c r="N72" i="3" s="1"/>
  <c r="O72" i="3" s="1"/>
  <c r="P72" i="3" s="1"/>
  <c r="Q72" i="3" s="1"/>
  <c r="G73" i="3"/>
  <c r="L73" i="3"/>
  <c r="M73" i="3"/>
  <c r="N73" i="3" s="1"/>
  <c r="O73" i="3" s="1"/>
  <c r="P73" i="3" s="1"/>
  <c r="Q73" i="3" s="1"/>
  <c r="L74" i="3"/>
  <c r="M74" i="3"/>
  <c r="N74" i="3" s="1"/>
  <c r="O74" i="3" s="1"/>
  <c r="P74" i="3" s="1"/>
  <c r="Q74" i="3"/>
  <c r="H75" i="3"/>
  <c r="L75" i="3"/>
  <c r="M75" i="3" s="1"/>
  <c r="N75" i="3" s="1"/>
  <c r="O75" i="3" s="1"/>
  <c r="P75" i="3" s="1"/>
  <c r="Q75" i="3" s="1"/>
  <c r="I76" i="3"/>
  <c r="I17" i="3" s="1"/>
  <c r="L76" i="3"/>
  <c r="M76" i="3"/>
  <c r="M17" i="3" s="1"/>
  <c r="B77" i="3"/>
  <c r="I77" i="3"/>
  <c r="L77" i="3"/>
  <c r="M77" i="3" s="1"/>
  <c r="M18" i="3" s="1"/>
  <c r="N77" i="3"/>
  <c r="D91" i="3"/>
  <c r="E91" i="3"/>
  <c r="F91" i="3"/>
  <c r="J91" i="3"/>
  <c r="K91" i="3"/>
  <c r="C92" i="3"/>
  <c r="C22" i="3" s="1"/>
  <c r="D92" i="3"/>
  <c r="D22" i="3" s="1"/>
  <c r="E92" i="3"/>
  <c r="F92" i="3"/>
  <c r="H92" i="3"/>
  <c r="H22" i="3" s="1"/>
  <c r="I92" i="3"/>
  <c r="I22" i="3" s="1"/>
  <c r="J92" i="3"/>
  <c r="J22" i="3" s="1"/>
  <c r="K92" i="3"/>
  <c r="C93" i="3"/>
  <c r="C23" i="3" s="1"/>
  <c r="D93" i="3"/>
  <c r="D23" i="3" s="1"/>
  <c r="E93" i="3"/>
  <c r="F93" i="3"/>
  <c r="H93" i="3"/>
  <c r="H23" i="3" s="1"/>
  <c r="I93" i="3"/>
  <c r="I23" i="3" s="1"/>
  <c r="J93" i="3"/>
  <c r="J23" i="3" s="1"/>
  <c r="K93" i="3"/>
  <c r="L93" i="3"/>
  <c r="C94" i="3"/>
  <c r="C24" i="3" s="1"/>
  <c r="D94" i="3"/>
  <c r="D24" i="3" s="1"/>
  <c r="E94" i="3"/>
  <c r="E24" i="3" s="1"/>
  <c r="F94" i="3"/>
  <c r="F24" i="3" s="1"/>
  <c r="H94" i="3"/>
  <c r="H24" i="3" s="1"/>
  <c r="I94" i="3"/>
  <c r="I24" i="3" s="1"/>
  <c r="J94" i="3"/>
  <c r="J24" i="3" s="1"/>
  <c r="K94" i="3"/>
  <c r="M94" i="3"/>
  <c r="M24" i="3" s="1"/>
  <c r="C95" i="3"/>
  <c r="D95" i="3"/>
  <c r="E95" i="3"/>
  <c r="F95" i="3"/>
  <c r="I95" i="3"/>
  <c r="J95" i="3"/>
  <c r="K95" i="3"/>
  <c r="M95" i="3"/>
  <c r="C96" i="3"/>
  <c r="C26" i="3" s="1"/>
  <c r="D96" i="3"/>
  <c r="D26" i="3" s="1"/>
  <c r="E96" i="3"/>
  <c r="E26" i="3" s="1"/>
  <c r="E25" i="3" s="1"/>
  <c r="F96" i="3"/>
  <c r="H96" i="3"/>
  <c r="H26" i="3" s="1"/>
  <c r="I96" i="3"/>
  <c r="I26" i="3" s="1"/>
  <c r="J96" i="3"/>
  <c r="J26" i="3" s="1"/>
  <c r="K96" i="3"/>
  <c r="L96" i="3"/>
  <c r="M96" i="3"/>
  <c r="M26" i="3" s="1"/>
  <c r="C97" i="3"/>
  <c r="C27" i="3" s="1"/>
  <c r="D97" i="3"/>
  <c r="D27" i="3" s="1"/>
  <c r="E97" i="3"/>
  <c r="E27" i="3" s="1"/>
  <c r="F97" i="3"/>
  <c r="H97" i="3"/>
  <c r="H27" i="3" s="1"/>
  <c r="I97" i="3"/>
  <c r="I27" i="3" s="1"/>
  <c r="J97" i="3"/>
  <c r="J27" i="3" s="1"/>
  <c r="K97" i="3"/>
  <c r="K27" i="3" s="1"/>
  <c r="L97" i="3"/>
  <c r="L27" i="3" s="1"/>
  <c r="M97" i="3"/>
  <c r="M27" i="3" s="1"/>
  <c r="F102" i="3"/>
  <c r="F104" i="3"/>
  <c r="F106" i="3"/>
  <c r="C108" i="3"/>
  <c r="D108" i="3"/>
  <c r="E108" i="3"/>
  <c r="F108" i="3"/>
  <c r="H108" i="3"/>
  <c r="I108" i="3"/>
  <c r="J108" i="3"/>
  <c r="C109" i="3"/>
  <c r="D109" i="3"/>
  <c r="E109" i="3"/>
  <c r="F109" i="3"/>
  <c r="H109" i="3"/>
  <c r="I109" i="3"/>
  <c r="I66" i="3" s="1"/>
  <c r="F110" i="3"/>
  <c r="F111" i="3"/>
  <c r="C112" i="3"/>
  <c r="D112" i="3"/>
  <c r="E112" i="3"/>
  <c r="F112" i="3"/>
  <c r="H112" i="3"/>
  <c r="I112" i="3"/>
  <c r="L119" i="4"/>
  <c r="J119" i="4"/>
  <c r="I119" i="4"/>
  <c r="H119" i="4"/>
  <c r="E119" i="4"/>
  <c r="D119" i="4"/>
  <c r="C119" i="4"/>
  <c r="J118" i="4"/>
  <c r="I118" i="4"/>
  <c r="H118" i="4"/>
  <c r="F118" i="4"/>
  <c r="E118" i="4"/>
  <c r="D118" i="4"/>
  <c r="C118" i="4"/>
  <c r="N117" i="4"/>
  <c r="O117" i="4" s="1"/>
  <c r="K117" i="4"/>
  <c r="K119" i="4" s="1"/>
  <c r="F117" i="4"/>
  <c r="F119" i="4" s="1"/>
  <c r="N116" i="4"/>
  <c r="O116" i="4" s="1"/>
  <c r="K116" i="4"/>
  <c r="K118" i="4" s="1"/>
  <c r="F116" i="4"/>
  <c r="N115" i="4"/>
  <c r="O115" i="4" s="1"/>
  <c r="K115" i="4"/>
  <c r="F115" i="4"/>
  <c r="K114" i="4"/>
  <c r="F114" i="4"/>
  <c r="J112" i="4"/>
  <c r="H112" i="4"/>
  <c r="F112" i="4"/>
  <c r="E112" i="4"/>
  <c r="D112" i="4"/>
  <c r="C112" i="4"/>
  <c r="I111" i="4"/>
  <c r="J111" i="4" s="1"/>
  <c r="H111" i="4"/>
  <c r="E111" i="4"/>
  <c r="D111" i="4"/>
  <c r="C111" i="4"/>
  <c r="J110" i="4"/>
  <c r="I110" i="4"/>
  <c r="H110" i="4"/>
  <c r="E110" i="4"/>
  <c r="D110" i="4"/>
  <c r="C110" i="4"/>
  <c r="K108" i="4"/>
  <c r="F108" i="4"/>
  <c r="K107" i="4"/>
  <c r="F107" i="4"/>
  <c r="F111" i="4" s="1"/>
  <c r="K105" i="4"/>
  <c r="F105" i="4"/>
  <c r="K104" i="4"/>
  <c r="F104" i="4"/>
  <c r="F110" i="4" s="1"/>
  <c r="K102" i="4"/>
  <c r="F102" i="4"/>
  <c r="L97" i="4"/>
  <c r="L27" i="4" s="1"/>
  <c r="K97" i="4"/>
  <c r="J97" i="4"/>
  <c r="I97" i="4"/>
  <c r="H97" i="4"/>
  <c r="H27" i="4" s="1"/>
  <c r="F97" i="4"/>
  <c r="E97" i="4"/>
  <c r="D97" i="4"/>
  <c r="C97" i="4"/>
  <c r="L96" i="4"/>
  <c r="K96" i="4"/>
  <c r="J96" i="4"/>
  <c r="I96" i="4"/>
  <c r="H96" i="4"/>
  <c r="F96" i="4"/>
  <c r="E96" i="4"/>
  <c r="D96" i="4"/>
  <c r="D26" i="4" s="1"/>
  <c r="D25" i="4" s="1"/>
  <c r="C96" i="4"/>
  <c r="L95" i="4"/>
  <c r="K95" i="4"/>
  <c r="J95" i="4"/>
  <c r="F95" i="4"/>
  <c r="E95" i="4"/>
  <c r="D95" i="4"/>
  <c r="L94" i="4"/>
  <c r="L24" i="4" s="1"/>
  <c r="K94" i="4"/>
  <c r="J94" i="4"/>
  <c r="I94" i="4"/>
  <c r="H94" i="4"/>
  <c r="H24" i="4" s="1"/>
  <c r="F94" i="4"/>
  <c r="E94" i="4"/>
  <c r="D94" i="4"/>
  <c r="C94" i="4"/>
  <c r="L93" i="4"/>
  <c r="K93" i="4"/>
  <c r="J93" i="4"/>
  <c r="I93" i="4"/>
  <c r="H93" i="4"/>
  <c r="F93" i="4"/>
  <c r="E93" i="4"/>
  <c r="D93" i="4"/>
  <c r="D23" i="4" s="1"/>
  <c r="C93" i="4"/>
  <c r="L92" i="4"/>
  <c r="L22" i="4" s="1"/>
  <c r="K92" i="4"/>
  <c r="J92" i="4"/>
  <c r="I92" i="4"/>
  <c r="H92" i="4"/>
  <c r="H22" i="4" s="1"/>
  <c r="F92" i="4"/>
  <c r="E92" i="4"/>
  <c r="D92" i="4"/>
  <c r="C92" i="4"/>
  <c r="K91" i="4"/>
  <c r="J91" i="4"/>
  <c r="F91" i="4"/>
  <c r="E91" i="4"/>
  <c r="D91" i="4"/>
  <c r="P77" i="4"/>
  <c r="L77" i="4"/>
  <c r="M77" i="4" s="1"/>
  <c r="N77" i="4" s="1"/>
  <c r="O77" i="4" s="1"/>
  <c r="I77" i="4"/>
  <c r="M76" i="4"/>
  <c r="L76" i="4"/>
  <c r="I76" i="4"/>
  <c r="I112" i="4" s="1"/>
  <c r="N75" i="4"/>
  <c r="O75" i="4" s="1"/>
  <c r="P75" i="4" s="1"/>
  <c r="Q75" i="4" s="1"/>
  <c r="L75" i="4"/>
  <c r="M75" i="4" s="1"/>
  <c r="L74" i="4"/>
  <c r="M74" i="4" s="1"/>
  <c r="L73" i="4"/>
  <c r="M73" i="4" s="1"/>
  <c r="N73" i="4" s="1"/>
  <c r="O73" i="4" s="1"/>
  <c r="P73" i="4" s="1"/>
  <c r="Q73" i="4" s="1"/>
  <c r="O72" i="4"/>
  <c r="P72" i="4" s="1"/>
  <c r="Q72" i="4" s="1"/>
  <c r="L72" i="4"/>
  <c r="M72" i="4" s="1"/>
  <c r="N72" i="4" s="1"/>
  <c r="O71" i="4"/>
  <c r="P71" i="4" s="1"/>
  <c r="Q71" i="4" s="1"/>
  <c r="L71" i="4"/>
  <c r="M71" i="4" s="1"/>
  <c r="N71" i="4" s="1"/>
  <c r="J66" i="4"/>
  <c r="I66" i="4"/>
  <c r="L57" i="4"/>
  <c r="L118" i="4" s="1"/>
  <c r="L56" i="4"/>
  <c r="M56" i="4" s="1"/>
  <c r="L55" i="4"/>
  <c r="M55" i="4" s="1"/>
  <c r="D55" i="4"/>
  <c r="L54" i="4"/>
  <c r="M54" i="4" s="1"/>
  <c r="L53" i="4"/>
  <c r="M53" i="4" s="1"/>
  <c r="L52" i="4"/>
  <c r="M52" i="4" s="1"/>
  <c r="G52" i="4"/>
  <c r="I51" i="4"/>
  <c r="O47" i="4"/>
  <c r="P47" i="4" s="1"/>
  <c r="Q47" i="4" s="1"/>
  <c r="N47" i="4"/>
  <c r="M47" i="4"/>
  <c r="L47" i="4"/>
  <c r="K47" i="4"/>
  <c r="K27" i="4" s="1"/>
  <c r="G47" i="4"/>
  <c r="B47" i="4"/>
  <c r="F47" i="4" s="1"/>
  <c r="F27" i="4" s="1"/>
  <c r="O46" i="4"/>
  <c r="N46" i="4"/>
  <c r="M46" i="4"/>
  <c r="G46" i="4"/>
  <c r="L46" i="4" s="1"/>
  <c r="F46" i="4"/>
  <c r="F44" i="4" s="1"/>
  <c r="B46" i="4"/>
  <c r="L45" i="4"/>
  <c r="M45" i="4" s="1"/>
  <c r="N45" i="4" s="1"/>
  <c r="N44" i="4" s="1"/>
  <c r="K45" i="4"/>
  <c r="K17" i="4" s="1"/>
  <c r="G45" i="4"/>
  <c r="B45" i="4"/>
  <c r="F45" i="4" s="1"/>
  <c r="M44" i="4"/>
  <c r="J44" i="4"/>
  <c r="I44" i="4"/>
  <c r="I55" i="4" s="1"/>
  <c r="I95" i="4" s="1"/>
  <c r="H44" i="4"/>
  <c r="E44" i="4"/>
  <c r="D44" i="4"/>
  <c r="C44" i="4"/>
  <c r="B44" i="4"/>
  <c r="Q43" i="4"/>
  <c r="N43" i="4"/>
  <c r="M43" i="4"/>
  <c r="O43" i="4" s="1"/>
  <c r="P43" i="4" s="1"/>
  <c r="L43" i="4"/>
  <c r="G43" i="4"/>
  <c r="K43" i="4" s="1"/>
  <c r="F43" i="4"/>
  <c r="B43" i="4"/>
  <c r="L42" i="4"/>
  <c r="M42" i="4" s="1"/>
  <c r="K42" i="4"/>
  <c r="G42" i="4"/>
  <c r="B42" i="4"/>
  <c r="B40" i="4" s="1"/>
  <c r="M41" i="4"/>
  <c r="L41" i="4"/>
  <c r="G41" i="4"/>
  <c r="K41" i="4" s="1"/>
  <c r="F41" i="4"/>
  <c r="B41" i="4"/>
  <c r="L40" i="4"/>
  <c r="J40" i="4"/>
  <c r="I40" i="4"/>
  <c r="H40" i="4"/>
  <c r="G40" i="4"/>
  <c r="E40" i="4"/>
  <c r="D40" i="4"/>
  <c r="D51" i="4" s="1"/>
  <c r="C40" i="4"/>
  <c r="J39" i="4"/>
  <c r="I39" i="4"/>
  <c r="H39" i="4"/>
  <c r="G39" i="4"/>
  <c r="E39" i="4"/>
  <c r="D39" i="4"/>
  <c r="C39" i="4"/>
  <c r="K35" i="4"/>
  <c r="O31" i="4"/>
  <c r="P31" i="4" s="1"/>
  <c r="N31" i="4"/>
  <c r="M31" i="4"/>
  <c r="L31" i="4"/>
  <c r="J31" i="4"/>
  <c r="G31" i="4"/>
  <c r="H31" i="4" s="1"/>
  <c r="I31" i="4" s="1"/>
  <c r="P30" i="4"/>
  <c r="L30" i="4"/>
  <c r="H30" i="4"/>
  <c r="G30" i="4"/>
  <c r="C30" i="4"/>
  <c r="B30" i="4" s="1"/>
  <c r="P29" i="4"/>
  <c r="H29" i="4"/>
  <c r="B29" i="4"/>
  <c r="O28" i="4"/>
  <c r="N28" i="4"/>
  <c r="M28" i="4"/>
  <c r="L28" i="4"/>
  <c r="G28" i="4"/>
  <c r="C28" i="4"/>
  <c r="B28" i="4"/>
  <c r="J27" i="4"/>
  <c r="I27" i="4"/>
  <c r="E27" i="4"/>
  <c r="D27" i="4"/>
  <c r="C27" i="4"/>
  <c r="L26" i="4"/>
  <c r="J26" i="4"/>
  <c r="I26" i="4"/>
  <c r="H26" i="4"/>
  <c r="F26" i="4"/>
  <c r="E26" i="4"/>
  <c r="C26" i="4"/>
  <c r="J25" i="4"/>
  <c r="F25" i="4"/>
  <c r="E25" i="4"/>
  <c r="C25" i="4"/>
  <c r="J24" i="4"/>
  <c r="I24" i="4"/>
  <c r="F24" i="4"/>
  <c r="E24" i="4"/>
  <c r="D24" i="4"/>
  <c r="C24" i="4"/>
  <c r="L23" i="4"/>
  <c r="K23" i="4"/>
  <c r="J23" i="4"/>
  <c r="I23" i="4"/>
  <c r="H23" i="4"/>
  <c r="E23" i="4"/>
  <c r="C23" i="4"/>
  <c r="K22" i="4"/>
  <c r="J22" i="4"/>
  <c r="J20" i="4" s="1"/>
  <c r="J33" i="4" s="1"/>
  <c r="I22" i="4"/>
  <c r="E22" i="4"/>
  <c r="D22" i="4"/>
  <c r="C22" i="4"/>
  <c r="I21" i="4"/>
  <c r="E21" i="4"/>
  <c r="C21" i="4"/>
  <c r="E20" i="4"/>
  <c r="E33" i="4" s="1"/>
  <c r="C20" i="4"/>
  <c r="C33" i="4" s="1"/>
  <c r="O18" i="4"/>
  <c r="N18" i="4"/>
  <c r="M18" i="4"/>
  <c r="J18" i="4"/>
  <c r="I18" i="4"/>
  <c r="H18" i="4"/>
  <c r="G18" i="4"/>
  <c r="G77" i="4" s="1"/>
  <c r="F18" i="4"/>
  <c r="E18" i="4"/>
  <c r="D18" i="4"/>
  <c r="C18" i="4"/>
  <c r="B18" i="4"/>
  <c r="B77" i="4" s="1"/>
  <c r="L17" i="4"/>
  <c r="J17" i="4"/>
  <c r="I17" i="4"/>
  <c r="H17" i="4"/>
  <c r="G17" i="4"/>
  <c r="G76" i="4" s="1"/>
  <c r="G112" i="4" s="1"/>
  <c r="F17" i="4"/>
  <c r="E17" i="4"/>
  <c r="D17" i="4"/>
  <c r="C17" i="4"/>
  <c r="B17" i="4"/>
  <c r="B76" i="4" s="1"/>
  <c r="B112" i="4" s="1"/>
  <c r="J16" i="4"/>
  <c r="I16" i="4"/>
  <c r="H16" i="4"/>
  <c r="H75" i="4" s="1"/>
  <c r="G16" i="4"/>
  <c r="F16" i="4"/>
  <c r="E16" i="4"/>
  <c r="D16" i="4"/>
  <c r="C16" i="4"/>
  <c r="B16" i="4"/>
  <c r="B75" i="4" s="1"/>
  <c r="L15" i="4"/>
  <c r="K15" i="4"/>
  <c r="J15" i="4"/>
  <c r="I15" i="4"/>
  <c r="H15" i="4"/>
  <c r="G15" i="4"/>
  <c r="G74" i="4" s="1"/>
  <c r="F15" i="4"/>
  <c r="E15" i="4"/>
  <c r="D15" i="4"/>
  <c r="C15" i="4"/>
  <c r="B15" i="4" s="1"/>
  <c r="B74" i="4" s="1"/>
  <c r="L14" i="4"/>
  <c r="K14" i="4"/>
  <c r="J14" i="4"/>
  <c r="I14" i="4"/>
  <c r="H14" i="4"/>
  <c r="G14" i="4"/>
  <c r="G73" i="4" s="1"/>
  <c r="E14" i="4"/>
  <c r="D14" i="4"/>
  <c r="C14" i="4"/>
  <c r="B14" i="4" s="1"/>
  <c r="B73" i="4" s="1"/>
  <c r="M13" i="4"/>
  <c r="L13" i="4"/>
  <c r="K13" i="4"/>
  <c r="J13" i="4"/>
  <c r="J12" i="4" s="1"/>
  <c r="J11" i="4" s="1"/>
  <c r="I13" i="4"/>
  <c r="H13" i="4"/>
  <c r="G13" i="4"/>
  <c r="G72" i="4" s="1"/>
  <c r="F13" i="4"/>
  <c r="E13" i="4"/>
  <c r="D13" i="4"/>
  <c r="C13" i="4"/>
  <c r="B13" i="4"/>
  <c r="B72" i="4" s="1"/>
  <c r="L12" i="4"/>
  <c r="K12" i="4"/>
  <c r="I12" i="4"/>
  <c r="I71" i="4" s="1"/>
  <c r="H12" i="4"/>
  <c r="H71" i="4" s="1"/>
  <c r="G12" i="4"/>
  <c r="G71" i="4" s="1"/>
  <c r="E12" i="4"/>
  <c r="D12" i="4"/>
  <c r="C12" i="4"/>
  <c r="I11" i="4"/>
  <c r="H11" i="4"/>
  <c r="G11" i="4"/>
  <c r="E11" i="4"/>
  <c r="D11" i="4"/>
  <c r="C11" i="4"/>
  <c r="J9" i="4"/>
  <c r="I9" i="4"/>
  <c r="H9" i="4"/>
  <c r="G9" i="4"/>
  <c r="G57" i="4" s="1"/>
  <c r="F9" i="4"/>
  <c r="E9" i="4"/>
  <c r="D9" i="4"/>
  <c r="C9" i="4"/>
  <c r="C7" i="4" s="1"/>
  <c r="C55" i="4" s="1"/>
  <c r="C95" i="4" s="1"/>
  <c r="L8" i="4"/>
  <c r="K8" i="4"/>
  <c r="J8" i="4"/>
  <c r="I8" i="4"/>
  <c r="H8" i="4"/>
  <c r="G8" i="4"/>
  <c r="G56" i="4" s="1"/>
  <c r="F8" i="4"/>
  <c r="E8" i="4"/>
  <c r="D8" i="4"/>
  <c r="C8" i="4"/>
  <c r="B8" i="4" s="1"/>
  <c r="B56" i="4" s="1"/>
  <c r="H7" i="4"/>
  <c r="H55" i="4" s="1"/>
  <c r="H95" i="4" s="1"/>
  <c r="F7" i="4"/>
  <c r="E7" i="4"/>
  <c r="M6" i="4"/>
  <c r="L6" i="4"/>
  <c r="J6" i="4"/>
  <c r="I6" i="4"/>
  <c r="H6" i="4"/>
  <c r="G6" i="4"/>
  <c r="G54" i="4" s="1"/>
  <c r="F6" i="4"/>
  <c r="E6" i="4"/>
  <c r="D6" i="4"/>
  <c r="C6" i="4"/>
  <c r="B6" i="4"/>
  <c r="B54" i="4" s="1"/>
  <c r="M5" i="4"/>
  <c r="L5" i="4"/>
  <c r="K5" i="4"/>
  <c r="J5" i="4"/>
  <c r="I5" i="4"/>
  <c r="H5" i="4"/>
  <c r="G5" i="4"/>
  <c r="G53" i="4" s="1"/>
  <c r="E5" i="4"/>
  <c r="D5" i="4"/>
  <c r="C5" i="4"/>
  <c r="B5" i="4"/>
  <c r="B53" i="4" s="1"/>
  <c r="M4" i="4"/>
  <c r="M3" i="4" s="1"/>
  <c r="L4" i="4"/>
  <c r="J4" i="4"/>
  <c r="I4" i="4"/>
  <c r="H4" i="4"/>
  <c r="G4" i="4"/>
  <c r="G3" i="4" s="1"/>
  <c r="G51" i="4" s="1"/>
  <c r="F4" i="4"/>
  <c r="E4" i="4"/>
  <c r="E3" i="4" s="1"/>
  <c r="E2" i="4" s="1"/>
  <c r="D4" i="4"/>
  <c r="C4" i="4"/>
  <c r="B4" i="4"/>
  <c r="L3" i="4"/>
  <c r="L51" i="4" s="1"/>
  <c r="L91" i="4" s="1"/>
  <c r="J3" i="4"/>
  <c r="J2" i="4" s="1"/>
  <c r="H3" i="4"/>
  <c r="H51" i="4" s="1"/>
  <c r="H91" i="4" s="1"/>
  <c r="C3" i="4"/>
  <c r="C51" i="4" s="1"/>
  <c r="C91" i="4" s="1"/>
  <c r="L2" i="4"/>
  <c r="I2" i="4"/>
  <c r="H2" i="4"/>
  <c r="D2" i="4"/>
  <c r="C2" i="4"/>
  <c r="E21" i="3" l="1"/>
  <c r="Q54" i="3"/>
  <c r="Q94" i="3" s="1"/>
  <c r="P94" i="3"/>
  <c r="E20" i="3"/>
  <c r="E33" i="3" s="1"/>
  <c r="Q55" i="3"/>
  <c r="Q95" i="3" s="1"/>
  <c r="P95" i="3"/>
  <c r="M25" i="3"/>
  <c r="N52" i="3"/>
  <c r="M92" i="3"/>
  <c r="M22" i="3" s="1"/>
  <c r="G9" i="3"/>
  <c r="G18" i="3"/>
  <c r="G44" i="3"/>
  <c r="K46" i="3"/>
  <c r="L46" i="3"/>
  <c r="M4" i="3"/>
  <c r="M13" i="3"/>
  <c r="M40" i="3"/>
  <c r="H25" i="3"/>
  <c r="D25" i="3"/>
  <c r="L95" i="3"/>
  <c r="L94" i="3"/>
  <c r="L24" i="3" s="1"/>
  <c r="J20" i="3"/>
  <c r="J33" i="3" s="1"/>
  <c r="J21" i="3"/>
  <c r="M16" i="3"/>
  <c r="B17" i="3"/>
  <c r="B76" i="3" s="1"/>
  <c r="B8" i="3"/>
  <c r="B56" i="3" s="1"/>
  <c r="F45" i="3"/>
  <c r="G15" i="3"/>
  <c r="G74" i="3" s="1"/>
  <c r="K43" i="3"/>
  <c r="G6" i="3"/>
  <c r="G54" i="3" s="1"/>
  <c r="G13" i="3"/>
  <c r="K41" i="3"/>
  <c r="G39" i="3"/>
  <c r="G40" i="3"/>
  <c r="I16" i="3"/>
  <c r="E2" i="3"/>
  <c r="I25" i="3"/>
  <c r="M6" i="3"/>
  <c r="O43" i="3"/>
  <c r="M15" i="3"/>
  <c r="I11" i="3"/>
  <c r="I71" i="3"/>
  <c r="I91" i="3" s="1"/>
  <c r="K26" i="3"/>
  <c r="K25" i="3" s="1"/>
  <c r="C25" i="3"/>
  <c r="O95" i="3"/>
  <c r="O94" i="3"/>
  <c r="K24" i="3"/>
  <c r="I20" i="3"/>
  <c r="I33" i="3" s="1"/>
  <c r="I21" i="3"/>
  <c r="D20" i="3"/>
  <c r="D33" i="3" s="1"/>
  <c r="D21" i="3"/>
  <c r="N53" i="3"/>
  <c r="M93" i="3"/>
  <c r="N9" i="3"/>
  <c r="B44" i="3"/>
  <c r="F15" i="3"/>
  <c r="F6" i="3"/>
  <c r="B14" i="3"/>
  <c r="B73" i="3" s="1"/>
  <c r="B5" i="3"/>
  <c r="B53" i="3" s="1"/>
  <c r="B93" i="3" s="1"/>
  <c r="B23" i="3" s="1"/>
  <c r="F42" i="3"/>
  <c r="F23" i="3"/>
  <c r="N18" i="3"/>
  <c r="O77" i="3"/>
  <c r="K17" i="3"/>
  <c r="K8" i="3"/>
  <c r="L5" i="3"/>
  <c r="L14" i="3"/>
  <c r="M42" i="3"/>
  <c r="L39" i="3"/>
  <c r="G52" i="3"/>
  <c r="J109" i="3"/>
  <c r="J66" i="3" s="1"/>
  <c r="N97" i="3"/>
  <c r="N27" i="3" s="1"/>
  <c r="F27" i="3"/>
  <c r="J25" i="3"/>
  <c r="N95" i="3"/>
  <c r="N94" i="3"/>
  <c r="N24" i="3" s="1"/>
  <c r="L23" i="3"/>
  <c r="L92" i="3"/>
  <c r="L22" i="3" s="1"/>
  <c r="H20" i="3"/>
  <c r="H33" i="3" s="1"/>
  <c r="H21" i="3"/>
  <c r="M8" i="3"/>
  <c r="N45" i="3"/>
  <c r="N15" i="3"/>
  <c r="N6" i="3"/>
  <c r="N41" i="3"/>
  <c r="H71" i="3"/>
  <c r="H51" i="3"/>
  <c r="H91" i="3" s="1"/>
  <c r="H55" i="3"/>
  <c r="H95" i="3" s="1"/>
  <c r="N76" i="3"/>
  <c r="M9" i="3"/>
  <c r="F46" i="3"/>
  <c r="F26" i="3" s="1"/>
  <c r="F25" i="3" s="1"/>
  <c r="M44" i="3"/>
  <c r="K42" i="3"/>
  <c r="F41" i="3"/>
  <c r="F22" i="3" s="1"/>
  <c r="C11" i="3"/>
  <c r="B9" i="3"/>
  <c r="B16" i="3"/>
  <c r="B75" i="3" s="1"/>
  <c r="G17" i="3"/>
  <c r="G76" i="3" s="1"/>
  <c r="G8" i="3"/>
  <c r="G56" i="3" s="1"/>
  <c r="L6" i="3"/>
  <c r="L15" i="3"/>
  <c r="B15" i="3"/>
  <c r="B74" i="3" s="1"/>
  <c r="B6" i="3"/>
  <c r="B54" i="3" s="1"/>
  <c r="B94" i="3" s="1"/>
  <c r="B24" i="3" s="1"/>
  <c r="L4" i="3"/>
  <c r="L3" i="3" s="1"/>
  <c r="L13" i="3"/>
  <c r="L12" i="3" s="1"/>
  <c r="B40" i="3"/>
  <c r="B39" i="3"/>
  <c r="E12" i="3"/>
  <c r="E11" i="3" s="1"/>
  <c r="B13" i="3"/>
  <c r="H11" i="3"/>
  <c r="C20" i="3"/>
  <c r="C33" i="3" s="1"/>
  <c r="C21" i="3"/>
  <c r="L17" i="3"/>
  <c r="O9" i="3"/>
  <c r="D11" i="3"/>
  <c r="G5" i="3"/>
  <c r="G53" i="3" s="1"/>
  <c r="G93" i="3" s="1"/>
  <c r="G23" i="3" s="1"/>
  <c r="H2" i="3"/>
  <c r="C3" i="3"/>
  <c r="M2" i="4"/>
  <c r="B111" i="4"/>
  <c r="B96" i="4"/>
  <c r="B26" i="4" s="1"/>
  <c r="B110" i="4"/>
  <c r="B94" i="4"/>
  <c r="B24" i="4" s="1"/>
  <c r="G7" i="4"/>
  <c r="J21" i="4"/>
  <c r="G29" i="4"/>
  <c r="I29" i="4"/>
  <c r="G119" i="4"/>
  <c r="G97" i="4"/>
  <c r="G27" i="4" s="1"/>
  <c r="G118" i="4"/>
  <c r="K24" i="4"/>
  <c r="K6" i="4"/>
  <c r="N42" i="4"/>
  <c r="M14" i="4"/>
  <c r="N53" i="4"/>
  <c r="M93" i="4"/>
  <c r="M23" i="4" s="1"/>
  <c r="N55" i="4"/>
  <c r="M95" i="4"/>
  <c r="N74" i="4"/>
  <c r="M15" i="4"/>
  <c r="Q77" i="4"/>
  <c r="H21" i="4"/>
  <c r="H20" i="4"/>
  <c r="H33" i="4" s="1"/>
  <c r="L21" i="4"/>
  <c r="L20" i="4"/>
  <c r="L33" i="4" s="1"/>
  <c r="G91" i="4"/>
  <c r="B93" i="4"/>
  <c r="B23" i="4" s="1"/>
  <c r="F22" i="4"/>
  <c r="L25" i="4"/>
  <c r="I25" i="4"/>
  <c r="I20" i="4"/>
  <c r="I33" i="4" s="1"/>
  <c r="K40" i="4"/>
  <c r="N76" i="4"/>
  <c r="M17" i="4"/>
  <c r="M16" i="4" s="1"/>
  <c r="B52" i="4"/>
  <c r="B92" i="4" s="1"/>
  <c r="B22" i="4" s="1"/>
  <c r="B3" i="4"/>
  <c r="G94" i="4"/>
  <c r="G24" i="4" s="1"/>
  <c r="G93" i="4"/>
  <c r="G23" i="4" s="1"/>
  <c r="G111" i="4"/>
  <c r="K111" i="4" s="1"/>
  <c r="G96" i="4"/>
  <c r="G26" i="4" s="1"/>
  <c r="G25" i="4" s="1"/>
  <c r="G110" i="4"/>
  <c r="K110" i="4" s="1"/>
  <c r="B9" i="4"/>
  <c r="B12" i="4"/>
  <c r="K112" i="4"/>
  <c r="H25" i="4"/>
  <c r="G92" i="4"/>
  <c r="G22" i="4" s="1"/>
  <c r="D21" i="4"/>
  <c r="D20" i="4"/>
  <c r="D33" i="4" s="1"/>
  <c r="L44" i="4"/>
  <c r="L39" i="4"/>
  <c r="N52" i="4"/>
  <c r="M92" i="4"/>
  <c r="M22" i="4" s="1"/>
  <c r="K4" i="4"/>
  <c r="K3" i="4" s="1"/>
  <c r="L9" i="4"/>
  <c r="L18" i="4"/>
  <c r="L16" i="4" s="1"/>
  <c r="L11" i="4" s="1"/>
  <c r="O45" i="4"/>
  <c r="I91" i="4"/>
  <c r="M8" i="4"/>
  <c r="P28" i="4"/>
  <c r="M40" i="4"/>
  <c r="M51" i="4" s="1"/>
  <c r="M91" i="4" s="1"/>
  <c r="M39" i="4"/>
  <c r="N41" i="4"/>
  <c r="P46" i="4"/>
  <c r="N54" i="4"/>
  <c r="M94" i="4"/>
  <c r="M24" i="4" s="1"/>
  <c r="N56" i="4"/>
  <c r="M96" i="4"/>
  <c r="M26" i="4" s="1"/>
  <c r="F42" i="4"/>
  <c r="F40" i="4" s="1"/>
  <c r="G44" i="4"/>
  <c r="G75" i="4" s="1"/>
  <c r="K46" i="4"/>
  <c r="M57" i="4"/>
  <c r="B39" i="4"/>
  <c r="F20" i="3" l="1"/>
  <c r="F33" i="3" s="1"/>
  <c r="F21" i="3"/>
  <c r="C2" i="3"/>
  <c r="C51" i="3"/>
  <c r="C91" i="3" s="1"/>
  <c r="O15" i="3"/>
  <c r="P43" i="3"/>
  <c r="O6" i="3"/>
  <c r="K13" i="3"/>
  <c r="K12" i="3" s="1"/>
  <c r="K11" i="3" s="1"/>
  <c r="K39" i="3"/>
  <c r="K40" i="3"/>
  <c r="K4" i="3"/>
  <c r="L9" i="3"/>
  <c r="L44" i="3"/>
  <c r="G7" i="3"/>
  <c r="G57" i="3"/>
  <c r="P24" i="3"/>
  <c r="K22" i="3"/>
  <c r="L2" i="3"/>
  <c r="L51" i="3"/>
  <c r="L91" i="3" s="1"/>
  <c r="L18" i="3"/>
  <c r="L16" i="3" s="1"/>
  <c r="L11" i="3" s="1"/>
  <c r="K14" i="3"/>
  <c r="K5" i="3"/>
  <c r="N17" i="3"/>
  <c r="N96" i="3"/>
  <c r="N26" i="3" s="1"/>
  <c r="N25" i="3" s="1"/>
  <c r="O76" i="3"/>
  <c r="N8" i="3"/>
  <c r="O45" i="3"/>
  <c r="L21" i="3"/>
  <c r="M5" i="3"/>
  <c r="M14" i="3"/>
  <c r="N42" i="3"/>
  <c r="F14" i="3"/>
  <c r="F5" i="3"/>
  <c r="P46" i="3"/>
  <c r="O24" i="3"/>
  <c r="G12" i="3"/>
  <c r="G72" i="3"/>
  <c r="F17" i="3"/>
  <c r="F8" i="3"/>
  <c r="F7" i="3" s="1"/>
  <c r="M39" i="3"/>
  <c r="K9" i="3"/>
  <c r="K18" i="3"/>
  <c r="K16" i="3" s="1"/>
  <c r="K44" i="3"/>
  <c r="G108" i="3"/>
  <c r="G96" i="3"/>
  <c r="G26" i="3" s="1"/>
  <c r="G109" i="3"/>
  <c r="B7" i="3"/>
  <c r="B55" i="3" s="1"/>
  <c r="B95" i="3" s="1"/>
  <c r="B57" i="3"/>
  <c r="N4" i="3"/>
  <c r="O41" i="3"/>
  <c r="N13" i="3"/>
  <c r="N39" i="3"/>
  <c r="G92" i="3"/>
  <c r="G22" i="3" s="1"/>
  <c r="O18" i="3"/>
  <c r="P77" i="3"/>
  <c r="O97" i="3"/>
  <c r="O27" i="3" s="1"/>
  <c r="M23" i="3"/>
  <c r="M20" i="3" s="1"/>
  <c r="M33" i="3" s="1"/>
  <c r="M35" i="3" s="1"/>
  <c r="V10" i="3" s="1"/>
  <c r="G94" i="3"/>
  <c r="G24" i="3" s="1"/>
  <c r="B96" i="3"/>
  <c r="B26" i="3" s="1"/>
  <c r="B109" i="3"/>
  <c r="B108" i="3"/>
  <c r="M12" i="3"/>
  <c r="M11" i="3" s="1"/>
  <c r="O52" i="3"/>
  <c r="N92" i="3"/>
  <c r="N22" i="3" s="1"/>
  <c r="F4" i="3"/>
  <c r="F3" i="3" s="1"/>
  <c r="F13" i="3"/>
  <c r="F12" i="3" s="1"/>
  <c r="F11" i="3" s="1"/>
  <c r="F39" i="3"/>
  <c r="F40" i="3"/>
  <c r="B12" i="3"/>
  <c r="B72" i="3"/>
  <c r="B92" i="3" s="1"/>
  <c r="B22" i="3" s="1"/>
  <c r="B3" i="3"/>
  <c r="F18" i="3"/>
  <c r="F16" i="3" s="1"/>
  <c r="F9" i="3"/>
  <c r="F44" i="3"/>
  <c r="G3" i="3"/>
  <c r="N16" i="3"/>
  <c r="N44" i="3"/>
  <c r="O53" i="3"/>
  <c r="N93" i="3"/>
  <c r="K15" i="3"/>
  <c r="K6" i="3"/>
  <c r="L26" i="3"/>
  <c r="L25" i="3" s="1"/>
  <c r="M3" i="3"/>
  <c r="G16" i="3"/>
  <c r="G75" i="3" s="1"/>
  <c r="G77" i="3"/>
  <c r="K23" i="3"/>
  <c r="M118" i="4"/>
  <c r="N118" i="4" s="1"/>
  <c r="O118" i="4" s="1"/>
  <c r="N57" i="4"/>
  <c r="M119" i="4"/>
  <c r="N119" i="4" s="1"/>
  <c r="O119" i="4" s="1"/>
  <c r="M97" i="4"/>
  <c r="M27" i="4" s="1"/>
  <c r="M25" i="4" s="1"/>
  <c r="M9" i="4"/>
  <c r="Q46" i="4"/>
  <c r="O44" i="4"/>
  <c r="P45" i="4"/>
  <c r="M21" i="4"/>
  <c r="B51" i="4"/>
  <c r="B91" i="4" s="1"/>
  <c r="O76" i="4"/>
  <c r="N17" i="4"/>
  <c r="N16" i="4" s="1"/>
  <c r="O74" i="4"/>
  <c r="N15" i="4"/>
  <c r="N93" i="4"/>
  <c r="N23" i="4" s="1"/>
  <c r="O53" i="4"/>
  <c r="K21" i="4"/>
  <c r="F23" i="4"/>
  <c r="F14" i="4"/>
  <c r="F12" i="4" s="1"/>
  <c r="F11" i="4" s="1"/>
  <c r="F5" i="4"/>
  <c r="F3" i="4" s="1"/>
  <c r="F2" i="4" s="1"/>
  <c r="N94" i="4"/>
  <c r="N24" i="4" s="1"/>
  <c r="O54" i="4"/>
  <c r="N6" i="4"/>
  <c r="K26" i="4"/>
  <c r="K25" i="4" s="1"/>
  <c r="K44" i="4"/>
  <c r="K18" i="4"/>
  <c r="K16" i="4" s="1"/>
  <c r="K11" i="4" s="1"/>
  <c r="K9" i="4"/>
  <c r="N40" i="4"/>
  <c r="N39" i="4"/>
  <c r="O41" i="4"/>
  <c r="N13" i="4"/>
  <c r="N4" i="4"/>
  <c r="N3" i="4" s="1"/>
  <c r="N92" i="4"/>
  <c r="N22" i="4" s="1"/>
  <c r="O52" i="4"/>
  <c r="B71" i="4"/>
  <c r="B11" i="4"/>
  <c r="B21" i="4"/>
  <c r="K39" i="4"/>
  <c r="L34" i="4"/>
  <c r="L35" i="4"/>
  <c r="P18" i="4"/>
  <c r="M12" i="4"/>
  <c r="M11" i="4" s="1"/>
  <c r="K2" i="4"/>
  <c r="F39" i="4"/>
  <c r="G55" i="4"/>
  <c r="G95" i="4" s="1"/>
  <c r="G2" i="4"/>
  <c r="N96" i="4"/>
  <c r="N26" i="4" s="1"/>
  <c r="O56" i="4"/>
  <c r="N8" i="4"/>
  <c r="K7" i="4"/>
  <c r="G21" i="4"/>
  <c r="G20" i="4"/>
  <c r="G33" i="4" s="1"/>
  <c r="B57" i="4"/>
  <c r="B7" i="4"/>
  <c r="B55" i="4" s="1"/>
  <c r="B95" i="4" s="1"/>
  <c r="F21" i="4"/>
  <c r="F20" i="4"/>
  <c r="F33" i="4" s="1"/>
  <c r="Q18" i="4"/>
  <c r="N95" i="4"/>
  <c r="O55" i="4"/>
  <c r="O42" i="4"/>
  <c r="N5" i="4"/>
  <c r="N14" i="4"/>
  <c r="B11" i="3" l="1"/>
  <c r="B71" i="3"/>
  <c r="F2" i="3"/>
  <c r="P9" i="3"/>
  <c r="Q46" i="3"/>
  <c r="O8" i="3"/>
  <c r="P45" i="3"/>
  <c r="P44" i="3" s="1"/>
  <c r="O44" i="3"/>
  <c r="G112" i="3"/>
  <c r="G97" i="3"/>
  <c r="G27" i="3" s="1"/>
  <c r="K3" i="3"/>
  <c r="B21" i="3"/>
  <c r="O92" i="3"/>
  <c r="O22" i="3" s="1"/>
  <c r="P52" i="3"/>
  <c r="P18" i="3"/>
  <c r="Q77" i="3"/>
  <c r="P97" i="3"/>
  <c r="P27" i="3" s="1"/>
  <c r="N14" i="3"/>
  <c r="N12" i="3" s="1"/>
  <c r="N11" i="3" s="1"/>
  <c r="N5" i="3"/>
  <c r="O42" i="3"/>
  <c r="L20" i="3"/>
  <c r="L33" i="3" s="1"/>
  <c r="G20" i="3"/>
  <c r="G33" i="3" s="1"/>
  <c r="G21" i="3"/>
  <c r="O13" i="3"/>
  <c r="O4" i="3"/>
  <c r="P41" i="3"/>
  <c r="O40" i="3"/>
  <c r="M21" i="3"/>
  <c r="G55" i="3"/>
  <c r="G95" i="3" s="1"/>
  <c r="K7" i="3"/>
  <c r="P6" i="3"/>
  <c r="P15" i="3"/>
  <c r="Q43" i="3"/>
  <c r="P53" i="3"/>
  <c r="O93" i="3"/>
  <c r="O23" i="3" s="1"/>
  <c r="B97" i="3"/>
  <c r="B27" i="3" s="1"/>
  <c r="B25" i="3" s="1"/>
  <c r="B112" i="3"/>
  <c r="M51" i="3"/>
  <c r="M91" i="3" s="1"/>
  <c r="M2" i="3"/>
  <c r="N23" i="3"/>
  <c r="N20" i="3" s="1"/>
  <c r="N33" i="3" s="1"/>
  <c r="N35" i="3" s="1"/>
  <c r="V11" i="3" s="1"/>
  <c r="G2" i="3"/>
  <c r="G51" i="3"/>
  <c r="G91" i="3" s="1"/>
  <c r="B2" i="3"/>
  <c r="B51" i="3"/>
  <c r="B91" i="3" s="1"/>
  <c r="N21" i="3"/>
  <c r="N40" i="3"/>
  <c r="N3" i="3"/>
  <c r="G25" i="3"/>
  <c r="G11" i="3"/>
  <c r="G71" i="3"/>
  <c r="O17" i="3"/>
  <c r="O16" i="3" s="1"/>
  <c r="P76" i="3"/>
  <c r="O96" i="3"/>
  <c r="O26" i="3" s="1"/>
  <c r="O25" i="3" s="1"/>
  <c r="K20" i="3"/>
  <c r="K33" i="3" s="1"/>
  <c r="K21" i="3"/>
  <c r="N12" i="4"/>
  <c r="N11" i="4" s="1"/>
  <c r="O93" i="4"/>
  <c r="O23" i="4" s="1"/>
  <c r="P53" i="4"/>
  <c r="M20" i="4"/>
  <c r="M33" i="4" s="1"/>
  <c r="M35" i="4" s="1"/>
  <c r="N97" i="4"/>
  <c r="N27" i="4" s="1"/>
  <c r="O57" i="4"/>
  <c r="N9" i="4"/>
  <c r="P74" i="4"/>
  <c r="O15" i="4"/>
  <c r="Q45" i="4"/>
  <c r="P41" i="4"/>
  <c r="O40" i="4"/>
  <c r="O4" i="4"/>
  <c r="O39" i="4"/>
  <c r="O13" i="4"/>
  <c r="O12" i="4" s="1"/>
  <c r="O11" i="4" s="1"/>
  <c r="O94" i="4"/>
  <c r="O24" i="4" s="1"/>
  <c r="P54" i="4"/>
  <c r="O6" i="4"/>
  <c r="P76" i="4"/>
  <c r="O17" i="4"/>
  <c r="O16" i="4" s="1"/>
  <c r="O95" i="4"/>
  <c r="P55" i="4"/>
  <c r="N25" i="4"/>
  <c r="N51" i="4"/>
  <c r="N91" i="4" s="1"/>
  <c r="N2" i="4"/>
  <c r="P44" i="4"/>
  <c r="B119" i="4"/>
  <c r="B97" i="4"/>
  <c r="B27" i="4" s="1"/>
  <c r="B118" i="4"/>
  <c r="O92" i="4"/>
  <c r="O22" i="4" s="1"/>
  <c r="P52" i="4"/>
  <c r="P42" i="4"/>
  <c r="O5" i="4"/>
  <c r="O14" i="4"/>
  <c r="O96" i="4"/>
  <c r="O26" i="4" s="1"/>
  <c r="P56" i="4"/>
  <c r="N20" i="4"/>
  <c r="N33" i="4" s="1"/>
  <c r="N35" i="4" s="1"/>
  <c r="N21" i="4"/>
  <c r="K20" i="4"/>
  <c r="K33" i="4" s="1"/>
  <c r="B2" i="4"/>
  <c r="O8" i="4"/>
  <c r="Q44" i="4"/>
  <c r="B10" i="2"/>
  <c r="O14" i="3" l="1"/>
  <c r="O12" i="3" s="1"/>
  <c r="O11" i="3" s="1"/>
  <c r="O5" i="3"/>
  <c r="P42" i="3"/>
  <c r="Q18" i="3"/>
  <c r="Q97" i="3"/>
  <c r="Q27" i="3" s="1"/>
  <c r="Q9" i="3"/>
  <c r="Q44" i="3"/>
  <c r="P17" i="3"/>
  <c r="Q76" i="3"/>
  <c r="P96" i="3"/>
  <c r="P26" i="3" s="1"/>
  <c r="P25" i="3" s="1"/>
  <c r="Q53" i="3"/>
  <c r="Q93" i="3" s="1"/>
  <c r="P93" i="3"/>
  <c r="O39" i="3"/>
  <c r="P16" i="3"/>
  <c r="B20" i="3"/>
  <c r="B33" i="3" s="1"/>
  <c r="Q6" i="3"/>
  <c r="Q15" i="3"/>
  <c r="Q24" i="3"/>
  <c r="P4" i="3"/>
  <c r="P13" i="3"/>
  <c r="Q41" i="3"/>
  <c r="P40" i="3"/>
  <c r="Q52" i="3"/>
  <c r="Q92" i="3" s="1"/>
  <c r="P92" i="3"/>
  <c r="P22" i="3" s="1"/>
  <c r="K2" i="3"/>
  <c r="P8" i="3"/>
  <c r="Q45" i="3"/>
  <c r="Q8" i="3" s="1"/>
  <c r="N2" i="3"/>
  <c r="N51" i="3"/>
  <c r="N91" i="3" s="1"/>
  <c r="O3" i="3"/>
  <c r="L34" i="3"/>
  <c r="M34" i="3" s="1"/>
  <c r="N34" i="3" s="1"/>
  <c r="O34" i="3" s="1"/>
  <c r="P34" i="3" s="1"/>
  <c r="L35" i="3"/>
  <c r="V9" i="3" s="1"/>
  <c r="O20" i="3"/>
  <c r="O33" i="3" s="1"/>
  <c r="O35" i="3" s="1"/>
  <c r="V12" i="3" s="1"/>
  <c r="O21" i="3"/>
  <c r="Q42" i="4"/>
  <c r="P5" i="4"/>
  <c r="P14" i="4"/>
  <c r="Q55" i="4"/>
  <c r="Q95" i="4" s="1"/>
  <c r="P95" i="4"/>
  <c r="M34" i="4"/>
  <c r="N34" i="4" s="1"/>
  <c r="B25" i="4"/>
  <c r="B20" i="4"/>
  <c r="B33" i="4" s="1"/>
  <c r="Q54" i="4"/>
  <c r="P6" i="4"/>
  <c r="P94" i="4"/>
  <c r="P24" i="4" s="1"/>
  <c r="Q56" i="4"/>
  <c r="Q96" i="4" s="1"/>
  <c r="Q26" i="4" s="1"/>
  <c r="P96" i="4"/>
  <c r="P26" i="4" s="1"/>
  <c r="Q52" i="4"/>
  <c r="Q92" i="4" s="1"/>
  <c r="Q22" i="4" s="1"/>
  <c r="P92" i="4"/>
  <c r="P22" i="4" s="1"/>
  <c r="O3" i="4"/>
  <c r="Q53" i="4"/>
  <c r="Q93" i="4" s="1"/>
  <c r="Q23" i="4" s="1"/>
  <c r="P93" i="4"/>
  <c r="P23" i="4" s="1"/>
  <c r="O21" i="4"/>
  <c r="O97" i="4"/>
  <c r="O27" i="4" s="1"/>
  <c r="O25" i="4" s="1"/>
  <c r="P57" i="4"/>
  <c r="O9" i="4"/>
  <c r="P8" i="4"/>
  <c r="Q76" i="4"/>
  <c r="Q17" i="4" s="1"/>
  <c r="Q16" i="4" s="1"/>
  <c r="P17" i="4"/>
  <c r="P16" i="4" s="1"/>
  <c r="P40" i="4"/>
  <c r="P39" i="4"/>
  <c r="P4" i="4"/>
  <c r="P3" i="4" s="1"/>
  <c r="P13" i="4"/>
  <c r="P12" i="4" s="1"/>
  <c r="P11" i="4" s="1"/>
  <c r="Q41" i="4"/>
  <c r="Q74" i="4"/>
  <c r="Q15" i="4" s="1"/>
  <c r="P15" i="4"/>
  <c r="AA5" i="2"/>
  <c r="AA6" i="2"/>
  <c r="AA7" i="2"/>
  <c r="AA8" i="2"/>
  <c r="AA9" i="2"/>
  <c r="AA4" i="2"/>
  <c r="AA10" i="2" s="1"/>
  <c r="P5" i="3" l="1"/>
  <c r="P3" i="3" s="1"/>
  <c r="P14" i="3"/>
  <c r="Q42" i="3"/>
  <c r="P39" i="3"/>
  <c r="Q4" i="3"/>
  <c r="Q13" i="3"/>
  <c r="Q40" i="3"/>
  <c r="Q17" i="3"/>
  <c r="Q96" i="3"/>
  <c r="Q26" i="3" s="1"/>
  <c r="Q25" i="3" s="1"/>
  <c r="O2" i="3"/>
  <c r="O51" i="3"/>
  <c r="O91" i="3" s="1"/>
  <c r="Q22" i="3"/>
  <c r="P12" i="3"/>
  <c r="P11" i="3" s="1"/>
  <c r="P23" i="3"/>
  <c r="P20" i="3" s="1"/>
  <c r="P33" i="3" s="1"/>
  <c r="Q16" i="3"/>
  <c r="Q57" i="4"/>
  <c r="P97" i="4"/>
  <c r="P27" i="4" s="1"/>
  <c r="P20" i="4" s="1"/>
  <c r="P33" i="4" s="1"/>
  <c r="P9" i="4"/>
  <c r="P21" i="4"/>
  <c r="P51" i="4"/>
  <c r="P91" i="4" s="1"/>
  <c r="P2" i="4"/>
  <c r="O20" i="4"/>
  <c r="O33" i="4" s="1"/>
  <c r="O35" i="4" s="1"/>
  <c r="Q8" i="4"/>
  <c r="Q40" i="4"/>
  <c r="Q39" i="4"/>
  <c r="Q13" i="4"/>
  <c r="Q12" i="4" s="1"/>
  <c r="Q11" i="4" s="1"/>
  <c r="Q4" i="4"/>
  <c r="O51" i="4"/>
  <c r="O91" i="4" s="1"/>
  <c r="O2" i="4"/>
  <c r="P25" i="4"/>
  <c r="Q94" i="4"/>
  <c r="Q24" i="4" s="1"/>
  <c r="Q21" i="4" s="1"/>
  <c r="Q6" i="4"/>
  <c r="Q14" i="4"/>
  <c r="Q5" i="4"/>
  <c r="W5" i="2"/>
  <c r="W6" i="2"/>
  <c r="W7" i="2"/>
  <c r="W8" i="2"/>
  <c r="W9" i="2"/>
  <c r="W4" i="2"/>
  <c r="U5" i="2"/>
  <c r="U6" i="2"/>
  <c r="U7" i="2"/>
  <c r="U8" i="2"/>
  <c r="U9" i="2"/>
  <c r="U4" i="2"/>
  <c r="P2" i="3" l="1"/>
  <c r="P51" i="3"/>
  <c r="P91" i="3" s="1"/>
  <c r="P21" i="3"/>
  <c r="Q5" i="3"/>
  <c r="Q3" i="3" s="1"/>
  <c r="Q14" i="3"/>
  <c r="Q12" i="3" s="1"/>
  <c r="Q11" i="3" s="1"/>
  <c r="Q39" i="3"/>
  <c r="Q23" i="3"/>
  <c r="Q20" i="3"/>
  <c r="Q33" i="3" s="1"/>
  <c r="Q21" i="3"/>
  <c r="Q3" i="4"/>
  <c r="O34" i="4"/>
  <c r="P34" i="4" s="1"/>
  <c r="Q97" i="4"/>
  <c r="Q27" i="4" s="1"/>
  <c r="Q9" i="4"/>
  <c r="Q2" i="3" l="1"/>
  <c r="Q51" i="3"/>
  <c r="Q91" i="3" s="1"/>
  <c r="Q35" i="3"/>
  <c r="P35" i="3"/>
  <c r="Q34" i="3"/>
  <c r="Q25" i="4"/>
  <c r="Q20" i="4"/>
  <c r="Q33" i="4" s="1"/>
  <c r="Q34" i="4" s="1"/>
  <c r="Q51" i="4"/>
  <c r="Q91" i="4" s="1"/>
  <c r="Q2" i="4"/>
  <c r="AN3" i="2"/>
  <c r="AN5" i="2"/>
  <c r="AN8" i="2"/>
  <c r="AN9" i="2"/>
  <c r="AN11" i="2"/>
  <c r="AN14" i="2"/>
  <c r="AN15" i="2"/>
  <c r="AN17" i="2"/>
  <c r="AN20" i="2"/>
  <c r="AN21" i="2"/>
  <c r="AN23" i="2"/>
  <c r="AN2" i="2"/>
  <c r="Q35" i="4" l="1"/>
  <c r="P35" i="4"/>
  <c r="Z10" i="2"/>
  <c r="J5" i="2" l="1"/>
  <c r="J6" i="2" s="1"/>
  <c r="K4" i="2"/>
  <c r="AO2" i="2"/>
  <c r="AO3" i="2" s="1"/>
  <c r="AD9" i="2"/>
  <c r="AD8" i="2"/>
  <c r="AL6" i="2" s="1"/>
  <c r="AD5" i="2"/>
  <c r="AD6" i="2"/>
  <c r="AD7" i="2"/>
  <c r="AJ4" i="2" s="1"/>
  <c r="AD4" i="2"/>
  <c r="L4" i="2" l="1"/>
  <c r="O4" i="2" s="1"/>
  <c r="N4" i="2"/>
  <c r="P4" i="2" s="1"/>
  <c r="AH6" i="2"/>
  <c r="AH12" i="2" s="1"/>
  <c r="AH18" i="2" s="1"/>
  <c r="AI7" i="2"/>
  <c r="AN7" i="2" s="1"/>
  <c r="AK12" i="2"/>
  <c r="AK18" i="2" s="1"/>
  <c r="AK24" i="2" s="1"/>
  <c r="AK6" i="2"/>
  <c r="AN6" i="2" s="1"/>
  <c r="AG4" i="2"/>
  <c r="AN4" i="2" s="1"/>
  <c r="AO4" i="2" s="1"/>
  <c r="AO5" i="2" s="1"/>
  <c r="K5" i="2"/>
  <c r="AL12" i="2"/>
  <c r="K6" i="2"/>
  <c r="J7" i="2"/>
  <c r="AJ10" i="2"/>
  <c r="AI13" i="2" l="1"/>
  <c r="AN13" i="2" s="1"/>
  <c r="G4" i="2"/>
  <c r="AB4" i="2" s="1"/>
  <c r="M4" i="2"/>
  <c r="L6" i="2"/>
  <c r="O6" i="2" s="1"/>
  <c r="N6" i="2"/>
  <c r="L5" i="2"/>
  <c r="O5" i="2" s="1"/>
  <c r="N5" i="2"/>
  <c r="AN12" i="2"/>
  <c r="AI19" i="2"/>
  <c r="AN19" i="2" s="1"/>
  <c r="AG10" i="2"/>
  <c r="AG16" i="2" s="1"/>
  <c r="AG22" i="2" s="1"/>
  <c r="AH24" i="2"/>
  <c r="AO6" i="2"/>
  <c r="AO7" i="2" s="1"/>
  <c r="AO8" i="2" s="1"/>
  <c r="AO9" i="2" s="1"/>
  <c r="AJ16" i="2"/>
  <c r="AN16" i="2" s="1"/>
  <c r="AL18" i="2"/>
  <c r="AN18" i="2" s="1"/>
  <c r="J8" i="2"/>
  <c r="K7" i="2"/>
  <c r="AN10" i="2" l="1"/>
  <c r="AO10" i="2" s="1"/>
  <c r="AO11" i="2" s="1"/>
  <c r="AO12" i="2" s="1"/>
  <c r="AO13" i="2" s="1"/>
  <c r="AO14" i="2" s="1"/>
  <c r="AO15" i="2" s="1"/>
  <c r="G5" i="2"/>
  <c r="AB5" i="2" s="1"/>
  <c r="M5" i="2"/>
  <c r="G6" i="2"/>
  <c r="AB6" i="2" s="1"/>
  <c r="M6" i="2"/>
  <c r="L7" i="2"/>
  <c r="O7" i="2" s="1"/>
  <c r="N7" i="2"/>
  <c r="AI25" i="2"/>
  <c r="AN25" i="2" s="1"/>
  <c r="P5" i="2"/>
  <c r="P7" i="2"/>
  <c r="P6" i="2"/>
  <c r="AL24" i="2"/>
  <c r="AN24" i="2" s="1"/>
  <c r="AJ22" i="2"/>
  <c r="AN22" i="2" s="1"/>
  <c r="J9" i="2"/>
  <c r="K9" i="2" s="1"/>
  <c r="K8" i="2"/>
  <c r="G7" i="2" l="1"/>
  <c r="AB7" i="2" s="1"/>
  <c r="M7" i="2"/>
  <c r="L9" i="2"/>
  <c r="O9" i="2" s="1"/>
  <c r="N9" i="2"/>
  <c r="L8" i="2"/>
  <c r="O8" i="2" s="1"/>
  <c r="N8" i="2"/>
  <c r="P8" i="2"/>
  <c r="P9" i="2"/>
  <c r="AO16" i="2"/>
  <c r="AO17" i="2" s="1"/>
  <c r="AO18" i="2" s="1"/>
  <c r="AO19" i="2" s="1"/>
  <c r="AO20" i="2" s="1"/>
  <c r="AO21" i="2" s="1"/>
  <c r="AO22" i="2" s="1"/>
  <c r="AO23" i="2" s="1"/>
  <c r="AO24" i="2" s="1"/>
  <c r="AO25" i="2" s="1"/>
  <c r="G8" i="2" l="1"/>
  <c r="AB8" i="2" s="1"/>
  <c r="M8" i="2"/>
  <c r="G9" i="2"/>
  <c r="AB9" i="2" s="1"/>
  <c r="AB10" i="2" s="1"/>
  <c r="M9" i="2"/>
</calcChain>
</file>

<file path=xl/sharedStrings.xml><?xml version="1.0" encoding="utf-8"?>
<sst xmlns="http://schemas.openxmlformats.org/spreadsheetml/2006/main" count="686" uniqueCount="252">
  <si>
    <t>Date</t>
  </si>
  <si>
    <t>Итого</t>
  </si>
  <si>
    <t>Осн. см обл</t>
  </si>
  <si>
    <t>Непог. кред.</t>
  </si>
  <si>
    <t>Непог. возобн.</t>
  </si>
  <si>
    <t>См в нал.</t>
  </si>
  <si>
    <t>Процент</t>
  </si>
  <si>
    <t>74.125</t>
  </si>
  <si>
    <t>71.125</t>
  </si>
  <si>
    <t>Apr 2016</t>
  </si>
  <si>
    <t>106.800003052</t>
  </si>
  <si>
    <t>48.199996948</t>
  </si>
  <si>
    <t>97.27025</t>
  </si>
  <si>
    <t>20.396875</t>
  </si>
  <si>
    <t>17.396875</t>
  </si>
  <si>
    <t>сент. 2016</t>
  </si>
  <si>
    <t>Nov 2016</t>
  </si>
  <si>
    <t>дек. 2016</t>
  </si>
  <si>
    <t>март 2017</t>
  </si>
  <si>
    <t>Май 2017</t>
  </si>
  <si>
    <t>июнь 2017</t>
  </si>
  <si>
    <t>сент. 2017</t>
  </si>
  <si>
    <t>Nov 2017</t>
  </si>
  <si>
    <t>дек. 2017</t>
  </si>
  <si>
    <t>март 2018</t>
  </si>
  <si>
    <t>Май 2018</t>
  </si>
  <si>
    <t>июнь 2018</t>
  </si>
  <si>
    <t>сент. 2018</t>
  </si>
  <si>
    <t>899.125</t>
  </si>
  <si>
    <t>1.3</t>
  </si>
  <si>
    <t>Nov 2018</t>
  </si>
  <si>
    <t>1616.07025</t>
  </si>
  <si>
    <t>1518.8</t>
  </si>
  <si>
    <t>дек. 2018</t>
  </si>
  <si>
    <t>март 2019</t>
  </si>
  <si>
    <t>Май 2019</t>
  </si>
  <si>
    <t>51.70625</t>
  </si>
  <si>
    <t>июнь 2019</t>
  </si>
  <si>
    <t>сент. 2019</t>
  </si>
  <si>
    <t>Nov 2019</t>
  </si>
  <si>
    <t>дек. 2019</t>
  </si>
  <si>
    <t>март 2020</t>
  </si>
  <si>
    <t>Май 2020</t>
  </si>
  <si>
    <t>июнь 2020</t>
  </si>
  <si>
    <t>сент. 2020</t>
  </si>
  <si>
    <t>1831.525</t>
  </si>
  <si>
    <t>1110.4</t>
  </si>
  <si>
    <t>Nov 2020</t>
  </si>
  <si>
    <t>дек. 2020</t>
  </si>
  <si>
    <t>март 2021</t>
  </si>
  <si>
    <t>Май 2021</t>
  </si>
  <si>
    <t>июнь 2021</t>
  </si>
  <si>
    <t>сент. 2021</t>
  </si>
  <si>
    <t>Nov 2021</t>
  </si>
  <si>
    <t>1391.30625</t>
  </si>
  <si>
    <t>1339.6</t>
  </si>
  <si>
    <t>дек. 2021</t>
  </si>
  <si>
    <t>март 2022</t>
  </si>
  <si>
    <t>Май 2022</t>
  </si>
  <si>
    <t>9.84375</t>
  </si>
  <si>
    <t>июнь 2022</t>
  </si>
  <si>
    <t>Nov 2022</t>
  </si>
  <si>
    <t>дек. 2022</t>
  </si>
  <si>
    <t>Май 2023</t>
  </si>
  <si>
    <t>июнь 2023</t>
  </si>
  <si>
    <t>Nov 2023</t>
  </si>
  <si>
    <t>дек. 2023</t>
  </si>
  <si>
    <t>Май 2024</t>
  </si>
  <si>
    <t>июнь 2024</t>
  </si>
  <si>
    <t>Nov 2024</t>
  </si>
  <si>
    <t>дек. 2024</t>
  </si>
  <si>
    <t>Май 2025</t>
  </si>
  <si>
    <t>июнь 2025</t>
  </si>
  <si>
    <t>Nov 2025</t>
  </si>
  <si>
    <t>дек. 2025</t>
  </si>
  <si>
    <t>Май 2026</t>
  </si>
  <si>
    <t>июнь 2026</t>
  </si>
  <si>
    <t>Nov 2026</t>
  </si>
  <si>
    <t>259.84375</t>
  </si>
  <si>
    <t>дек. 2026</t>
  </si>
  <si>
    <t>июнь 2027</t>
  </si>
  <si>
    <t>дек. 2027</t>
  </si>
  <si>
    <t>июнь 2028</t>
  </si>
  <si>
    <t>дек. 2028</t>
  </si>
  <si>
    <t>июнь 2029</t>
  </si>
  <si>
    <t>дек. 2029</t>
  </si>
  <si>
    <t>июнь 2030</t>
  </si>
  <si>
    <t>дек. 2030</t>
  </si>
  <si>
    <t>июнь 2031</t>
  </si>
  <si>
    <t>дек. 2031</t>
  </si>
  <si>
    <t>июнь 2032</t>
  </si>
  <si>
    <t>дек. 2032</t>
  </si>
  <si>
    <t>июнь 2033</t>
  </si>
  <si>
    <t>дек. 2033</t>
  </si>
  <si>
    <t>июнь 2034</t>
  </si>
  <si>
    <t>дек. 2034</t>
  </si>
  <si>
    <t>июнь 2035</t>
  </si>
  <si>
    <t>дек. 2035</t>
  </si>
  <si>
    <t>июнь 2036</t>
  </si>
  <si>
    <t>дек. 2036</t>
  </si>
  <si>
    <t>июнь 2037</t>
  </si>
  <si>
    <t>дек. 2037</t>
  </si>
  <si>
    <t>июнь 2038</t>
  </si>
  <si>
    <t>дек. 2038</t>
  </si>
  <si>
    <t>июнь 2039</t>
  </si>
  <si>
    <t>дек. 2039</t>
  </si>
  <si>
    <t>июнь 2040</t>
  </si>
  <si>
    <t>дек. 2040</t>
  </si>
  <si>
    <t>июнь 2041</t>
  </si>
  <si>
    <t>дек. 2041</t>
  </si>
  <si>
    <t>749.896875</t>
  </si>
  <si>
    <t>732.5</t>
  </si>
  <si>
    <t>mar 2016</t>
  </si>
  <si>
    <t>may 2016</t>
  </si>
  <si>
    <t>june 2016</t>
  </si>
  <si>
    <t/>
  </si>
  <si>
    <t>6.00% Senior Notes due November 2018</t>
  </si>
  <si>
    <t>6.50% Senior Notes due September 2020</t>
  </si>
  <si>
    <t>6.25% Senior Notes due November 2021</t>
  </si>
  <si>
    <t>10.00% Senior Secured Second Lien Notes due March 2022</t>
  </si>
  <si>
    <t>7.875% Senior Notes due November 2026</t>
  </si>
  <si>
    <t>Total</t>
  </si>
  <si>
    <t>march</t>
  </si>
  <si>
    <t>nov</t>
  </si>
  <si>
    <t>may</t>
  </si>
  <si>
    <t>sep</t>
  </si>
  <si>
    <t>4.75% Senior Notes due December 2041</t>
  </si>
  <si>
    <t>dec</t>
  </si>
  <si>
    <t>june</t>
  </si>
  <si>
    <t>Last coupon</t>
  </si>
  <si>
    <t>Today</t>
  </si>
  <si>
    <t>Comp guaranted</t>
  </si>
  <si>
    <t>Secured</t>
  </si>
  <si>
    <t>Collateral</t>
  </si>
  <si>
    <t>1q 2014</t>
  </si>
  <si>
    <t>2q 2014</t>
  </si>
  <si>
    <t>3q 2014</t>
  </si>
  <si>
    <t>4q 2014</t>
  </si>
  <si>
    <t>1 q 2015</t>
  </si>
  <si>
    <t>2 q 2015</t>
  </si>
  <si>
    <t>3 q 2015</t>
  </si>
  <si>
    <t>4 q 2015</t>
  </si>
  <si>
    <t>Revenue</t>
  </si>
  <si>
    <t>US</t>
  </si>
  <si>
    <t>Powder River Basin Mining Operations</t>
  </si>
  <si>
    <t>Midwestern U.S. Mining Operations</t>
  </si>
  <si>
    <t>Western U.S. Mining Operations</t>
  </si>
  <si>
    <t>Australia</t>
  </si>
  <si>
    <t>Australian Metallurgical Mining Operations</t>
  </si>
  <si>
    <t>Australian Thermal Mining Operations</t>
  </si>
  <si>
    <t>Cost</t>
  </si>
  <si>
    <t>EBITDA</t>
  </si>
  <si>
    <t>  Total - U.S. (1)</t>
  </si>
  <si>
    <t>Powder River Basin (1)</t>
  </si>
  <si>
    <t>Midwestern U.S.</t>
  </si>
  <si>
    <t>Western U.S.</t>
  </si>
  <si>
    <t>  Total - Australia</t>
  </si>
  <si>
    <t>Australian Metallurgical</t>
  </si>
  <si>
    <t>Australian Thermal</t>
  </si>
  <si>
    <t>Tons Sold (In Millions)</t>
  </si>
  <si>
    <t>Trading and Brokerage Operations</t>
  </si>
  <si>
    <t>Revenues per Ton - Mining Operations</t>
  </si>
  <si>
    <r>
      <t>Operating Costs per Ton</t>
    </r>
    <r>
      <rPr>
        <sz val="10"/>
        <color indexed="8"/>
        <rFont val="Inherit"/>
      </rPr>
      <t xml:space="preserve"> average quartal</t>
    </r>
  </si>
  <si>
    <r>
      <t>Gross Margin per Ton</t>
    </r>
    <r>
      <rPr>
        <sz val="10"/>
        <color indexed="8"/>
        <rFont val="Inherit"/>
      </rPr>
      <t xml:space="preserve"> (2)</t>
    </r>
  </si>
  <si>
    <t>USD/AUD</t>
  </si>
  <si>
    <t>Benchmarka, $/тонна</t>
  </si>
  <si>
    <t>Contract Coking</t>
  </si>
  <si>
    <t>Spot hard coking coal</t>
  </si>
  <si>
    <t>Take or pay</t>
  </si>
  <si>
    <t>Spread</t>
  </si>
  <si>
    <t>ARA cif</t>
  </si>
  <si>
    <t>XW1</t>
  </si>
  <si>
    <t>1 q 2016</t>
  </si>
  <si>
    <t>2 q 2016</t>
  </si>
  <si>
    <t>3 q 2016</t>
  </si>
  <si>
    <t>4 q 2016</t>
  </si>
  <si>
    <t>SGA</t>
  </si>
  <si>
    <t>Interest Expense</t>
  </si>
  <si>
    <t>Hedge</t>
  </si>
  <si>
    <t>Capex</t>
  </si>
  <si>
    <t>LBA payment</t>
  </si>
  <si>
    <t>FCF</t>
  </si>
  <si>
    <t>Maturity</t>
  </si>
  <si>
    <t>Coupon payment</t>
  </si>
  <si>
    <t xml:space="preserve">Days from last </t>
  </si>
  <si>
    <t>Days before next</t>
  </si>
  <si>
    <t>Semiannual coupon</t>
  </si>
  <si>
    <t>first</t>
  </si>
  <si>
    <t>second</t>
  </si>
  <si>
    <t>Annuual coupon</t>
  </si>
  <si>
    <t>Price</t>
  </si>
  <si>
    <t>Price+</t>
  </si>
  <si>
    <t>НКД</t>
  </si>
  <si>
    <t>may 16</t>
  </si>
  <si>
    <t>nov 16</t>
  </si>
  <si>
    <t>may 17</t>
  </si>
  <si>
    <t>nov 17</t>
  </si>
  <si>
    <t>Semianual coupon</t>
  </si>
  <si>
    <t>march 16</t>
  </si>
  <si>
    <t>sep 16</t>
  </si>
  <si>
    <t>march 17</t>
  </si>
  <si>
    <t>sep 17</t>
  </si>
  <si>
    <t>june 16</t>
  </si>
  <si>
    <t>dec 16</t>
  </si>
  <si>
    <t>june 17</t>
  </si>
  <si>
    <t>dec 17</t>
  </si>
  <si>
    <t>Par value, mln $</t>
  </si>
  <si>
    <t>Market value, mln $</t>
  </si>
  <si>
    <t>Accrued Interest</t>
  </si>
  <si>
    <t>Market value, mln $+</t>
  </si>
  <si>
    <t>Accrued Interest, mln $</t>
  </si>
  <si>
    <t xml:space="preserve">Cash </t>
  </si>
  <si>
    <t>Value, mln $</t>
  </si>
  <si>
    <t>Price, %</t>
  </si>
  <si>
    <t>coupon</t>
  </si>
  <si>
    <t>Annual</t>
  </si>
  <si>
    <t>accrued int</t>
  </si>
  <si>
    <t>1 q 2017</t>
  </si>
  <si>
    <t>2 q 2017</t>
  </si>
  <si>
    <t>3 q 2017</t>
  </si>
  <si>
    <t>4 q 2017</t>
  </si>
  <si>
    <r>
      <t>Operating Costs per Ton</t>
    </r>
    <r>
      <rPr>
        <sz val="10"/>
        <color indexed="8"/>
        <rFont val="Inherit"/>
      </rPr>
      <t xml:space="preserve"> </t>
    </r>
  </si>
  <si>
    <t>  Total - U.S.</t>
  </si>
  <si>
    <t xml:space="preserve">Powder River Basin </t>
  </si>
  <si>
    <t>LV PCI</t>
  </si>
  <si>
    <t>$ millions</t>
  </si>
  <si>
    <t xml:space="preserve">Mining EBITDA </t>
  </si>
  <si>
    <t xml:space="preserve">  Total - U.S. </t>
  </si>
  <si>
    <t>Revenues per Ton - Mining Operations, $/t</t>
  </si>
  <si>
    <t>  Total - U.S., $/t</t>
  </si>
  <si>
    <t>Powder River Basin, $/t</t>
  </si>
  <si>
    <t>Midwestern U.S., $/t</t>
  </si>
  <si>
    <t>Western U.S., $/t</t>
  </si>
  <si>
    <t xml:space="preserve"> Peabody Australian Metallurgical, $/t</t>
  </si>
  <si>
    <t xml:space="preserve"> Peabody Australian Thermal, $/t</t>
  </si>
  <si>
    <t>Operating Costs, $/t</t>
  </si>
  <si>
    <t>Gross Margin, $/t</t>
  </si>
  <si>
    <t>Contract LV PCI, $/t</t>
  </si>
  <si>
    <t>86,99</t>
  </si>
  <si>
    <t>86,100</t>
  </si>
  <si>
    <t>86,101</t>
  </si>
  <si>
    <t>Spot premium hard coking coal</t>
  </si>
  <si>
    <t>NEWC</t>
  </si>
  <si>
    <t>Australian Newcastle  5500  Kkal $/t</t>
  </si>
  <si>
    <t xml:space="preserve">Spread </t>
  </si>
  <si>
    <t>$650 mln  , 6,5%</t>
  </si>
  <si>
    <t>$1515 mln , 6%</t>
  </si>
  <si>
    <t>$732 mln, 4,75%</t>
  </si>
  <si>
    <r>
      <rPr>
        <u/>
        <sz val="11"/>
        <color theme="1"/>
        <rFont val="Calibri"/>
        <family val="2"/>
        <charset val="204"/>
        <scheme val="minor"/>
      </rPr>
      <t>$</t>
    </r>
    <r>
      <rPr>
        <sz val="11"/>
        <color theme="1"/>
        <rFont val="Calibri"/>
        <family val="2"/>
        <charset val="204"/>
        <scheme val="minor"/>
      </rPr>
      <t>1000 mln , 10%</t>
    </r>
  </si>
  <si>
    <r>
      <rPr>
        <u/>
        <sz val="11"/>
        <color theme="1"/>
        <rFont val="Calibri"/>
        <family val="2"/>
        <charset val="204"/>
        <scheme val="minor"/>
      </rPr>
      <t>$</t>
    </r>
    <r>
      <rPr>
        <sz val="11"/>
        <color theme="1"/>
        <rFont val="Calibri"/>
        <family val="2"/>
        <charset val="204"/>
        <scheme val="minor"/>
      </rPr>
      <t>1339 mln , 6,25%</t>
    </r>
  </si>
  <si>
    <r>
      <rPr>
        <u/>
        <sz val="11"/>
        <color theme="1"/>
        <rFont val="Calibri"/>
        <family val="2"/>
        <charset val="204"/>
        <scheme val="minor"/>
      </rPr>
      <t>$</t>
    </r>
    <r>
      <rPr>
        <sz val="11"/>
        <color theme="1"/>
        <rFont val="Calibri"/>
        <family val="2"/>
        <charset val="204"/>
        <scheme val="minor"/>
      </rPr>
      <t>250 mln , 7,88</t>
    </r>
  </si>
  <si>
    <r>
      <rPr>
        <u/>
        <sz val="11"/>
        <color theme="1"/>
        <rFont val="Calibri"/>
        <family val="2"/>
        <charset val="204"/>
        <scheme val="minor"/>
      </rPr>
      <t>$</t>
    </r>
    <r>
      <rPr>
        <sz val="11"/>
        <color theme="1"/>
        <rFont val="Calibri"/>
        <family val="2"/>
        <charset val="204"/>
        <scheme val="minor"/>
      </rPr>
      <t xml:space="preserve">1200 mln,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</si>
</sst>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/m/yyyy;@"/>
    <numFmt numFmtId="165" formatCode="\$#,##0.00;[Red]\(\$#,##0.00\)"/>
    <numFmt numFmtId="166" formatCode="#,##0.00;[Red]\(#,##0.00\)"/>
    <numFmt numFmtId="167" formatCode="0.0"/>
    <numFmt numFmtId="168" formatCode="d/m/yy;@"/>
    <numFmt numFmtId="169" formatCode="0.0%"/>
    <numFmt numFmtId="170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9"/>
      <color indexed="0"/>
      <name val="Courier New"/>
      <family val="3"/>
      <charset val="204"/>
    </font>
    <font>
      <b/>
      <sz val="9"/>
      <color indexed="0"/>
      <name val="Courier New"/>
      <family val="3"/>
      <charset val="204"/>
    </font>
    <font>
      <sz val="10"/>
      <color rgb="FF000000"/>
      <name val="Inherit"/>
    </font>
    <font>
      <u/>
      <sz val="10"/>
      <color rgb="FF000000"/>
      <name val="Inherit"/>
    </font>
    <font>
      <sz val="10"/>
      <color rgb="FF000000"/>
      <name val="Arial"/>
      <family val="2"/>
      <charset val="204"/>
    </font>
    <font>
      <sz val="10"/>
      <color indexed="8"/>
      <name val="Inherit"/>
    </font>
    <font>
      <u/>
      <sz val="11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</cellStyleXfs>
  <cellXfs count="165">
    <xf numFmtId="0" fontId="0" fillId="0" borderId="0" xfId="0"/>
    <xf numFmtId="0" fontId="18" fillId="33" borderId="0" xfId="42" applyNumberFormat="1" applyFont="1" applyFill="1" applyBorder="1" applyAlignment="1" applyProtection="1"/>
    <xf numFmtId="164" fontId="0" fillId="0" borderId="0" xfId="0" applyNumberFormat="1"/>
    <xf numFmtId="0" fontId="19" fillId="0" borderId="0" xfId="0" applyFont="1" applyFill="1" applyAlignment="1" applyProtection="1">
      <alignment horizontal="right"/>
    </xf>
    <xf numFmtId="0" fontId="19" fillId="0" borderId="10" xfId="0" applyFont="1" applyFill="1" applyBorder="1" applyAlignment="1" applyProtection="1"/>
    <xf numFmtId="9" fontId="19" fillId="0" borderId="10" xfId="0" applyNumberFormat="1" applyFont="1" applyFill="1" applyBorder="1" applyAlignment="1" applyProtection="1"/>
    <xf numFmtId="10" fontId="19" fillId="0" borderId="10" xfId="0" applyNumberFormat="1" applyFont="1" applyFill="1" applyBorder="1" applyAlignment="1" applyProtection="1"/>
    <xf numFmtId="0" fontId="20" fillId="0" borderId="10" xfId="0" applyFont="1" applyFill="1" applyBorder="1" applyAlignment="1" applyProtection="1"/>
    <xf numFmtId="166" fontId="19" fillId="0" borderId="11" xfId="0" applyNumberFormat="1" applyFont="1" applyFill="1" applyBorder="1" applyAlignment="1" applyProtection="1">
      <alignment horizontal="right"/>
    </xf>
    <xf numFmtId="165" fontId="19" fillId="0" borderId="11" xfId="0" applyNumberFormat="1" applyFont="1" applyFill="1" applyBorder="1" applyAlignment="1" applyProtection="1">
      <alignment horizontal="right"/>
    </xf>
    <xf numFmtId="14" fontId="19" fillId="0" borderId="10" xfId="0" applyNumberFormat="1" applyFont="1" applyFill="1" applyBorder="1" applyAlignment="1" applyProtection="1"/>
    <xf numFmtId="167" fontId="0" fillId="0" borderId="0" xfId="0" applyNumberFormat="1"/>
    <xf numFmtId="168" fontId="0" fillId="0" borderId="0" xfId="0" applyNumberFormat="1"/>
    <xf numFmtId="1" fontId="19" fillId="0" borderId="10" xfId="0" applyNumberFormat="1" applyFont="1" applyFill="1" applyBorder="1" applyAlignment="1" applyProtection="1"/>
    <xf numFmtId="169" fontId="19" fillId="0" borderId="10" xfId="0" applyNumberFormat="1" applyFont="1" applyFill="1" applyBorder="1" applyAlignment="1" applyProtection="1"/>
    <xf numFmtId="0" fontId="19" fillId="0" borderId="11" xfId="0" applyFont="1" applyFill="1" applyBorder="1" applyAlignment="1" applyProtection="1"/>
    <xf numFmtId="0" fontId="20" fillId="0" borderId="11" xfId="0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right"/>
    </xf>
    <xf numFmtId="0" fontId="0" fillId="34" borderId="10" xfId="0" applyFill="1" applyBorder="1" applyAlignment="1"/>
    <xf numFmtId="0" fontId="0" fillId="0" borderId="0" xfId="0" applyAlignment="1"/>
    <xf numFmtId="0" fontId="0" fillId="35" borderId="10" xfId="0" applyFill="1" applyBorder="1" applyAlignment="1"/>
    <xf numFmtId="0" fontId="21" fillId="0" borderId="10" xfId="0" applyFont="1" applyBorder="1" applyAlignment="1">
      <alignment vertical="center" wrapText="1"/>
    </xf>
    <xf numFmtId="167" fontId="22" fillId="0" borderId="10" xfId="0" applyNumberFormat="1" applyFont="1" applyBorder="1" applyAlignment="1">
      <alignment vertical="center" wrapText="1"/>
    </xf>
    <xf numFmtId="167" fontId="23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167" fontId="23" fillId="0" borderId="0" xfId="0" applyNumberFormat="1" applyFont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167" fontId="23" fillId="35" borderId="10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vertical="center" wrapText="1"/>
    </xf>
    <xf numFmtId="167" fontId="23" fillId="34" borderId="10" xfId="0" applyNumberFormat="1" applyFont="1" applyFill="1" applyBorder="1" applyAlignment="1">
      <alignment vertical="center" wrapText="1"/>
    </xf>
    <xf numFmtId="2" fontId="23" fillId="34" borderId="10" xfId="0" applyNumberFormat="1" applyFont="1" applyFill="1" applyBorder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2" fontId="23" fillId="35" borderId="10" xfId="0" applyNumberFormat="1" applyFont="1" applyFill="1" applyBorder="1" applyAlignment="1">
      <alignment vertical="center" wrapText="1"/>
    </xf>
    <xf numFmtId="2" fontId="23" fillId="0" borderId="10" xfId="0" applyNumberFormat="1" applyFont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2" fontId="23" fillId="0" borderId="12" xfId="0" applyNumberFormat="1" applyFont="1" applyBorder="1" applyAlignment="1">
      <alignment vertical="center" wrapText="1"/>
    </xf>
    <xf numFmtId="2" fontId="21" fillId="35" borderId="10" xfId="0" applyNumberFormat="1" applyFont="1" applyFill="1" applyBorder="1" applyAlignment="1">
      <alignment vertical="center" wrapText="1"/>
    </xf>
    <xf numFmtId="0" fontId="0" fillId="0" borderId="10" xfId="0" applyBorder="1" applyAlignment="1"/>
    <xf numFmtId="0" fontId="0" fillId="35" borderId="13" xfId="0" applyFill="1" applyBorder="1" applyAlignment="1"/>
    <xf numFmtId="0" fontId="0" fillId="0" borderId="13" xfId="0" applyFill="1" applyBorder="1" applyAlignment="1"/>
    <xf numFmtId="2" fontId="0" fillId="0" borderId="0" xfId="0" applyNumberFormat="1" applyAlignment="1"/>
    <xf numFmtId="2" fontId="0" fillId="0" borderId="10" xfId="0" applyNumberFormat="1" applyBorder="1" applyAlignment="1"/>
    <xf numFmtId="0" fontId="0" fillId="36" borderId="10" xfId="0" applyFill="1" applyBorder="1" applyAlignment="1"/>
    <xf numFmtId="2" fontId="23" fillId="0" borderId="0" xfId="0" applyNumberFormat="1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2" fontId="23" fillId="0" borderId="14" xfId="0" applyNumberFormat="1" applyFont="1" applyBorder="1" applyAlignment="1">
      <alignment vertical="center" wrapText="1"/>
    </xf>
    <xf numFmtId="3" fontId="0" fillId="34" borderId="10" xfId="0" applyNumberFormat="1" applyFill="1" applyBorder="1" applyAlignment="1"/>
    <xf numFmtId="3" fontId="0" fillId="34" borderId="10" xfId="0" applyNumberFormat="1" applyFont="1" applyFill="1" applyBorder="1" applyAlignment="1"/>
    <xf numFmtId="3" fontId="0" fillId="35" borderId="10" xfId="0" applyNumberFormat="1" applyFill="1" applyBorder="1" applyAlignment="1"/>
    <xf numFmtId="3" fontId="0" fillId="35" borderId="10" xfId="0" applyNumberFormat="1" applyFont="1" applyFill="1" applyBorder="1" applyAlignment="1"/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3" fontId="23" fillId="35" borderId="10" xfId="0" applyNumberFormat="1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vertical="center" wrapText="1"/>
    </xf>
    <xf numFmtId="3" fontId="0" fillId="34" borderId="10" xfId="0" applyNumberFormat="1" applyFill="1" applyBorder="1"/>
    <xf numFmtId="170" fontId="22" fillId="34" borderId="10" xfId="0" applyNumberFormat="1" applyFont="1" applyFill="1" applyBorder="1" applyAlignment="1">
      <alignment vertical="center" wrapText="1"/>
    </xf>
    <xf numFmtId="170" fontId="0" fillId="35" borderId="10" xfId="0" applyNumberFormat="1" applyFill="1" applyBorder="1" applyAlignment="1"/>
    <xf numFmtId="170" fontId="23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vertical="center" wrapText="1"/>
    </xf>
    <xf numFmtId="170" fontId="23" fillId="35" borderId="10" xfId="0" applyNumberFormat="1" applyFont="1" applyFill="1" applyBorder="1" applyAlignment="1">
      <alignment vertical="center" wrapText="1"/>
    </xf>
    <xf numFmtId="170" fontId="21" fillId="0" borderId="12" xfId="0" applyNumberFormat="1" applyFont="1" applyBorder="1" applyAlignment="1">
      <alignment vertical="center" wrapText="1"/>
    </xf>
    <xf numFmtId="170" fontId="21" fillId="0" borderId="0" xfId="0" applyNumberFormat="1" applyFont="1" applyAlignment="1">
      <alignment vertical="center" wrapText="1"/>
    </xf>
    <xf numFmtId="170" fontId="21" fillId="35" borderId="10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 applyProtection="1"/>
    <xf numFmtId="0" fontId="19" fillId="0" borderId="15" xfId="0" applyFont="1" applyFill="1" applyBorder="1" applyAlignment="1" applyProtection="1"/>
    <xf numFmtId="166" fontId="19" fillId="0" borderId="15" xfId="0" applyNumberFormat="1" applyFont="1" applyFill="1" applyBorder="1" applyAlignment="1" applyProtection="1">
      <alignment horizontal="right"/>
    </xf>
    <xf numFmtId="0" fontId="19" fillId="0" borderId="16" xfId="0" applyFont="1" applyFill="1" applyBorder="1" applyAlignment="1" applyProtection="1">
      <alignment horizontal="right"/>
    </xf>
    <xf numFmtId="0" fontId="19" fillId="0" borderId="17" xfId="0" applyFont="1" applyFill="1" applyBorder="1" applyAlignment="1" applyProtection="1"/>
    <xf numFmtId="0" fontId="19" fillId="0" borderId="17" xfId="0" applyFont="1" applyFill="1" applyBorder="1" applyAlignment="1" applyProtection="1">
      <alignment horizontal="right"/>
    </xf>
    <xf numFmtId="0" fontId="19" fillId="0" borderId="20" xfId="0" applyFont="1" applyFill="1" applyBorder="1" applyAlignment="1" applyProtection="1"/>
    <xf numFmtId="0" fontId="20" fillId="0" borderId="22" xfId="0" applyFont="1" applyFill="1" applyBorder="1" applyAlignment="1" applyProtection="1"/>
    <xf numFmtId="0" fontId="19" fillId="0" borderId="23" xfId="0" applyFont="1" applyFill="1" applyBorder="1" applyAlignment="1" applyProtection="1"/>
    <xf numFmtId="0" fontId="19" fillId="0" borderId="24" xfId="0" applyFont="1" applyFill="1" applyBorder="1" applyAlignment="1" applyProtection="1"/>
    <xf numFmtId="0" fontId="19" fillId="0" borderId="26" xfId="0" applyFont="1" applyFill="1" applyBorder="1" applyAlignment="1" applyProtection="1"/>
    <xf numFmtId="14" fontId="19" fillId="0" borderId="14" xfId="0" applyNumberFormat="1" applyFont="1" applyFill="1" applyBorder="1" applyAlignment="1" applyProtection="1"/>
    <xf numFmtId="1" fontId="19" fillId="0" borderId="14" xfId="0" applyNumberFormat="1" applyFont="1" applyFill="1" applyBorder="1" applyAlignment="1" applyProtection="1"/>
    <xf numFmtId="169" fontId="19" fillId="0" borderId="14" xfId="0" applyNumberFormat="1" applyFont="1" applyFill="1" applyBorder="1" applyAlignment="1" applyProtection="1"/>
    <xf numFmtId="9" fontId="19" fillId="0" borderId="14" xfId="0" applyNumberFormat="1" applyFont="1" applyFill="1" applyBorder="1" applyAlignment="1" applyProtection="1"/>
    <xf numFmtId="10" fontId="19" fillId="0" borderId="14" xfId="0" applyNumberFormat="1" applyFont="1" applyFill="1" applyBorder="1" applyAlignment="1" applyProtection="1"/>
    <xf numFmtId="10" fontId="19" fillId="0" borderId="15" xfId="0" applyNumberFormat="1" applyFont="1" applyFill="1" applyBorder="1" applyAlignment="1" applyProtection="1"/>
    <xf numFmtId="0" fontId="19" fillId="0" borderId="22" xfId="0" applyFont="1" applyFill="1" applyBorder="1" applyAlignment="1" applyProtection="1">
      <alignment horizontal="right"/>
    </xf>
    <xf numFmtId="0" fontId="19" fillId="0" borderId="23" xfId="0" applyFont="1" applyFill="1" applyBorder="1" applyAlignment="1" applyProtection="1">
      <alignment horizontal="right"/>
    </xf>
    <xf numFmtId="0" fontId="21" fillId="36" borderId="10" xfId="0" applyFont="1" applyFill="1" applyBorder="1" applyAlignment="1">
      <alignment vertical="center" wrapText="1"/>
    </xf>
    <xf numFmtId="2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/>
    <xf numFmtId="3" fontId="19" fillId="0" borderId="15" xfId="0" applyNumberFormat="1" applyFont="1" applyFill="1" applyBorder="1" applyAlignment="1" applyProtection="1">
      <alignment horizontal="right"/>
    </xf>
    <xf numFmtId="3" fontId="19" fillId="0" borderId="11" xfId="0" applyNumberFormat="1" applyFont="1" applyFill="1" applyBorder="1" applyAlignment="1" applyProtection="1">
      <alignment horizontal="right"/>
    </xf>
    <xf numFmtId="3" fontId="19" fillId="0" borderId="24" xfId="0" applyNumberFormat="1" applyFont="1" applyFill="1" applyBorder="1" applyAlignment="1" applyProtection="1">
      <alignment horizontal="right"/>
    </xf>
    <xf numFmtId="0" fontId="19" fillId="0" borderId="13" xfId="0" applyFont="1" applyFill="1" applyBorder="1" applyAlignment="1" applyProtection="1"/>
    <xf numFmtId="0" fontId="0" fillId="0" borderId="28" xfId="0" applyBorder="1"/>
    <xf numFmtId="0" fontId="0" fillId="0" borderId="29" xfId="0" applyBorder="1"/>
    <xf numFmtId="0" fontId="19" fillId="0" borderId="30" xfId="0" applyFont="1" applyFill="1" applyBorder="1" applyAlignment="1" applyProtection="1"/>
    <xf numFmtId="3" fontId="19" fillId="0" borderId="0" xfId="0" applyNumberFormat="1" applyFont="1" applyFill="1" applyBorder="1" applyAlignment="1" applyProtection="1">
      <alignment horizontal="right"/>
    </xf>
    <xf numFmtId="167" fontId="0" fillId="0" borderId="27" xfId="0" applyNumberFormat="1" applyBorder="1"/>
    <xf numFmtId="167" fontId="0" fillId="0" borderId="21" xfId="0" applyNumberFormat="1" applyBorder="1"/>
    <xf numFmtId="167" fontId="19" fillId="0" borderId="25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right"/>
    </xf>
    <xf numFmtId="3" fontId="23" fillId="0" borderId="0" xfId="0" applyNumberFormat="1" applyFont="1" applyBorder="1" applyAlignment="1">
      <alignment vertical="center" wrapText="1"/>
    </xf>
    <xf numFmtId="0" fontId="22" fillId="37" borderId="10" xfId="0" applyFont="1" applyFill="1" applyBorder="1" applyAlignment="1">
      <alignment vertical="center" wrapText="1"/>
    </xf>
    <xf numFmtId="170" fontId="23" fillId="37" borderId="10" xfId="0" applyNumberFormat="1" applyFont="1" applyFill="1" applyBorder="1" applyAlignment="1">
      <alignment vertical="center" wrapText="1"/>
    </xf>
    <xf numFmtId="2" fontId="23" fillId="37" borderId="10" xfId="0" applyNumberFormat="1" applyFont="1" applyFill="1" applyBorder="1" applyAlignment="1">
      <alignment vertical="center" wrapText="1"/>
    </xf>
    <xf numFmtId="0" fontId="19" fillId="0" borderId="19" xfId="0" applyFont="1" applyFill="1" applyBorder="1" applyAlignment="1" applyProtection="1">
      <alignment horizontal="right"/>
    </xf>
    <xf numFmtId="0" fontId="19" fillId="0" borderId="31" xfId="0" applyFont="1" applyFill="1" applyBorder="1" applyAlignment="1" applyProtection="1">
      <alignment horizontal="right"/>
    </xf>
    <xf numFmtId="166" fontId="19" fillId="0" borderId="14" xfId="0" applyNumberFormat="1" applyFont="1" applyFill="1" applyBorder="1" applyAlignment="1" applyProtection="1">
      <alignment horizontal="left"/>
    </xf>
    <xf numFmtId="166" fontId="19" fillId="0" borderId="10" xfId="0" applyNumberFormat="1" applyFont="1" applyFill="1" applyBorder="1" applyAlignment="1" applyProtection="1">
      <alignment horizontal="left"/>
    </xf>
    <xf numFmtId="3" fontId="19" fillId="0" borderId="10" xfId="0" applyNumberFormat="1" applyFont="1" applyFill="1" applyBorder="1" applyAlignment="1" applyProtection="1">
      <alignment horizontal="right"/>
    </xf>
    <xf numFmtId="14" fontId="19" fillId="0" borderId="32" xfId="0" applyNumberFormat="1" applyFont="1" applyFill="1" applyBorder="1" applyAlignment="1" applyProtection="1"/>
    <xf numFmtId="14" fontId="19" fillId="0" borderId="33" xfId="0" applyNumberFormat="1" applyFont="1" applyFill="1" applyBorder="1" applyAlignment="1" applyProtection="1"/>
    <xf numFmtId="0" fontId="19" fillId="0" borderId="31" xfId="0" applyFont="1" applyFill="1" applyBorder="1" applyAlignment="1" applyProtection="1"/>
    <xf numFmtId="0" fontId="0" fillId="0" borderId="17" xfId="0" applyBorder="1"/>
    <xf numFmtId="0" fontId="19" fillId="0" borderId="34" xfId="0" applyFont="1" applyFill="1" applyBorder="1" applyAlignment="1" applyProtection="1">
      <alignment horizontal="right"/>
    </xf>
    <xf numFmtId="9" fontId="19" fillId="0" borderId="21" xfId="0" applyNumberFormat="1" applyFont="1" applyFill="1" applyBorder="1" applyAlignment="1" applyProtection="1"/>
    <xf numFmtId="10" fontId="19" fillId="0" borderId="21" xfId="0" applyNumberFormat="1" applyFont="1" applyFill="1" applyBorder="1" applyAlignment="1" applyProtection="1"/>
    <xf numFmtId="3" fontId="19" fillId="0" borderId="23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left"/>
    </xf>
    <xf numFmtId="0" fontId="0" fillId="0" borderId="23" xfId="0" applyBorder="1"/>
    <xf numFmtId="0" fontId="0" fillId="0" borderId="25" xfId="0" applyBorder="1"/>
    <xf numFmtId="3" fontId="19" fillId="0" borderId="14" xfId="0" applyNumberFormat="1" applyFont="1" applyFill="1" applyBorder="1" applyAlignment="1" applyProtection="1">
      <alignment horizontal="right"/>
    </xf>
    <xf numFmtId="9" fontId="19" fillId="0" borderId="27" xfId="0" applyNumberFormat="1" applyFont="1" applyFill="1" applyBorder="1" applyAlignment="1" applyProtection="1"/>
    <xf numFmtId="0" fontId="19" fillId="0" borderId="25" xfId="0" applyFont="1" applyFill="1" applyBorder="1" applyAlignment="1" applyProtection="1">
      <alignment horizontal="right"/>
    </xf>
    <xf numFmtId="0" fontId="19" fillId="0" borderId="23" xfId="0" applyFont="1" applyFill="1" applyBorder="1" applyAlignment="1" applyProtection="1">
      <alignment horizontal="left"/>
    </xf>
    <xf numFmtId="167" fontId="0" fillId="36" borderId="10" xfId="0" applyNumberFormat="1" applyFill="1" applyBorder="1" applyAlignment="1"/>
    <xf numFmtId="167" fontId="21" fillId="35" borderId="10" xfId="0" applyNumberFormat="1" applyFont="1" applyFill="1" applyBorder="1" applyAlignment="1">
      <alignment vertical="center" wrapText="1"/>
    </xf>
    <xf numFmtId="167" fontId="21" fillId="0" borderId="10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3" fontId="0" fillId="0" borderId="0" xfId="0" applyNumberFormat="1" applyAlignment="1"/>
    <xf numFmtId="0" fontId="0" fillId="36" borderId="10" xfId="0" applyNumberFormat="1" applyFill="1" applyBorder="1" applyAlignment="1"/>
    <xf numFmtId="167" fontId="22" fillId="34" borderId="10" xfId="0" applyNumberFormat="1" applyFont="1" applyFill="1" applyBorder="1" applyAlignment="1">
      <alignment vertical="center" wrapText="1"/>
    </xf>
    <xf numFmtId="170" fontId="22" fillId="37" borderId="10" xfId="0" applyNumberFormat="1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2" fontId="22" fillId="34" borderId="10" xfId="0" applyNumberFormat="1" applyFont="1" applyFill="1" applyBorder="1" applyAlignment="1">
      <alignment vertical="center" wrapText="1"/>
    </xf>
    <xf numFmtId="167" fontId="22" fillId="34" borderId="10" xfId="0" applyNumberFormat="1" applyFont="1" applyFill="1" applyBorder="1" applyAlignment="1">
      <alignment vertical="center" wrapText="1"/>
    </xf>
    <xf numFmtId="170" fontId="22" fillId="37" borderId="10" xfId="0" applyNumberFormat="1" applyFont="1" applyFill="1" applyBorder="1" applyAlignment="1">
      <alignment vertical="center" wrapText="1"/>
    </xf>
    <xf numFmtId="1" fontId="23" fillId="0" borderId="10" xfId="0" applyNumberFormat="1" applyFont="1" applyBorder="1" applyAlignment="1">
      <alignment vertical="center" wrapText="1"/>
    </xf>
    <xf numFmtId="1" fontId="21" fillId="0" borderId="10" xfId="0" applyNumberFormat="1" applyFont="1" applyBorder="1" applyAlignment="1">
      <alignment vertical="center" wrapText="1"/>
    </xf>
    <xf numFmtId="0" fontId="0" fillId="35" borderId="11" xfId="0" applyFill="1" applyBorder="1" applyAlignment="1"/>
    <xf numFmtId="0" fontId="0" fillId="0" borderId="11" xfId="0" applyBorder="1" applyAlignment="1"/>
    <xf numFmtId="0" fontId="0" fillId="0" borderId="10" xfId="0" applyFill="1" applyBorder="1" applyAlignment="1"/>
    <xf numFmtId="1" fontId="0" fillId="0" borderId="10" xfId="0" applyNumberFormat="1" applyBorder="1" applyAlignment="1"/>
    <xf numFmtId="1" fontId="0" fillId="0" borderId="11" xfId="0" applyNumberFormat="1" applyBorder="1" applyAlignment="1"/>
    <xf numFmtId="1" fontId="0" fillId="0" borderId="10" xfId="0" applyNumberFormat="1" applyFill="1" applyBorder="1" applyAlignment="1"/>
    <xf numFmtId="1" fontId="0" fillId="0" borderId="0" xfId="0" applyNumberFormat="1" applyAlignment="1"/>
    <xf numFmtId="1" fontId="0" fillId="0" borderId="0" xfId="0" applyNumberFormat="1" applyBorder="1" applyAlignment="1"/>
    <xf numFmtId="1" fontId="0" fillId="0" borderId="0" xfId="0" applyNumberFormat="1" applyFill="1" applyBorder="1" applyAlignment="1"/>
    <xf numFmtId="170" fontId="22" fillId="37" borderId="11" xfId="0" applyNumberFormat="1" applyFont="1" applyFill="1" applyBorder="1" applyAlignment="1">
      <alignment vertical="center" wrapText="1"/>
    </xf>
    <xf numFmtId="170" fontId="22" fillId="37" borderId="35" xfId="0" applyNumberFormat="1" applyFont="1" applyFill="1" applyBorder="1" applyAlignment="1">
      <alignment vertical="center" wrapText="1"/>
    </xf>
    <xf numFmtId="170" fontId="22" fillId="37" borderId="33" xfId="0" applyNumberFormat="1" applyFont="1" applyFill="1" applyBorder="1" applyAlignment="1">
      <alignment vertical="center" wrapText="1"/>
    </xf>
    <xf numFmtId="2" fontId="22" fillId="34" borderId="11" xfId="0" applyNumberFormat="1" applyFont="1" applyFill="1" applyBorder="1" applyAlignment="1">
      <alignment vertical="center" wrapText="1"/>
    </xf>
    <xf numFmtId="2" fontId="22" fillId="34" borderId="35" xfId="0" applyNumberFormat="1" applyFont="1" applyFill="1" applyBorder="1" applyAlignment="1">
      <alignment vertical="center" wrapText="1"/>
    </xf>
    <xf numFmtId="2" fontId="22" fillId="34" borderId="33" xfId="0" applyNumberFormat="1" applyFont="1" applyFill="1" applyBorder="1" applyAlignment="1">
      <alignment vertical="center" wrapText="1"/>
    </xf>
    <xf numFmtId="167" fontId="22" fillId="34" borderId="11" xfId="0" applyNumberFormat="1" applyFont="1" applyFill="1" applyBorder="1" applyAlignment="1">
      <alignment vertical="center" wrapText="1"/>
    </xf>
    <xf numFmtId="167" fontId="22" fillId="34" borderId="35" xfId="0" applyNumberFormat="1" applyFont="1" applyFill="1" applyBorder="1" applyAlignment="1">
      <alignment vertical="center" wrapText="1"/>
    </xf>
    <xf numFmtId="167" fontId="22" fillId="34" borderId="33" xfId="0" applyNumberFormat="1" applyFont="1" applyFill="1" applyBorder="1" applyAlignment="1">
      <alignment vertical="center" wrapText="1"/>
    </xf>
    <xf numFmtId="1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lp_column_header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Coupon</a:t>
            </a:r>
            <a:r>
              <a:rPr lang="en-US" baseline="0"/>
              <a:t> payment, mln $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16169862673439E-2"/>
          <c:y val="7.9774314245997957E-2"/>
          <c:w val="0.90480159232532953"/>
          <c:h val="0.64172154599200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Лист1!$AJ$1</c:f>
              <c:strCache>
                <c:ptCount val="1"/>
                <c:pt idx="0">
                  <c:v>$1000 mln , 10%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Лист1!$AJ$2:$AJ$25</c:f>
              <c:numCache>
                <c:formatCode>0</c:formatCode>
                <c:ptCount val="24"/>
                <c:pt idx="2">
                  <c:v>50</c:v>
                </c:pt>
                <c:pt idx="8">
                  <c:v>50</c:v>
                </c:pt>
                <c:pt idx="14">
                  <c:v>50</c:v>
                </c:pt>
                <c:pt idx="2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7-4F9D-9364-95E80EBA326C}"/>
            </c:ext>
          </c:extLst>
        </c:ser>
        <c:ser>
          <c:idx val="2"/>
          <c:order val="1"/>
          <c:tx>
            <c:strRef>
              <c:f>Лист1!$AL$1</c:f>
              <c:strCache>
                <c:ptCount val="1"/>
                <c:pt idx="0">
                  <c:v>$250 mln , 7,88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Лист1!$AL$2:$AL$25</c:f>
              <c:numCache>
                <c:formatCode>0</c:formatCode>
                <c:ptCount val="24"/>
                <c:pt idx="4">
                  <c:v>9.84375</c:v>
                </c:pt>
                <c:pt idx="10">
                  <c:v>9.84375</c:v>
                </c:pt>
                <c:pt idx="16">
                  <c:v>9.84375</c:v>
                </c:pt>
                <c:pt idx="22">
                  <c:v>9.84375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7-4F9D-9364-95E80EBA326C}"/>
            </c:ext>
          </c:extLst>
        </c:ser>
        <c:ser>
          <c:idx val="0"/>
          <c:order val="2"/>
          <c:tx>
            <c:strRef>
              <c:f>Лист1!$AG$1</c:f>
              <c:strCache>
                <c:ptCount val="1"/>
                <c:pt idx="0">
                  <c:v>$650 mln  , 6,5%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Лист1!$AF$2:$AF$25</c:f>
              <c:numCache>
                <c:formatCode>d/m/yy;@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Лист1!$AG$2:$AG$25</c:f>
              <c:numCache>
                <c:formatCode>0</c:formatCode>
                <c:ptCount val="24"/>
                <c:pt idx="2">
                  <c:v>21.125</c:v>
                </c:pt>
                <c:pt idx="8">
                  <c:v>21.125</c:v>
                </c:pt>
                <c:pt idx="14">
                  <c:v>21.125</c:v>
                </c:pt>
                <c:pt idx="20">
                  <c:v>21.125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7-4F9D-9364-95E80EBA326C}"/>
            </c:ext>
          </c:extLst>
        </c:ser>
        <c:ser>
          <c:idx val="4"/>
          <c:order val="3"/>
          <c:tx>
            <c:strRef>
              <c:f>Лист1!$AH$1</c:f>
              <c:strCache>
                <c:ptCount val="1"/>
                <c:pt idx="0">
                  <c:v>$1515 mln , 6%</c:v>
                </c:pt>
              </c:strCache>
            </c:strRef>
          </c:tx>
          <c:invertIfNegative val="0"/>
          <c:val>
            <c:numRef>
              <c:f>Лист1!$AH$2:$AH$25</c:f>
              <c:numCache>
                <c:formatCode>0</c:formatCode>
                <c:ptCount val="24"/>
                <c:pt idx="4">
                  <c:v>45.46698</c:v>
                </c:pt>
                <c:pt idx="10">
                  <c:v>45.46698</c:v>
                </c:pt>
                <c:pt idx="16">
                  <c:v>45.46698</c:v>
                </c:pt>
                <c:pt idx="22">
                  <c:v>45.46698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E15-9AB7-F083643DD14C}"/>
            </c:ext>
          </c:extLst>
        </c:ser>
        <c:ser>
          <c:idx val="5"/>
          <c:order val="4"/>
          <c:tx>
            <c:strRef>
              <c:f>Лист1!$AI$1</c:f>
              <c:strCache>
                <c:ptCount val="1"/>
                <c:pt idx="0">
                  <c:v>$732 mln, 4,75%</c:v>
                </c:pt>
              </c:strCache>
            </c:strRef>
          </c:tx>
          <c:invertIfNegative val="0"/>
          <c:val>
            <c:numRef>
              <c:f>Лист1!$AI$2:$AI$25</c:f>
              <c:numCache>
                <c:formatCode>0</c:formatCode>
                <c:ptCount val="24"/>
                <c:pt idx="5">
                  <c:v>17.396875000000001</c:v>
                </c:pt>
                <c:pt idx="11">
                  <c:v>17.396875000000001</c:v>
                </c:pt>
                <c:pt idx="17">
                  <c:v>17.396875000000001</c:v>
                </c:pt>
                <c:pt idx="23">
                  <c:v>17.396875000000001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F-4E15-9AB7-F083643DD14C}"/>
            </c:ext>
          </c:extLst>
        </c:ser>
        <c:ser>
          <c:idx val="6"/>
          <c:order val="5"/>
          <c:tx>
            <c:strRef>
              <c:f>Лист1!$AK$1</c:f>
              <c:strCache>
                <c:ptCount val="1"/>
                <c:pt idx="0">
                  <c:v>$1339 mln , 6,25%</c:v>
                </c:pt>
              </c:strCache>
            </c:strRef>
          </c:tx>
          <c:invertIfNegative val="0"/>
          <c:val>
            <c:numRef>
              <c:f>Лист1!$AK$2:$AK$25</c:f>
              <c:numCache>
                <c:formatCode>0</c:formatCode>
                <c:ptCount val="24"/>
                <c:pt idx="4">
                  <c:v>41.857500000000002</c:v>
                </c:pt>
                <c:pt idx="10">
                  <c:v>41.857500000000002</c:v>
                </c:pt>
                <c:pt idx="16">
                  <c:v>41.857500000000002</c:v>
                </c:pt>
                <c:pt idx="22">
                  <c:v>41.857500000000002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F-4E15-9AB7-F083643D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6886144"/>
        <c:axId val="136887680"/>
      </c:barChart>
      <c:catAx>
        <c:axId val="1368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887680"/>
        <c:crossesAt val="0"/>
        <c:auto val="1"/>
        <c:lblAlgn val="ctr"/>
        <c:lblOffset val="100"/>
        <c:noMultiLvlLbl val="1"/>
      </c:catAx>
      <c:valAx>
        <c:axId val="13688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Coupon payment,</a:t>
                </a:r>
                <a:r>
                  <a:rPr lang="en-US" baseline="0"/>
                  <a:t> mln $</a:t>
                </a:r>
                <a:endParaRPr lang="ru-RU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8861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Coupon</a:t>
            </a:r>
            <a:r>
              <a:rPr lang="en-US" sz="1400" baseline="0"/>
              <a:t> payment during 2016 , $ millions </a:t>
            </a:r>
            <a:endParaRPr lang="ru-RU" sz="1400"/>
          </a:p>
        </c:rich>
      </c:tx>
      <c:layout>
        <c:manualLayout>
          <c:xMode val="edge"/>
          <c:yMode val="edge"/>
          <c:x val="0.47574961115427783"/>
          <c:y val="2.4939088240679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13998998040836"/>
          <c:y val="7.9774314245997957E-2"/>
          <c:w val="0.81387780475124227"/>
          <c:h val="0.64172154599200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Лист1!$AJ$1</c:f>
              <c:strCache>
                <c:ptCount val="1"/>
                <c:pt idx="0">
                  <c:v>$1000 mln , 10%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Лист1!$AF$2:$AF$13</c:f>
              <c:numCache>
                <c:formatCode>d/m/yy;@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Лист1!$AJ$2:$AJ$14</c:f>
              <c:numCache>
                <c:formatCode>0</c:formatCode>
                <c:ptCount val="13"/>
                <c:pt idx="2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4-4956-BC54-9975F7205E31}"/>
            </c:ext>
          </c:extLst>
        </c:ser>
        <c:ser>
          <c:idx val="2"/>
          <c:order val="1"/>
          <c:tx>
            <c:strRef>
              <c:f>Лист1!$AL$1</c:f>
              <c:strCache>
                <c:ptCount val="1"/>
                <c:pt idx="0">
                  <c:v>$250 mln , 7,88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Лист1!$AF$2:$AF$13</c:f>
              <c:numCache>
                <c:formatCode>d/m/yy;@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Лист1!$AL$2:$AL$25</c:f>
              <c:numCache>
                <c:formatCode>0</c:formatCode>
                <c:ptCount val="24"/>
                <c:pt idx="4">
                  <c:v>9.84375</c:v>
                </c:pt>
                <c:pt idx="10">
                  <c:v>9.84375</c:v>
                </c:pt>
                <c:pt idx="16">
                  <c:v>9.84375</c:v>
                </c:pt>
                <c:pt idx="22">
                  <c:v>9.84375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4-4956-BC54-9975F7205E31}"/>
            </c:ext>
          </c:extLst>
        </c:ser>
        <c:ser>
          <c:idx val="0"/>
          <c:order val="2"/>
          <c:tx>
            <c:strRef>
              <c:f>Лист1!$AG$1</c:f>
              <c:strCache>
                <c:ptCount val="1"/>
                <c:pt idx="0">
                  <c:v>$650 mln  , 6,5%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Лист1!$AF$2:$AF$13</c:f>
              <c:numCache>
                <c:formatCode>d/m/yy;@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Лист1!$AG$2:$AG$25</c:f>
              <c:numCache>
                <c:formatCode>0</c:formatCode>
                <c:ptCount val="24"/>
                <c:pt idx="2">
                  <c:v>21.125</c:v>
                </c:pt>
                <c:pt idx="8">
                  <c:v>21.125</c:v>
                </c:pt>
                <c:pt idx="14">
                  <c:v>21.125</c:v>
                </c:pt>
                <c:pt idx="20">
                  <c:v>21.125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4-4956-BC54-9975F7205E31}"/>
            </c:ext>
          </c:extLst>
        </c:ser>
        <c:ser>
          <c:idx val="4"/>
          <c:order val="3"/>
          <c:tx>
            <c:strRef>
              <c:f>Лист1!$AH$1</c:f>
              <c:strCache>
                <c:ptCount val="1"/>
                <c:pt idx="0">
                  <c:v>$1515 mln , 6%</c:v>
                </c:pt>
              </c:strCache>
            </c:strRef>
          </c:tx>
          <c:invertIfNegative val="0"/>
          <c:cat>
            <c:numRef>
              <c:f>Лист1!$AF$2:$AF$13</c:f>
              <c:numCache>
                <c:formatCode>d/m/yy;@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Лист1!$AH$2:$AH$25</c:f>
              <c:numCache>
                <c:formatCode>0</c:formatCode>
                <c:ptCount val="24"/>
                <c:pt idx="4">
                  <c:v>45.46698</c:v>
                </c:pt>
                <c:pt idx="10">
                  <c:v>45.46698</c:v>
                </c:pt>
                <c:pt idx="16">
                  <c:v>45.46698</c:v>
                </c:pt>
                <c:pt idx="22">
                  <c:v>45.46698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4-4956-BC54-9975F7205E31}"/>
            </c:ext>
          </c:extLst>
        </c:ser>
        <c:ser>
          <c:idx val="5"/>
          <c:order val="4"/>
          <c:tx>
            <c:strRef>
              <c:f>Лист1!$AI$1</c:f>
              <c:strCache>
                <c:ptCount val="1"/>
                <c:pt idx="0">
                  <c:v>$732 mln, 4,75%</c:v>
                </c:pt>
              </c:strCache>
            </c:strRef>
          </c:tx>
          <c:invertIfNegative val="0"/>
          <c:cat>
            <c:numRef>
              <c:f>Лист1!$AF$2:$AF$13</c:f>
              <c:numCache>
                <c:formatCode>d/m/yy;@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Лист1!$AI$2:$AI$25</c:f>
              <c:numCache>
                <c:formatCode>0</c:formatCode>
                <c:ptCount val="24"/>
                <c:pt idx="5">
                  <c:v>17.396875000000001</c:v>
                </c:pt>
                <c:pt idx="11">
                  <c:v>17.396875000000001</c:v>
                </c:pt>
                <c:pt idx="17">
                  <c:v>17.396875000000001</c:v>
                </c:pt>
                <c:pt idx="23">
                  <c:v>17.396875000000001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4-4956-BC54-9975F7205E31}"/>
            </c:ext>
          </c:extLst>
        </c:ser>
        <c:ser>
          <c:idx val="6"/>
          <c:order val="5"/>
          <c:tx>
            <c:strRef>
              <c:f>Лист1!$AK$1</c:f>
              <c:strCache>
                <c:ptCount val="1"/>
                <c:pt idx="0">
                  <c:v>$1339 mln , 6,25%</c:v>
                </c:pt>
              </c:strCache>
            </c:strRef>
          </c:tx>
          <c:invertIfNegative val="0"/>
          <c:cat>
            <c:numRef>
              <c:f>Лист1!$AF$2:$AF$13</c:f>
              <c:numCache>
                <c:formatCode>d/m/yy;@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Лист1!$AK$2:$AK$25</c:f>
              <c:numCache>
                <c:formatCode>0</c:formatCode>
                <c:ptCount val="24"/>
                <c:pt idx="4">
                  <c:v>41.857500000000002</c:v>
                </c:pt>
                <c:pt idx="10">
                  <c:v>41.857500000000002</c:v>
                </c:pt>
                <c:pt idx="16">
                  <c:v>41.857500000000002</c:v>
                </c:pt>
                <c:pt idx="22">
                  <c:v>41.857500000000002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4-4956-BC54-9975F7205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7174016"/>
        <c:axId val="137200384"/>
      </c:barChart>
      <c:dateAx>
        <c:axId val="137174016"/>
        <c:scaling>
          <c:orientation val="minMax"/>
        </c:scaling>
        <c:delete val="1"/>
        <c:axPos val="b"/>
        <c:numFmt formatCode="d/m/yy;@" sourceLinked="1"/>
        <c:majorTickMark val="none"/>
        <c:minorTickMark val="none"/>
        <c:tickLblPos val="nextTo"/>
        <c:crossAx val="137200384"/>
        <c:crossesAt val="0"/>
        <c:auto val="1"/>
        <c:lblOffset val="100"/>
        <c:baseTimeUnit val="months"/>
      </c:dateAx>
      <c:valAx>
        <c:axId val="13720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174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burning, mln $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Cash burning, Mln $</c:v>
          </c:tx>
          <c:invertIfNegative val="0"/>
          <c:cat>
            <c:strRef>
              <c:f>(Лист2!$L$1:$O$1,Лист2!$R$1:$U$1)</c:f>
              <c:strCache>
                <c:ptCount val="8"/>
                <c:pt idx="0">
                  <c:v>1 q 2016</c:v>
                </c:pt>
                <c:pt idx="1">
                  <c:v>2 q 2016</c:v>
                </c:pt>
                <c:pt idx="2">
                  <c:v>3 q 2016</c:v>
                </c:pt>
                <c:pt idx="3">
                  <c:v>4 q 2016</c:v>
                </c:pt>
                <c:pt idx="4">
                  <c:v>1 q 2017</c:v>
                </c:pt>
                <c:pt idx="5">
                  <c:v>2 q 2017</c:v>
                </c:pt>
                <c:pt idx="6">
                  <c:v>3 q 2017</c:v>
                </c:pt>
                <c:pt idx="7">
                  <c:v>4 q 2017</c:v>
                </c:pt>
              </c:strCache>
            </c:strRef>
          </c:cat>
          <c:val>
            <c:numRef>
              <c:f>(Лист2!$L$35:$O$35,Лист2!$Q$35,Лист2!$Q$35,Лист2!$Q$35,Лист2!$Q$35)</c:f>
              <c:numCache>
                <c:formatCode>#,##0</c:formatCode>
                <c:ptCount val="8"/>
                <c:pt idx="0">
                  <c:v>-17.289000000000044</c:v>
                </c:pt>
                <c:pt idx="1">
                  <c:v>-60.220000000000056</c:v>
                </c:pt>
                <c:pt idx="2">
                  <c:v>-101.07500000000005</c:v>
                </c:pt>
                <c:pt idx="3">
                  <c:v>-230.56100000000004</c:v>
                </c:pt>
                <c:pt idx="4" formatCode="0.00">
                  <c:v>-79.810562500000088</c:v>
                </c:pt>
                <c:pt idx="5" formatCode="0.00">
                  <c:v>-79.810562500000088</c:v>
                </c:pt>
                <c:pt idx="6" formatCode="0.00">
                  <c:v>-79.810562500000088</c:v>
                </c:pt>
                <c:pt idx="7" formatCode="0.00">
                  <c:v>-79.810562500000088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F-47D8-8616-4557A81E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12512"/>
        <c:axId val="160657792"/>
      </c:barChart>
      <c:catAx>
        <c:axId val="1521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657792"/>
        <c:crosses val="autoZero"/>
        <c:auto val="1"/>
        <c:lblAlgn val="ctr"/>
        <c:lblOffset val="100"/>
        <c:noMultiLvlLbl val="0"/>
      </c:catAx>
      <c:valAx>
        <c:axId val="160657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11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Peabody  Australian</a:t>
            </a:r>
            <a:r>
              <a:rPr lang="en-US" sz="1050" baseline="0"/>
              <a:t>  </a:t>
            </a:r>
            <a:r>
              <a:rPr lang="en-US" sz="1050"/>
              <a:t>metallurgical sale price and market benchmark,</a:t>
            </a:r>
            <a:r>
              <a:rPr lang="en-US" sz="1050" baseline="0"/>
              <a:t> $/t</a:t>
            </a:r>
            <a:endParaRPr lang="ru-RU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45768600305313"/>
          <c:y val="7.1209381135971903E-2"/>
          <c:w val="0.74215897232535821"/>
          <c:h val="0.69664927602577809"/>
        </c:manualLayout>
      </c:layout>
      <c:lineChart>
        <c:grouping val="standard"/>
        <c:varyColors val="0"/>
        <c:ser>
          <c:idx val="0"/>
          <c:order val="0"/>
          <c:tx>
            <c:strRef>
              <c:f>'[1]BTU new'!$A$56</c:f>
              <c:strCache>
                <c:ptCount val="1"/>
                <c:pt idx="0">
                  <c:v> Peabody Australian Metallurgical, $/t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new'!$B$56:$E$56,'[1]BTU new'!$G$56:$J$56,'[1]BTU new'!$L$56:$O$56)</c:f>
              <c:numCache>
                <c:formatCode>General</c:formatCode>
                <c:ptCount val="12"/>
                <c:pt idx="0">
                  <c:v>107.12580645161289</c:v>
                </c:pt>
                <c:pt idx="1">
                  <c:v>95.76</c:v>
                </c:pt>
                <c:pt idx="2">
                  <c:v>88.83</c:v>
                </c:pt>
                <c:pt idx="3">
                  <c:v>87.97</c:v>
                </c:pt>
                <c:pt idx="4">
                  <c:v>89.332972972972968</c:v>
                </c:pt>
                <c:pt idx="5">
                  <c:v>78.989999999999995</c:v>
                </c:pt>
                <c:pt idx="6">
                  <c:v>68.53</c:v>
                </c:pt>
                <c:pt idx="7">
                  <c:v>64.63</c:v>
                </c:pt>
                <c:pt idx="8">
                  <c:v>62.629999999999995</c:v>
                </c:pt>
                <c:pt idx="9">
                  <c:v>65.63</c:v>
                </c:pt>
                <c:pt idx="10">
                  <c:v>65.63</c:v>
                </c:pt>
                <c:pt idx="11">
                  <c:v>65.63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0-4E36-A41A-4971C0F67C28}"/>
            </c:ext>
          </c:extLst>
        </c:ser>
        <c:ser>
          <c:idx val="1"/>
          <c:order val="1"/>
          <c:tx>
            <c:strRef>
              <c:f>'[1]BTU new'!$A$105</c:f>
              <c:strCache>
                <c:ptCount val="1"/>
                <c:pt idx="0">
                  <c:v>Contract LV PCI, $/t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new'!$B$105:$E$105,'[1]BTU new'!$G$105:$J$105,'[1]BTU new'!$L$105:$O$105)</c:f>
              <c:numCache>
                <c:formatCode>General</c:formatCode>
                <c:ptCount val="12"/>
                <c:pt idx="0">
                  <c:v>116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93</c:v>
                </c:pt>
                <c:pt idx="6">
                  <c:v>73</c:v>
                </c:pt>
                <c:pt idx="7">
                  <c:v>71</c:v>
                </c:pt>
                <c:pt idx="8">
                  <c:v>69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F0-4E36-A41A-4971C0F67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374928"/>
        <c:axId val="1"/>
      </c:lineChart>
      <c:catAx>
        <c:axId val="3693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$/t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374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Peabody  Australian  thermal sale price and market benchmark, $/t</a:t>
            </a:r>
            <a:endParaRPr lang="ru-RU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302023159691603"/>
          <c:y val="9.4225132052075139E-2"/>
          <c:w val="0.6564352554257048"/>
          <c:h val="0.61384436897690342"/>
        </c:manualLayout>
      </c:layout>
      <c:lineChart>
        <c:grouping val="standard"/>
        <c:varyColors val="0"/>
        <c:ser>
          <c:idx val="0"/>
          <c:order val="0"/>
          <c:tx>
            <c:strRef>
              <c:f>'[1]BTU new'!$A$57</c:f>
              <c:strCache>
                <c:ptCount val="1"/>
                <c:pt idx="0">
                  <c:v> Peabody Australian Thermal, $/t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new'!$B$57:$E$57,'[1]BTU new'!$G$57:$J$57,'[1]BTU new'!$L$57:$O$57)</c:f>
              <c:numCache>
                <c:formatCode>General</c:formatCode>
                <c:ptCount val="12"/>
                <c:pt idx="0">
                  <c:v>54.773529411764706</c:v>
                </c:pt>
                <c:pt idx="1">
                  <c:v>50.95</c:v>
                </c:pt>
                <c:pt idx="2">
                  <c:v>50.03</c:v>
                </c:pt>
                <c:pt idx="3">
                  <c:v>46.39</c:v>
                </c:pt>
                <c:pt idx="4">
                  <c:v>42.712745098039207</c:v>
                </c:pt>
                <c:pt idx="5">
                  <c:v>41.99</c:v>
                </c:pt>
                <c:pt idx="6">
                  <c:v>38.770000000000003</c:v>
                </c:pt>
                <c:pt idx="7">
                  <c:v>40.71</c:v>
                </c:pt>
                <c:pt idx="8">
                  <c:v>40.71</c:v>
                </c:pt>
                <c:pt idx="9">
                  <c:v>40.71</c:v>
                </c:pt>
                <c:pt idx="10">
                  <c:v>40.71</c:v>
                </c:pt>
                <c:pt idx="11">
                  <c:v>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F-4EAE-BD32-335A67AB6C8D}"/>
            </c:ext>
          </c:extLst>
        </c:ser>
        <c:ser>
          <c:idx val="1"/>
          <c:order val="1"/>
          <c:tx>
            <c:strRef>
              <c:f>'[1]BTU new'!$A$117</c:f>
              <c:strCache>
                <c:ptCount val="1"/>
                <c:pt idx="0">
                  <c:v>Australian Newcastle  5500  Kkal $/t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new'!$B$117:$E$117,'[1]BTU new'!$G$117:$J$117,'[1]BTU new'!$L$117:$O$117)</c:f>
              <c:numCache>
                <c:formatCode>General</c:formatCode>
                <c:ptCount val="12"/>
                <c:pt idx="0">
                  <c:v>66.03</c:v>
                </c:pt>
                <c:pt idx="1">
                  <c:v>63.95</c:v>
                </c:pt>
                <c:pt idx="2">
                  <c:v>57.91</c:v>
                </c:pt>
                <c:pt idx="3">
                  <c:v>53.44</c:v>
                </c:pt>
                <c:pt idx="4">
                  <c:v>52.51</c:v>
                </c:pt>
                <c:pt idx="5">
                  <c:v>46.19</c:v>
                </c:pt>
                <c:pt idx="6">
                  <c:v>43.49</c:v>
                </c:pt>
                <c:pt idx="7">
                  <c:v>39.81</c:v>
                </c:pt>
                <c:pt idx="8">
                  <c:v>39.880000000000003</c:v>
                </c:pt>
                <c:pt idx="9">
                  <c:v>42.05</c:v>
                </c:pt>
                <c:pt idx="10">
                  <c:v>42.05</c:v>
                </c:pt>
                <c:pt idx="11">
                  <c:v>42.05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F-4EAE-BD32-335A67AB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373288"/>
        <c:axId val="1"/>
      </c:lineChart>
      <c:catAx>
        <c:axId val="36937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$/t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21913399217954896"/>
              <c:y val="0.342879376676806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373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36573999678609"/>
          <c:y val="0.90449881380354258"/>
          <c:w val="0.63506923241737645"/>
          <c:h val="9.550118619645742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Peabody  Australian</a:t>
            </a:r>
            <a:r>
              <a:rPr lang="en-US" sz="1050" baseline="0"/>
              <a:t>  </a:t>
            </a:r>
            <a:r>
              <a:rPr lang="en-US" sz="1050"/>
              <a:t>metallurgical coal sale price and operating costs,</a:t>
            </a:r>
            <a:r>
              <a:rPr lang="en-US" sz="1050" baseline="0"/>
              <a:t> $/t</a:t>
            </a:r>
            <a:endParaRPr lang="ru-RU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45768600305313"/>
          <c:y val="7.1209381135971903E-2"/>
          <c:w val="0.74215897232535821"/>
          <c:h val="0.60893974548336238"/>
        </c:manualLayout>
      </c:layout>
      <c:lineChart>
        <c:grouping val="standard"/>
        <c:varyColors val="0"/>
        <c:ser>
          <c:idx val="0"/>
          <c:order val="0"/>
          <c:tx>
            <c:strRef>
              <c:f>'[1]BTU new'!$A$56</c:f>
              <c:strCache>
                <c:ptCount val="1"/>
                <c:pt idx="0">
                  <c:v> Peabody Australian Metallurgical, $/t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new'!$B$56:$E$56,'[1]BTU new'!$G$56:$J$56,'[1]BTU new'!$L$56:$O$56)</c:f>
              <c:numCache>
                <c:formatCode>General</c:formatCode>
                <c:ptCount val="12"/>
                <c:pt idx="0">
                  <c:v>107.12580645161289</c:v>
                </c:pt>
                <c:pt idx="1">
                  <c:v>95.76</c:v>
                </c:pt>
                <c:pt idx="2">
                  <c:v>88.83</c:v>
                </c:pt>
                <c:pt idx="3">
                  <c:v>87.97</c:v>
                </c:pt>
                <c:pt idx="4">
                  <c:v>89.332972972972968</c:v>
                </c:pt>
                <c:pt idx="5">
                  <c:v>78.989999999999995</c:v>
                </c:pt>
                <c:pt idx="6">
                  <c:v>68.53</c:v>
                </c:pt>
                <c:pt idx="7">
                  <c:v>64.63</c:v>
                </c:pt>
                <c:pt idx="8">
                  <c:v>62.629999999999995</c:v>
                </c:pt>
                <c:pt idx="9">
                  <c:v>65.63</c:v>
                </c:pt>
                <c:pt idx="10">
                  <c:v>65.63</c:v>
                </c:pt>
                <c:pt idx="11">
                  <c:v>65.63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5-4CF6-952C-ABFB78994A75}"/>
            </c:ext>
          </c:extLst>
        </c:ser>
        <c:ser>
          <c:idx val="1"/>
          <c:order val="1"/>
          <c:tx>
            <c:strRef>
              <c:f>'[1]BTU new'!$A$80</c:f>
              <c:strCache>
                <c:ptCount val="1"/>
                <c:pt idx="0">
                  <c:v>Operating Costs, $/t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new'!$B$76:$E$76,'[1]BTU new'!$G$76:$J$76,'[1]BTU new'!$L$76:$O$76)</c:f>
              <c:numCache>
                <c:formatCode>General</c:formatCode>
                <c:ptCount val="12"/>
                <c:pt idx="0">
                  <c:v>129.12645161290322</c:v>
                </c:pt>
                <c:pt idx="1">
                  <c:v>106.14</c:v>
                </c:pt>
                <c:pt idx="2">
                  <c:v>100.11</c:v>
                </c:pt>
                <c:pt idx="3">
                  <c:v>84.33</c:v>
                </c:pt>
                <c:pt idx="4">
                  <c:v>85.623783783783765</c:v>
                </c:pt>
                <c:pt idx="5">
                  <c:v>79.11</c:v>
                </c:pt>
                <c:pt idx="6">
                  <c:v>74.490437956204374</c:v>
                </c:pt>
                <c:pt idx="7">
                  <c:v>68.650000000000006</c:v>
                </c:pt>
                <c:pt idx="8">
                  <c:v>68.650000000000006</c:v>
                </c:pt>
                <c:pt idx="9">
                  <c:v>68.650000000000006</c:v>
                </c:pt>
                <c:pt idx="10">
                  <c:v>68.650000000000006</c:v>
                </c:pt>
                <c:pt idx="11">
                  <c:v>68.650000000000006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5-4CF6-952C-ABFB78994A75}"/>
            </c:ext>
          </c:extLst>
        </c:ser>
        <c:ser>
          <c:idx val="2"/>
          <c:order val="2"/>
          <c:tx>
            <c:strRef>
              <c:f>'[1]BTU new'!$A$90</c:f>
              <c:strCache>
                <c:ptCount val="1"/>
                <c:pt idx="0">
                  <c:v>Gross Margin, $/t</c:v>
                </c:pt>
              </c:strCache>
            </c:strRef>
          </c:tx>
          <c:marker>
            <c:symbol val="none"/>
          </c:marker>
          <c:val>
            <c:numRef>
              <c:f>('[1]BTU new'!$B$96:$E$96,'[1]BTU new'!$G$96:$J$96,'[1]BTU new'!$L$96:$O$96)</c:f>
              <c:numCache>
                <c:formatCode>General</c:formatCode>
                <c:ptCount val="12"/>
                <c:pt idx="0">
                  <c:v>-22.000645161290336</c:v>
                </c:pt>
                <c:pt idx="1">
                  <c:v>-10.379999999999995</c:v>
                </c:pt>
                <c:pt idx="2">
                  <c:v>-11.280000000000001</c:v>
                </c:pt>
                <c:pt idx="3">
                  <c:v>3.6400000000000006</c:v>
                </c:pt>
                <c:pt idx="4">
                  <c:v>3.7091891891892033</c:v>
                </c:pt>
                <c:pt idx="5">
                  <c:v>-0.12000000000000455</c:v>
                </c:pt>
                <c:pt idx="6">
                  <c:v>-5.9604379562043732</c:v>
                </c:pt>
                <c:pt idx="7">
                  <c:v>-4.0200000000000102</c:v>
                </c:pt>
                <c:pt idx="8">
                  <c:v>-6.0200000000000102</c:v>
                </c:pt>
                <c:pt idx="9">
                  <c:v>-3.0200000000000102</c:v>
                </c:pt>
                <c:pt idx="10">
                  <c:v>-3.0200000000000102</c:v>
                </c:pt>
                <c:pt idx="11">
                  <c:v>-3.0200000000000102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5-4CF6-952C-ABFB78994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367384"/>
        <c:axId val="1"/>
      </c:lineChart>
      <c:catAx>
        <c:axId val="3693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$/t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367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Peabody  Australian</a:t>
            </a:r>
            <a:r>
              <a:rPr lang="en-US" sz="1050" baseline="0"/>
              <a:t>  </a:t>
            </a:r>
            <a:r>
              <a:rPr lang="en-US" sz="1050"/>
              <a:t>thermal</a:t>
            </a:r>
            <a:r>
              <a:rPr lang="en-US" sz="1050" baseline="0"/>
              <a:t> coal </a:t>
            </a:r>
            <a:r>
              <a:rPr lang="en-US" sz="1050"/>
              <a:t>sale price and operating costs,</a:t>
            </a:r>
            <a:r>
              <a:rPr lang="en-US" sz="1050" baseline="0"/>
              <a:t> $/t</a:t>
            </a:r>
            <a:endParaRPr lang="ru-RU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45768600305313"/>
          <c:y val="7.1209381135971903E-2"/>
          <c:w val="0.74215897232535821"/>
          <c:h val="0.60893974548336238"/>
        </c:manualLayout>
      </c:layout>
      <c:lineChart>
        <c:grouping val="standard"/>
        <c:varyColors val="0"/>
        <c:ser>
          <c:idx val="0"/>
          <c:order val="0"/>
          <c:tx>
            <c:strRef>
              <c:f>'[1]BTU new'!$A$57</c:f>
              <c:strCache>
                <c:ptCount val="1"/>
                <c:pt idx="0">
                  <c:v> Peabody Australian Thermal, $/t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new'!$B$57:$E$57,'[1]BTU new'!$G$57:$J$57,'[1]BTU new'!$L$57:$O$57)</c:f>
              <c:numCache>
                <c:formatCode>General</c:formatCode>
                <c:ptCount val="12"/>
                <c:pt idx="0">
                  <c:v>54.773529411764706</c:v>
                </c:pt>
                <c:pt idx="1">
                  <c:v>50.95</c:v>
                </c:pt>
                <c:pt idx="2">
                  <c:v>50.03</c:v>
                </c:pt>
                <c:pt idx="3">
                  <c:v>46.39</c:v>
                </c:pt>
                <c:pt idx="4">
                  <c:v>42.712745098039207</c:v>
                </c:pt>
                <c:pt idx="5">
                  <c:v>41.99</c:v>
                </c:pt>
                <c:pt idx="6">
                  <c:v>38.770000000000003</c:v>
                </c:pt>
                <c:pt idx="7">
                  <c:v>40.71</c:v>
                </c:pt>
                <c:pt idx="8">
                  <c:v>40.71</c:v>
                </c:pt>
                <c:pt idx="9">
                  <c:v>40.71</c:v>
                </c:pt>
                <c:pt idx="10">
                  <c:v>40.71</c:v>
                </c:pt>
                <c:pt idx="11">
                  <c:v>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B-4271-8D18-F8C811EA363E}"/>
            </c:ext>
          </c:extLst>
        </c:ser>
        <c:ser>
          <c:idx val="1"/>
          <c:order val="1"/>
          <c:tx>
            <c:strRef>
              <c:f>'[1]BTU new'!$A$80</c:f>
              <c:strCache>
                <c:ptCount val="1"/>
                <c:pt idx="0">
                  <c:v>Operating Costs, $/t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('[1]BTU new'!$B$1:$E$1,'[1]BTU new'!$G$1:$J$1,'[1]BTU new'!$L$1:$O$1)</c:f>
              <c:strCache>
                <c:ptCount val="12"/>
                <c:pt idx="0">
                  <c:v>1q 2014</c:v>
                </c:pt>
                <c:pt idx="1">
                  <c:v>2q 2014</c:v>
                </c:pt>
                <c:pt idx="2">
                  <c:v>3q 2014</c:v>
                </c:pt>
                <c:pt idx="3">
                  <c:v>4q 2014</c:v>
                </c:pt>
                <c:pt idx="4">
                  <c:v>1 q 2015</c:v>
                </c:pt>
                <c:pt idx="5">
                  <c:v>2 q 2015</c:v>
                </c:pt>
                <c:pt idx="6">
                  <c:v>3 q 2015</c:v>
                </c:pt>
                <c:pt idx="7">
                  <c:v>4 q 2015</c:v>
                </c:pt>
                <c:pt idx="8">
                  <c:v>1 q 2016</c:v>
                </c:pt>
                <c:pt idx="9">
                  <c:v>2 q 2016</c:v>
                </c:pt>
                <c:pt idx="10">
                  <c:v>3 q 2016</c:v>
                </c:pt>
                <c:pt idx="11">
                  <c:v>4 q 2016</c:v>
                </c:pt>
              </c:strCache>
            </c:strRef>
          </c:cat>
          <c:val>
            <c:numRef>
              <c:f>('[1]BTU new'!$B$77:$E$77,'[1]BTU new'!$G$77:$J$77,'[1]BTU new'!$L$77:$O$77)</c:f>
              <c:numCache>
                <c:formatCode>General</c:formatCode>
                <c:ptCount val="12"/>
                <c:pt idx="0">
                  <c:v>37.355882352941173</c:v>
                </c:pt>
                <c:pt idx="1">
                  <c:v>39.65</c:v>
                </c:pt>
                <c:pt idx="2">
                  <c:v>39.92</c:v>
                </c:pt>
                <c:pt idx="3">
                  <c:v>35.4</c:v>
                </c:pt>
                <c:pt idx="4">
                  <c:v>33.067254901960787</c:v>
                </c:pt>
                <c:pt idx="5">
                  <c:v>29.91</c:v>
                </c:pt>
                <c:pt idx="6">
                  <c:v>28.163430656934306</c:v>
                </c:pt>
                <c:pt idx="7">
                  <c:v>32.950000000000003</c:v>
                </c:pt>
                <c:pt idx="8">
                  <c:v>28.163430656934306</c:v>
                </c:pt>
                <c:pt idx="9">
                  <c:v>28.163430656934306</c:v>
                </c:pt>
                <c:pt idx="10">
                  <c:v>28.163430656934306</c:v>
                </c:pt>
                <c:pt idx="11">
                  <c:v>28.163430656934306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B-4271-8D18-F8C811EA363E}"/>
            </c:ext>
          </c:extLst>
        </c:ser>
        <c:ser>
          <c:idx val="2"/>
          <c:order val="2"/>
          <c:tx>
            <c:strRef>
              <c:f>'[1]BTU new'!$A$90</c:f>
              <c:strCache>
                <c:ptCount val="1"/>
                <c:pt idx="0">
                  <c:v>Gross Margin, $/t</c:v>
                </c:pt>
              </c:strCache>
            </c:strRef>
          </c:tx>
          <c:marker>
            <c:symbol val="none"/>
          </c:marker>
          <c:val>
            <c:numRef>
              <c:f>('[1]BTU new'!$B$97:$E$97,'[1]BTU new'!$G$97:$J$97,'[1]BTU new'!$L$97:$O$97)</c:f>
              <c:numCache>
                <c:formatCode>General</c:formatCode>
                <c:ptCount val="12"/>
                <c:pt idx="0">
                  <c:v>17.417647058823533</c:v>
                </c:pt>
                <c:pt idx="1">
                  <c:v>11.300000000000004</c:v>
                </c:pt>
                <c:pt idx="2">
                  <c:v>10.11</c:v>
                </c:pt>
                <c:pt idx="3">
                  <c:v>10.990000000000002</c:v>
                </c:pt>
                <c:pt idx="4">
                  <c:v>9.6454901960784198</c:v>
                </c:pt>
                <c:pt idx="5">
                  <c:v>12.080000000000002</c:v>
                </c:pt>
                <c:pt idx="6">
                  <c:v>10.606569343065697</c:v>
                </c:pt>
                <c:pt idx="7">
                  <c:v>7.759999999999998</c:v>
                </c:pt>
                <c:pt idx="8">
                  <c:v>12.546569343065695</c:v>
                </c:pt>
                <c:pt idx="9">
                  <c:v>12.546569343065695</c:v>
                </c:pt>
                <c:pt idx="10">
                  <c:v>12.546569343065695</c:v>
                </c:pt>
                <c:pt idx="11">
                  <c:v>12.546569343065695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B-4271-8D18-F8C811EA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00752"/>
        <c:axId val="1"/>
      </c:lineChart>
      <c:catAx>
        <c:axId val="36960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$/t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7190512348439932"/>
              <c:y val="0.383391420334753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600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36576900806819"/>
          <c:y val="0.89941664395775656"/>
          <c:w val="0.70557200165038814"/>
          <c:h val="8.455899296740909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_xlchart.v1.3</cx:f>
      </cx:str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/>
              <a:t>1515 </a:t>
            </a:r>
            <a:r>
              <a:rPr lang="en-US"/>
              <a:t>mln $,  6.00% Senior Notes due November 2018</a:t>
            </a:r>
            <a:endParaRPr lang="ru-RU"/>
          </a:p>
        </cx:rich>
      </cx:tx>
    </cx:title>
    <cx:plotArea>
      <cx:plotAreaRegion>
        <cx:series layoutId="waterfall" uniqueId="{00000000-6B0D-44F5-A79A-D161259AC14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/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2017</a:t>
            </a:r>
            <a:endParaRPr lang="ru-RU"/>
          </a:p>
        </cx:rich>
      </cx:tx>
    </cx:title>
    <cx:plotArea>
      <cx:plotAreaRegion>
        <cx:series layoutId="waterfall" uniqueId="{A8BD08AA-CE58-48B2-B783-ED711076B18F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/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2016</a:t>
            </a:r>
            <a:endParaRPr lang="ru-RU"/>
          </a:p>
        </cx:rich>
      </cx:tx>
    </cx:title>
    <cx:plotArea>
      <cx:plotAreaRegion>
        <cx:series layoutId="waterfall" uniqueId="{A8BD08AA-CE58-48B2-B783-ED711076B18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650 mln $, 6.50% Senior Notes due September 2020</a:t>
            </a:r>
            <a:endParaRPr lang="ru-RU"/>
          </a:p>
        </cx:rich>
      </cx:tx>
    </cx:title>
    <cx:plotArea>
      <cx:plotAreaRegion>
        <cx:series layoutId="waterfall" uniqueId="{00000000-6B0D-44F5-A79A-D161259AC14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1339 mln $, 6.25% Senior Notes due November 2021</a:t>
            </a:r>
            <a:endParaRPr lang="ru-RU"/>
          </a:p>
        </cx:rich>
      </cx:tx>
    </cx:title>
    <cx:plotArea>
      <cx:plotAreaRegion>
        <cx:series layoutId="waterfall" uniqueId="{00000000-6B0D-44F5-A79A-D161259AC14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</cx:f>
      </cx:str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1000 mln $, 10.00% Senior Secured Second Lien Notes due March 2022</a:t>
            </a:r>
            <a:endParaRPr lang="ru-RU"/>
          </a:p>
        </cx:rich>
      </cx:tx>
    </cx:title>
    <cx:plotArea>
      <cx:plotAreaRegion>
        <cx:series layoutId="waterfall" uniqueId="{00000000-6B0D-44F5-A79A-D161259AC14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250 mln $, 7.875% Senior Notes due November 2026</a:t>
            </a:r>
            <a:endParaRPr lang="ru-RU"/>
          </a:p>
        </cx:rich>
      </cx:tx>
    </cx:title>
    <cx:plotArea>
      <cx:plotAreaRegion>
        <cx:plotSurface>
          <cx:spPr>
            <a:ln w="12700">
              <a:solidFill>
                <a:schemeClr val="accent1">
                  <a:alpha val="53000"/>
                </a:schemeClr>
              </a:solidFill>
            </a:ln>
          </cx:spPr>
        </cx:plotSurface>
        <cx:series layoutId="waterfall" uniqueId="{00000000-6B0D-44F5-A79A-D161259AC14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_xlchart.v1.5</cx:f>
      </cx:str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732 mln $, 4.75% Senior Notes due December 2041</a:t>
            </a:r>
            <a:endParaRPr lang="ru-RU"/>
          </a:p>
        </cx:rich>
      </cx:tx>
    </cx:title>
    <cx:plotArea>
      <cx:plotAreaRegion>
        <cx:series layoutId="waterfall" uniqueId="{00000000-6B0D-44F5-A79A-D161259AC14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_xlchart.v1.8</cx:f>
      </cx:numDim>
    </cx:data>
    <cx:data id="1">
      <cx:numDim type="val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Cash burning</a:t>
            </a:r>
            <a:endParaRPr lang="ru-RU"/>
          </a:p>
        </cx:rich>
      </cx:tx>
    </cx:title>
    <cx:plotArea>
      <cx:plotAreaRegion>
        <cx:series layoutId="waterfall" uniqueId="{00000000-6D17-45B3-91D4-DE53D8A01EB5}" formatIdx="0">
          <cx:tx>
            <cx:txData>
              <cx:f>_xlchart.v1.6</cx:f>
              <cx:v>Cash </cx:v>
            </cx:txData>
          </cx:tx>
          <cx:dataLabels>
            <cx:visibility seriesName="0" categoryName="0" value="1"/>
          </cx:dataLabels>
          <cx:dataId val="0"/>
          <cx:layoutPr>
            <cx:subtotals/>
          </cx:layoutPr>
        </cx:series>
        <cx:series layoutId="waterfall" hidden="1" uniqueId="{00000000-B723-4792-91DF-A09E4DCC1474}" formatIdx="1">
          <cx:dataId val="1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_xlchart.v1.13</cx:f>
      </cx:strDim>
      <cx:numDim type="val">
        <cx:f>_xlchart.v1.12</cx:f>
      </cx:numDim>
    </cx:data>
    <cx:data id="1">
      <cx:numDim type="val">
        <cx:f>_xlchart.v1.11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Cash burning</a:t>
            </a:r>
            <a:endParaRPr lang="ru-RU"/>
          </a:p>
        </cx:rich>
      </cx:tx>
    </cx:title>
    <cx:plotArea>
      <cx:plotAreaRegion>
        <cx:series layoutId="waterfall" uniqueId="{00000000-6D17-45B3-91D4-DE53D8A01EB5}" formatIdx="0">
          <cx:tx>
            <cx:txData>
              <cx:f>_xlchart.v1.10</cx:f>
              <cx:v>Cash </cx:v>
            </cx:txData>
          </cx:tx>
          <cx:dataLabels>
            <cx:visibility seriesName="0" categoryName="0" value="1"/>
          </cx:dataLabels>
          <cx:dataId val="0"/>
          <cx:layoutPr>
            <cx:subtotals/>
          </cx:layoutPr>
        </cx:series>
        <cx:series layoutId="waterfall" hidden="1" uniqueId="{00000000-B723-4792-91DF-A09E4DCC1474}" formatIdx="1">
          <cx:dataId val="1"/>
          <cx:layoutPr>
            <cx:subtotals/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/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2016</a:t>
            </a:r>
            <a:endParaRPr lang="ru-RU"/>
          </a:p>
        </cx:rich>
      </cx:tx>
    </cx:title>
    <cx:plotArea>
      <cx:plotAreaRegion>
        <cx:series layoutId="waterfall" uniqueId="{A8BD08AA-CE58-48B2-B783-ED711076B18F}">
          <cx:dataLabels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microsoft.com/office/2014/relationships/chartEx" Target="../charts/chartEx2.xml"/><Relationship Id="rId7" Type="http://schemas.microsoft.com/office/2014/relationships/chartEx" Target="../charts/chartEx6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microsoft.com/office/2014/relationships/chartEx" Target="../charts/chartEx5.xml"/><Relationship Id="rId5" Type="http://schemas.microsoft.com/office/2014/relationships/chartEx" Target="../charts/chartEx4.xml"/><Relationship Id="rId4" Type="http://schemas.microsoft.com/office/2014/relationships/chartEx" Target="../charts/chartEx3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8.xml"/><Relationship Id="rId2" Type="http://schemas.openxmlformats.org/officeDocument/2006/relationships/chart" Target="../charts/chart3.xml"/><Relationship Id="rId1" Type="http://schemas.microsoft.com/office/2014/relationships/chartEx" Target="../charts/chartEx7.xml"/><Relationship Id="rId6" Type="http://schemas.microsoft.com/office/2014/relationships/chartEx" Target="../charts/chartEx11.xml"/><Relationship Id="rId5" Type="http://schemas.microsoft.com/office/2014/relationships/chartEx" Target="../charts/chartEx10.xml"/><Relationship Id="rId4" Type="http://schemas.microsoft.com/office/2014/relationships/chartEx" Target="../charts/chartEx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44457</xdr:colOff>
      <xdr:row>39</xdr:row>
      <xdr:rowOff>80360</xdr:rowOff>
    </xdr:from>
    <xdr:to>
      <xdr:col>43</xdr:col>
      <xdr:colOff>450273</xdr:colOff>
      <xdr:row>74</xdr:row>
      <xdr:rowOff>95249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391884</xdr:colOff>
      <xdr:row>2</xdr:row>
      <xdr:rowOff>49306</xdr:rowOff>
    </xdr:from>
    <xdr:to>
      <xdr:col>60</xdr:col>
      <xdr:colOff>266699</xdr:colOff>
      <xdr:row>22</xdr:row>
      <xdr:rowOff>116541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Диаграмма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48</xdr:col>
      <xdr:colOff>332014</xdr:colOff>
      <xdr:row>25</xdr:row>
      <xdr:rowOff>8164</xdr:rowOff>
    </xdr:from>
    <xdr:to>
      <xdr:col>60</xdr:col>
      <xdr:colOff>202347</xdr:colOff>
      <xdr:row>45</xdr:row>
      <xdr:rowOff>75399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Диаграмма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48</xdr:col>
      <xdr:colOff>533400</xdr:colOff>
      <xdr:row>48</xdr:row>
      <xdr:rowOff>152400</xdr:rowOff>
    </xdr:from>
    <xdr:to>
      <xdr:col>60</xdr:col>
      <xdr:colOff>403733</xdr:colOff>
      <xdr:row>69</xdr:row>
      <xdr:rowOff>29135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Диаграмма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49</xdr:col>
      <xdr:colOff>574222</xdr:colOff>
      <xdr:row>124</xdr:row>
      <xdr:rowOff>65314</xdr:rowOff>
    </xdr:from>
    <xdr:to>
      <xdr:col>61</xdr:col>
      <xdr:colOff>444555</xdr:colOff>
      <xdr:row>144</xdr:row>
      <xdr:rowOff>132549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Диаграмма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49</xdr:col>
      <xdr:colOff>228600</xdr:colOff>
      <xdr:row>73</xdr:row>
      <xdr:rowOff>114300</xdr:rowOff>
    </xdr:from>
    <xdr:to>
      <xdr:col>61</xdr:col>
      <xdr:colOff>98933</xdr:colOff>
      <xdr:row>93</xdr:row>
      <xdr:rowOff>181535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Диаграмма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49</xdr:col>
      <xdr:colOff>304800</xdr:colOff>
      <xdr:row>101</xdr:row>
      <xdr:rowOff>0</xdr:rowOff>
    </xdr:from>
    <xdr:to>
      <xdr:col>61</xdr:col>
      <xdr:colOff>175133</xdr:colOff>
      <xdr:row>121</xdr:row>
      <xdr:rowOff>67235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Диаграмма 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23</xdr:col>
      <xdr:colOff>510267</xdr:colOff>
      <xdr:row>83</xdr:row>
      <xdr:rowOff>163286</xdr:rowOff>
    </xdr:from>
    <xdr:to>
      <xdr:col>34</xdr:col>
      <xdr:colOff>217714</xdr:colOff>
      <xdr:row>115</xdr:row>
      <xdr:rowOff>178175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510267</xdr:colOff>
      <xdr:row>72</xdr:row>
      <xdr:rowOff>111579</xdr:rowOff>
    </xdr:from>
    <xdr:to>
      <xdr:col>47</xdr:col>
      <xdr:colOff>306161</xdr:colOff>
      <xdr:row>91</xdr:row>
      <xdr:rowOff>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18</xdr:col>
      <xdr:colOff>465044</xdr:colOff>
      <xdr:row>89</xdr:row>
      <xdr:rowOff>117979</xdr:rowOff>
    </xdr:from>
    <xdr:to>
      <xdr:col>28</xdr:col>
      <xdr:colOff>89648</xdr:colOff>
      <xdr:row>114</xdr:row>
      <xdr:rowOff>62433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408215</xdr:colOff>
      <xdr:row>71</xdr:row>
      <xdr:rowOff>13607</xdr:rowOff>
    </xdr:from>
    <xdr:to>
      <xdr:col>29</xdr:col>
      <xdr:colOff>204109</xdr:colOff>
      <xdr:row>89</xdr:row>
      <xdr:rowOff>65314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Диаграмма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32</xdr:col>
      <xdr:colOff>132358</xdr:colOff>
      <xdr:row>21</xdr:row>
      <xdr:rowOff>24061</xdr:rowOff>
    </xdr:from>
    <xdr:to>
      <xdr:col>41</xdr:col>
      <xdr:colOff>71126</xdr:colOff>
      <xdr:row>45</xdr:row>
      <xdr:rowOff>122773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42</xdr:col>
      <xdr:colOff>166687</xdr:colOff>
      <xdr:row>21</xdr:row>
      <xdr:rowOff>23812</xdr:rowOff>
    </xdr:from>
    <xdr:to>
      <xdr:col>51</xdr:col>
      <xdr:colOff>98652</xdr:colOff>
      <xdr:row>45</xdr:row>
      <xdr:rowOff>129947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Диаграмма 1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22</xdr:col>
      <xdr:colOff>270596</xdr:colOff>
      <xdr:row>20</xdr:row>
      <xdr:rowOff>151534</xdr:rowOff>
    </xdr:from>
    <xdr:to>
      <xdr:col>31</xdr:col>
      <xdr:colOff>202560</xdr:colOff>
      <xdr:row>45</xdr:row>
      <xdr:rowOff>101806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Диаграмма 1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47</xdr:row>
      <xdr:rowOff>57150</xdr:rowOff>
    </xdr:from>
    <xdr:to>
      <xdr:col>30</xdr:col>
      <xdr:colOff>104775</xdr:colOff>
      <xdr:row>79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30</xdr:col>
      <xdr:colOff>152400</xdr:colOff>
      <xdr:row>113</xdr:row>
      <xdr:rowOff>133350</xdr:rowOff>
    </xdr:to>
    <xdr:graphicFrame macro="">
      <xdr:nvGraphicFramePr>
        <xdr:cNvPr id="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485775</xdr:colOff>
      <xdr:row>47</xdr:row>
      <xdr:rowOff>38100</xdr:rowOff>
    </xdr:from>
    <xdr:to>
      <xdr:col>42</xdr:col>
      <xdr:colOff>390525</xdr:colOff>
      <xdr:row>79</xdr:row>
      <xdr:rowOff>85725</xdr:rowOff>
    </xdr:to>
    <xdr:graphicFrame macro="">
      <xdr:nvGraphicFramePr>
        <xdr:cNvPr id="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81</xdr:row>
      <xdr:rowOff>0</xdr:rowOff>
    </xdr:from>
    <xdr:to>
      <xdr:col>42</xdr:col>
      <xdr:colOff>514350</xdr:colOff>
      <xdr:row>113</xdr:row>
      <xdr:rowOff>47625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0;&#1072;&#1083;&#1083;&#1091;&#1088;&#1075;&#1080;+&#1058;&#1088;&#1091;&#1073;&#1085;&#1080;&#1082;&#1080;%2010-08%20(&#1050;&#1088;&#1080;&#1079;&#1080;&#1089;&#1085;&#1099;&#1081;%20&#1089;&#1094;&#1077;&#1085;&#1072;&#1088;&#1080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н"/>
      <sheetName val="ТМК"/>
      <sheetName val="ЧТПЗ"/>
      <sheetName val="Shenhua energy "/>
      <sheetName val="Yancoal"/>
      <sheetName val="China energy"/>
      <sheetName val="Rasp"/>
      <sheetName val="Лист обновлений"/>
      <sheetName val="Прогноз"/>
      <sheetName val="МК"/>
      <sheetName val="KOGK"/>
      <sheetName val="UKUZ"/>
      <sheetName val="URKZ"/>
      <sheetName val="Челябинский МК "/>
      <sheetName val="ММК-РСБУ"/>
      <sheetName val="ММК"/>
      <sheetName val="НЛМК РСБУ"/>
      <sheetName val="НЛМК"/>
      <sheetName val="Северсталь РСБУ"/>
      <sheetName val="Северсталь"/>
      <sheetName val="НТМК-РСБУ"/>
      <sheetName val="ЗСМК-РСБУ"/>
      <sheetName val="Евраз"/>
      <sheetName val="Мечел"/>
      <sheetName val="Нержавейка"/>
      <sheetName val="Итог"/>
      <sheetName val="World 2"/>
      <sheetName val="World"/>
      <sheetName val="Экспорт"/>
      <sheetName val="Инвестиции"/>
      <sheetName val="Технология"/>
      <sheetName val="Мир пр-во"/>
      <sheetName val="Дочки Мечела"/>
      <sheetName val="Walter"/>
      <sheetName val="Лист1"/>
      <sheetName val="Guidance"/>
      <sheetName val="ACI 2014"/>
      <sheetName val="ACI 2015"/>
      <sheetName val="ACI 2016"/>
      <sheetName val="CLD 2015"/>
      <sheetName val="CLD 2014"/>
      <sheetName val="КТК"/>
      <sheetName val="Плохой уголь"/>
      <sheetName val="JSW"/>
      <sheetName val="NWR"/>
      <sheetName val="Порты"/>
      <sheetName val="Bogdanka"/>
      <sheetName val="ACI Bond"/>
      <sheetName val="ACI модель"/>
      <sheetName val="Китайская добыча"/>
      <sheetName val="CLD"/>
      <sheetName val="MMK new"/>
      <sheetName val="BTU new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">
          <cell r="B1" t="str">
            <v>1q 2014</v>
          </cell>
          <cell r="C1" t="str">
            <v>2q 2014</v>
          </cell>
          <cell r="D1" t="str">
            <v>3q 2014</v>
          </cell>
          <cell r="E1" t="str">
            <v>4q 2014</v>
          </cell>
          <cell r="G1" t="str">
            <v>1 q 2015</v>
          </cell>
          <cell r="H1" t="str">
            <v>2 q 2015</v>
          </cell>
          <cell r="I1" t="str">
            <v>3 q 2015</v>
          </cell>
          <cell r="J1" t="str">
            <v>4 q 2015</v>
          </cell>
          <cell r="L1" t="str">
            <v>1 q 2016</v>
          </cell>
          <cell r="M1" t="str">
            <v>2 q 2016</v>
          </cell>
          <cell r="N1" t="str">
            <v>3 q 2016</v>
          </cell>
          <cell r="O1" t="str">
            <v>4 q 2016</v>
          </cell>
        </row>
        <row r="56">
          <cell r="A56" t="str">
            <v xml:space="preserve"> Peabody Australian Metallurgical, $/t</v>
          </cell>
          <cell r="B56">
            <v>107.12580645161289</v>
          </cell>
          <cell r="C56">
            <v>95.76</v>
          </cell>
          <cell r="D56">
            <v>88.83</v>
          </cell>
          <cell r="E56">
            <v>87.97</v>
          </cell>
          <cell r="G56">
            <v>89.332972972972968</v>
          </cell>
          <cell r="H56">
            <v>78.989999999999995</v>
          </cell>
          <cell r="I56">
            <v>68.53</v>
          </cell>
          <cell r="J56">
            <v>64.63</v>
          </cell>
          <cell r="L56">
            <v>62.629999999999995</v>
          </cell>
          <cell r="M56">
            <v>65.63</v>
          </cell>
          <cell r="N56">
            <v>65.63</v>
          </cell>
          <cell r="O56">
            <v>65.63</v>
          </cell>
        </row>
        <row r="57">
          <cell r="A57" t="str">
            <v xml:space="preserve"> Peabody Australian Thermal, $/t</v>
          </cell>
          <cell r="B57">
            <v>54.773529411764706</v>
          </cell>
          <cell r="C57">
            <v>50.95</v>
          </cell>
          <cell r="D57">
            <v>50.03</v>
          </cell>
          <cell r="E57">
            <v>46.39</v>
          </cell>
          <cell r="G57">
            <v>42.712745098039207</v>
          </cell>
          <cell r="H57">
            <v>41.99</v>
          </cell>
          <cell r="I57">
            <v>38.770000000000003</v>
          </cell>
          <cell r="J57">
            <v>40.71</v>
          </cell>
          <cell r="L57">
            <v>40.71</v>
          </cell>
          <cell r="M57">
            <v>40.71</v>
          </cell>
          <cell r="N57">
            <v>40.71</v>
          </cell>
          <cell r="O57">
            <v>40.71</v>
          </cell>
        </row>
        <row r="76">
          <cell r="B76">
            <v>129.12645161290322</v>
          </cell>
          <cell r="C76">
            <v>106.14</v>
          </cell>
          <cell r="D76">
            <v>100.11</v>
          </cell>
          <cell r="E76">
            <v>84.33</v>
          </cell>
          <cell r="G76">
            <v>85.623783783783765</v>
          </cell>
          <cell r="H76">
            <v>79.11</v>
          </cell>
          <cell r="I76">
            <v>74.490437956204374</v>
          </cell>
          <cell r="J76">
            <v>68.650000000000006</v>
          </cell>
          <cell r="L76">
            <v>68.650000000000006</v>
          </cell>
          <cell r="M76">
            <v>68.650000000000006</v>
          </cell>
          <cell r="N76">
            <v>68.650000000000006</v>
          </cell>
          <cell r="O76">
            <v>68.650000000000006</v>
          </cell>
        </row>
        <row r="77">
          <cell r="B77">
            <v>37.355882352941173</v>
          </cell>
          <cell r="C77">
            <v>39.65</v>
          </cell>
          <cell r="D77">
            <v>39.92</v>
          </cell>
          <cell r="E77">
            <v>35.4</v>
          </cell>
          <cell r="G77">
            <v>33.067254901960787</v>
          </cell>
          <cell r="H77">
            <v>29.91</v>
          </cell>
          <cell r="I77">
            <v>28.163430656934306</v>
          </cell>
          <cell r="J77">
            <v>32.950000000000003</v>
          </cell>
          <cell r="L77">
            <v>28.163430656934306</v>
          </cell>
          <cell r="M77">
            <v>28.163430656934306</v>
          </cell>
          <cell r="N77">
            <v>28.163430656934306</v>
          </cell>
          <cell r="O77">
            <v>28.163430656934306</v>
          </cell>
        </row>
        <row r="80">
          <cell r="A80" t="str">
            <v>Operating Costs, $/t</v>
          </cell>
        </row>
        <row r="90">
          <cell r="A90" t="str">
            <v>Gross Margin, $/t</v>
          </cell>
        </row>
        <row r="96">
          <cell r="B96">
            <v>-22.000645161290336</v>
          </cell>
          <cell r="C96">
            <v>-10.379999999999995</v>
          </cell>
          <cell r="D96">
            <v>-11.280000000000001</v>
          </cell>
          <cell r="E96">
            <v>3.6400000000000006</v>
          </cell>
          <cell r="G96">
            <v>3.7091891891892033</v>
          </cell>
          <cell r="H96">
            <v>-0.12000000000000455</v>
          </cell>
          <cell r="I96">
            <v>-5.9604379562043732</v>
          </cell>
          <cell r="J96">
            <v>-4.0200000000000102</v>
          </cell>
          <cell r="L96">
            <v>-6.0200000000000102</v>
          </cell>
          <cell r="M96">
            <v>-3.0200000000000102</v>
          </cell>
          <cell r="N96">
            <v>-3.0200000000000102</v>
          </cell>
          <cell r="O96">
            <v>-3.0200000000000102</v>
          </cell>
        </row>
        <row r="97">
          <cell r="B97">
            <v>17.417647058823533</v>
          </cell>
          <cell r="C97">
            <v>11.300000000000004</v>
          </cell>
          <cell r="D97">
            <v>10.11</v>
          </cell>
          <cell r="E97">
            <v>10.990000000000002</v>
          </cell>
          <cell r="G97">
            <v>9.6454901960784198</v>
          </cell>
          <cell r="H97">
            <v>12.080000000000002</v>
          </cell>
          <cell r="I97">
            <v>10.606569343065697</v>
          </cell>
          <cell r="J97">
            <v>7.759999999999998</v>
          </cell>
          <cell r="L97">
            <v>12.546569343065695</v>
          </cell>
          <cell r="M97">
            <v>12.546569343065695</v>
          </cell>
          <cell r="N97">
            <v>12.546569343065695</v>
          </cell>
          <cell r="O97">
            <v>12.546569343065695</v>
          </cell>
        </row>
        <row r="105">
          <cell r="A105" t="str">
            <v>Contract LV PCI, $/t</v>
          </cell>
          <cell r="B105">
            <v>116</v>
          </cell>
          <cell r="C105">
            <v>100</v>
          </cell>
          <cell r="D105">
            <v>100</v>
          </cell>
          <cell r="E105">
            <v>99</v>
          </cell>
          <cell r="G105">
            <v>99</v>
          </cell>
          <cell r="H105">
            <v>93</v>
          </cell>
          <cell r="I105">
            <v>73</v>
          </cell>
          <cell r="J105">
            <v>71</v>
          </cell>
          <cell r="L105">
            <v>69</v>
          </cell>
          <cell r="M105">
            <v>72</v>
          </cell>
          <cell r="N105">
            <v>72</v>
          </cell>
          <cell r="O105">
            <v>72</v>
          </cell>
        </row>
        <row r="117">
          <cell r="A117" t="str">
            <v>Australian Newcastle  5500  Kkal $/t</v>
          </cell>
          <cell r="B117">
            <v>66.03</v>
          </cell>
          <cell r="C117">
            <v>63.95</v>
          </cell>
          <cell r="D117">
            <v>57.91</v>
          </cell>
          <cell r="E117">
            <v>53.44</v>
          </cell>
          <cell r="G117">
            <v>52.51</v>
          </cell>
          <cell r="H117">
            <v>46.19</v>
          </cell>
          <cell r="I117">
            <v>43.49</v>
          </cell>
          <cell r="J117">
            <v>39.81</v>
          </cell>
          <cell r="L117">
            <v>39.880000000000003</v>
          </cell>
          <cell r="M117">
            <v>42.05</v>
          </cell>
          <cell r="N117">
            <v>42.05</v>
          </cell>
          <cell r="O117">
            <v>42.05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4" workbookViewId="0">
      <selection activeCell="K2" sqref="K2:K25"/>
    </sheetView>
  </sheetViews>
  <sheetFormatPr defaultRowHeight="15"/>
  <cols>
    <col min="1" max="1" width="10.140625" customWidth="1"/>
    <col min="2" max="2" width="13.5703125" customWidth="1"/>
    <col min="10" max="10" width="14.85546875" customWidth="1"/>
    <col min="12" max="12" width="11.57031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1">
      <c r="A2" t="s">
        <v>112</v>
      </c>
      <c r="B2" t="s">
        <v>7</v>
      </c>
      <c r="C2">
        <v>0</v>
      </c>
      <c r="D2">
        <v>3</v>
      </c>
      <c r="E2">
        <v>0</v>
      </c>
      <c r="F2">
        <v>0</v>
      </c>
      <c r="G2" t="s">
        <v>8</v>
      </c>
      <c r="K2" s="2">
        <v>42370</v>
      </c>
    </row>
    <row r="3" spans="1:11">
      <c r="A3" t="s">
        <v>9</v>
      </c>
      <c r="B3" t="s">
        <v>10</v>
      </c>
      <c r="C3">
        <v>0</v>
      </c>
      <c r="D3">
        <v>0</v>
      </c>
      <c r="E3" t="s">
        <v>10</v>
      </c>
      <c r="F3" t="s">
        <v>11</v>
      </c>
      <c r="G3">
        <v>0</v>
      </c>
      <c r="K3" s="2">
        <v>42401</v>
      </c>
    </row>
    <row r="4" spans="1:11">
      <c r="A4" t="s">
        <v>113</v>
      </c>
      <c r="B4" t="s">
        <v>12</v>
      </c>
      <c r="C4">
        <v>0</v>
      </c>
      <c r="D4">
        <v>0</v>
      </c>
      <c r="E4">
        <v>0</v>
      </c>
      <c r="F4">
        <v>0</v>
      </c>
      <c r="G4" t="s">
        <v>12</v>
      </c>
      <c r="K4" s="2">
        <v>42430</v>
      </c>
    </row>
    <row r="5" spans="1:11">
      <c r="A5" t="s">
        <v>114</v>
      </c>
      <c r="B5" t="s">
        <v>13</v>
      </c>
      <c r="C5">
        <v>0</v>
      </c>
      <c r="D5">
        <v>3</v>
      </c>
      <c r="E5">
        <v>0</v>
      </c>
      <c r="F5">
        <v>0</v>
      </c>
      <c r="G5" t="s">
        <v>14</v>
      </c>
      <c r="K5" s="2">
        <v>42461</v>
      </c>
    </row>
    <row r="6" spans="1:11">
      <c r="A6" t="s">
        <v>15</v>
      </c>
      <c r="B6" t="s">
        <v>7</v>
      </c>
      <c r="C6">
        <v>0</v>
      </c>
      <c r="D6">
        <v>3</v>
      </c>
      <c r="E6">
        <v>0</v>
      </c>
      <c r="F6">
        <v>0</v>
      </c>
      <c r="G6" t="s">
        <v>8</v>
      </c>
      <c r="K6" s="2">
        <v>42491</v>
      </c>
    </row>
    <row r="7" spans="1:11">
      <c r="A7" t="s">
        <v>16</v>
      </c>
      <c r="B7" t="s">
        <v>12</v>
      </c>
      <c r="C7">
        <v>0</v>
      </c>
      <c r="D7">
        <v>0</v>
      </c>
      <c r="E7">
        <v>0</v>
      </c>
      <c r="F7">
        <v>0</v>
      </c>
      <c r="G7" t="s">
        <v>12</v>
      </c>
      <c r="K7" s="2">
        <v>42522</v>
      </c>
    </row>
    <row r="8" spans="1:11">
      <c r="A8" t="s">
        <v>17</v>
      </c>
      <c r="B8" t="s">
        <v>13</v>
      </c>
      <c r="C8">
        <v>0</v>
      </c>
      <c r="D8">
        <v>3</v>
      </c>
      <c r="E8">
        <v>0</v>
      </c>
      <c r="F8">
        <v>0</v>
      </c>
      <c r="G8" t="s">
        <v>14</v>
      </c>
      <c r="K8" s="2">
        <v>42552</v>
      </c>
    </row>
    <row r="9" spans="1:11">
      <c r="A9" t="s">
        <v>18</v>
      </c>
      <c r="B9" t="s">
        <v>7</v>
      </c>
      <c r="C9">
        <v>0</v>
      </c>
      <c r="D9">
        <v>3</v>
      </c>
      <c r="E9">
        <v>0</v>
      </c>
      <c r="F9">
        <v>0</v>
      </c>
      <c r="G9" t="s">
        <v>8</v>
      </c>
      <c r="K9" s="2">
        <v>42583</v>
      </c>
    </row>
    <row r="10" spans="1:11">
      <c r="A10" t="s">
        <v>19</v>
      </c>
      <c r="B10" t="s">
        <v>12</v>
      </c>
      <c r="C10">
        <v>0</v>
      </c>
      <c r="D10">
        <v>0</v>
      </c>
      <c r="E10">
        <v>0</v>
      </c>
      <c r="F10">
        <v>0</v>
      </c>
      <c r="G10" t="s">
        <v>12</v>
      </c>
      <c r="K10" s="2">
        <v>42614</v>
      </c>
    </row>
    <row r="11" spans="1:11">
      <c r="A11" t="s">
        <v>20</v>
      </c>
      <c r="B11" t="s">
        <v>13</v>
      </c>
      <c r="C11">
        <v>0</v>
      </c>
      <c r="D11">
        <v>3</v>
      </c>
      <c r="E11">
        <v>0</v>
      </c>
      <c r="F11">
        <v>0</v>
      </c>
      <c r="G11" t="s">
        <v>14</v>
      </c>
      <c r="K11" s="2">
        <v>42644</v>
      </c>
    </row>
    <row r="12" spans="1:11">
      <c r="A12" t="s">
        <v>21</v>
      </c>
      <c r="B12" t="s">
        <v>7</v>
      </c>
      <c r="C12">
        <v>0</v>
      </c>
      <c r="D12">
        <v>3</v>
      </c>
      <c r="E12">
        <v>0</v>
      </c>
      <c r="F12">
        <v>0</v>
      </c>
      <c r="G12" t="s">
        <v>8</v>
      </c>
      <c r="K12" s="2">
        <v>42675</v>
      </c>
    </row>
    <row r="13" spans="1:11">
      <c r="A13" t="s">
        <v>22</v>
      </c>
      <c r="B13" t="s">
        <v>12</v>
      </c>
      <c r="C13">
        <v>0</v>
      </c>
      <c r="D13">
        <v>0</v>
      </c>
      <c r="E13">
        <v>0</v>
      </c>
      <c r="F13">
        <v>0</v>
      </c>
      <c r="G13" t="s">
        <v>12</v>
      </c>
      <c r="K13" s="2">
        <v>42705</v>
      </c>
    </row>
    <row r="14" spans="1:11">
      <c r="A14" t="s">
        <v>23</v>
      </c>
      <c r="B14" t="s">
        <v>13</v>
      </c>
      <c r="C14">
        <v>0</v>
      </c>
      <c r="D14">
        <v>3</v>
      </c>
      <c r="E14">
        <v>0</v>
      </c>
      <c r="F14">
        <v>0</v>
      </c>
      <c r="G14" t="s">
        <v>14</v>
      </c>
      <c r="K14" s="2">
        <v>42736</v>
      </c>
    </row>
    <row r="15" spans="1:11">
      <c r="A15" t="s">
        <v>24</v>
      </c>
      <c r="B15" t="s">
        <v>7</v>
      </c>
      <c r="C15">
        <v>0</v>
      </c>
      <c r="D15">
        <v>3</v>
      </c>
      <c r="E15">
        <v>0</v>
      </c>
      <c r="F15">
        <v>0</v>
      </c>
      <c r="G15" t="s">
        <v>8</v>
      </c>
      <c r="K15" s="2">
        <v>42767</v>
      </c>
    </row>
    <row r="16" spans="1:11">
      <c r="A16" t="s">
        <v>25</v>
      </c>
      <c r="B16" t="s">
        <v>12</v>
      </c>
      <c r="C16">
        <v>0</v>
      </c>
      <c r="D16">
        <v>0</v>
      </c>
      <c r="E16">
        <v>0</v>
      </c>
      <c r="F16">
        <v>0</v>
      </c>
      <c r="G16" t="s">
        <v>12</v>
      </c>
      <c r="K16" s="2">
        <v>42795</v>
      </c>
    </row>
    <row r="17" spans="1:11">
      <c r="A17" t="s">
        <v>26</v>
      </c>
      <c r="B17" t="s">
        <v>13</v>
      </c>
      <c r="C17">
        <v>0</v>
      </c>
      <c r="D17">
        <v>3</v>
      </c>
      <c r="E17">
        <v>0</v>
      </c>
      <c r="F17">
        <v>0</v>
      </c>
      <c r="G17" t="s">
        <v>14</v>
      </c>
      <c r="K17" s="2">
        <v>42826</v>
      </c>
    </row>
    <row r="18" spans="1:11">
      <c r="A18" t="s">
        <v>27</v>
      </c>
      <c r="B18" t="s">
        <v>28</v>
      </c>
      <c r="C18">
        <v>0</v>
      </c>
      <c r="D18">
        <v>3</v>
      </c>
      <c r="E18">
        <v>825</v>
      </c>
      <c r="F18" t="s">
        <v>29</v>
      </c>
      <c r="G18" t="s">
        <v>8</v>
      </c>
      <c r="K18" s="2">
        <v>42856</v>
      </c>
    </row>
    <row r="19" spans="1:11">
      <c r="A19" t="s">
        <v>30</v>
      </c>
      <c r="B19" t="s">
        <v>31</v>
      </c>
      <c r="C19" t="s">
        <v>32</v>
      </c>
      <c r="D19">
        <v>0</v>
      </c>
      <c r="E19">
        <v>0</v>
      </c>
      <c r="F19">
        <v>0</v>
      </c>
      <c r="G19" t="s">
        <v>12</v>
      </c>
      <c r="K19" s="2">
        <v>42887</v>
      </c>
    </row>
    <row r="20" spans="1:11">
      <c r="A20" t="s">
        <v>33</v>
      </c>
      <c r="B20" t="s">
        <v>13</v>
      </c>
      <c r="C20">
        <v>0</v>
      </c>
      <c r="D20">
        <v>3</v>
      </c>
      <c r="E20">
        <v>0</v>
      </c>
      <c r="F20">
        <v>0</v>
      </c>
      <c r="G20" t="s">
        <v>14</v>
      </c>
      <c r="K20" s="2">
        <v>42917</v>
      </c>
    </row>
    <row r="21" spans="1:11">
      <c r="A21" t="s">
        <v>34</v>
      </c>
      <c r="B21" t="s">
        <v>7</v>
      </c>
      <c r="C21">
        <v>0</v>
      </c>
      <c r="D21">
        <v>3</v>
      </c>
      <c r="E21">
        <v>0</v>
      </c>
      <c r="F21">
        <v>0</v>
      </c>
      <c r="G21" t="s">
        <v>8</v>
      </c>
      <c r="K21" s="2">
        <v>42948</v>
      </c>
    </row>
    <row r="22" spans="1:11">
      <c r="A22" t="s">
        <v>35</v>
      </c>
      <c r="B22" t="s">
        <v>36</v>
      </c>
      <c r="C22">
        <v>0</v>
      </c>
      <c r="D22">
        <v>0</v>
      </c>
      <c r="E22">
        <v>0</v>
      </c>
      <c r="F22">
        <v>0</v>
      </c>
      <c r="G22" t="s">
        <v>36</v>
      </c>
      <c r="K22" s="2">
        <v>42979</v>
      </c>
    </row>
    <row r="23" spans="1:11">
      <c r="A23" t="s">
        <v>37</v>
      </c>
      <c r="B23" t="s">
        <v>13</v>
      </c>
      <c r="C23">
        <v>0</v>
      </c>
      <c r="D23">
        <v>3</v>
      </c>
      <c r="E23">
        <v>0</v>
      </c>
      <c r="F23">
        <v>0</v>
      </c>
      <c r="G23" t="s">
        <v>14</v>
      </c>
      <c r="K23" s="2">
        <v>43009</v>
      </c>
    </row>
    <row r="24" spans="1:11">
      <c r="A24" t="s">
        <v>38</v>
      </c>
      <c r="B24" t="s">
        <v>7</v>
      </c>
      <c r="C24">
        <v>0</v>
      </c>
      <c r="D24">
        <v>3</v>
      </c>
      <c r="E24">
        <v>0</v>
      </c>
      <c r="F24">
        <v>0</v>
      </c>
      <c r="G24" t="s">
        <v>8</v>
      </c>
      <c r="K24" s="2">
        <v>43040</v>
      </c>
    </row>
    <row r="25" spans="1:11">
      <c r="A25" t="s">
        <v>39</v>
      </c>
      <c r="B25" t="s">
        <v>36</v>
      </c>
      <c r="C25">
        <v>0</v>
      </c>
      <c r="D25">
        <v>0</v>
      </c>
      <c r="E25">
        <v>0</v>
      </c>
      <c r="F25">
        <v>0</v>
      </c>
      <c r="G25" t="s">
        <v>36</v>
      </c>
      <c r="K25" s="2">
        <v>43070</v>
      </c>
    </row>
    <row r="26" spans="1:11">
      <c r="A26" t="s">
        <v>40</v>
      </c>
      <c r="B26" t="s">
        <v>13</v>
      </c>
      <c r="C26">
        <v>0</v>
      </c>
      <c r="D26">
        <v>3</v>
      </c>
      <c r="E26">
        <v>0</v>
      </c>
      <c r="F26">
        <v>0</v>
      </c>
      <c r="G26" t="s">
        <v>14</v>
      </c>
    </row>
    <row r="27" spans="1:11">
      <c r="A27" t="s">
        <v>41</v>
      </c>
      <c r="B27" t="s">
        <v>7</v>
      </c>
      <c r="C27">
        <v>0</v>
      </c>
      <c r="D27">
        <v>3</v>
      </c>
      <c r="E27">
        <v>0</v>
      </c>
      <c r="F27">
        <v>0</v>
      </c>
      <c r="G27" t="s">
        <v>8</v>
      </c>
    </row>
    <row r="28" spans="1:11">
      <c r="A28" t="s">
        <v>42</v>
      </c>
      <c r="B28" t="s">
        <v>36</v>
      </c>
      <c r="C28">
        <v>0</v>
      </c>
      <c r="D28">
        <v>0</v>
      </c>
      <c r="E28">
        <v>0</v>
      </c>
      <c r="F28">
        <v>0</v>
      </c>
      <c r="G28" t="s">
        <v>36</v>
      </c>
    </row>
    <row r="29" spans="1:11">
      <c r="A29" t="s">
        <v>43</v>
      </c>
      <c r="B29" t="s">
        <v>13</v>
      </c>
      <c r="C29">
        <v>0</v>
      </c>
      <c r="D29">
        <v>3</v>
      </c>
      <c r="E29">
        <v>0</v>
      </c>
      <c r="F29">
        <v>0</v>
      </c>
      <c r="G29" t="s">
        <v>14</v>
      </c>
    </row>
    <row r="30" spans="1:11">
      <c r="A30" t="s">
        <v>44</v>
      </c>
      <c r="B30" t="s">
        <v>45</v>
      </c>
      <c r="C30">
        <v>650</v>
      </c>
      <c r="D30" t="s">
        <v>46</v>
      </c>
      <c r="E30">
        <v>0</v>
      </c>
      <c r="F30">
        <v>0</v>
      </c>
      <c r="G30" t="s">
        <v>8</v>
      </c>
    </row>
    <row r="31" spans="1:11">
      <c r="A31" t="s">
        <v>47</v>
      </c>
      <c r="B31" t="s">
        <v>36</v>
      </c>
      <c r="C31">
        <v>0</v>
      </c>
      <c r="D31">
        <v>0</v>
      </c>
      <c r="E31">
        <v>0</v>
      </c>
      <c r="F31">
        <v>0</v>
      </c>
      <c r="G31" t="s">
        <v>36</v>
      </c>
    </row>
    <row r="32" spans="1:11">
      <c r="A32" t="s">
        <v>48</v>
      </c>
      <c r="B32" t="s">
        <v>14</v>
      </c>
      <c r="C32">
        <v>0</v>
      </c>
      <c r="D32">
        <v>0</v>
      </c>
      <c r="E32">
        <v>0</v>
      </c>
      <c r="F32">
        <v>0</v>
      </c>
      <c r="G32" t="s">
        <v>14</v>
      </c>
    </row>
    <row r="33" spans="1:7">
      <c r="A33" t="s">
        <v>49</v>
      </c>
      <c r="B33">
        <v>50</v>
      </c>
      <c r="C33">
        <v>0</v>
      </c>
      <c r="D33">
        <v>0</v>
      </c>
      <c r="E33">
        <v>0</v>
      </c>
      <c r="F33">
        <v>0</v>
      </c>
      <c r="G33">
        <v>50</v>
      </c>
    </row>
    <row r="34" spans="1:7">
      <c r="A34" t="s">
        <v>50</v>
      </c>
      <c r="B34" t="s">
        <v>36</v>
      </c>
      <c r="C34">
        <v>0</v>
      </c>
      <c r="D34">
        <v>0</v>
      </c>
      <c r="E34">
        <v>0</v>
      </c>
      <c r="F34">
        <v>0</v>
      </c>
      <c r="G34" t="s">
        <v>36</v>
      </c>
    </row>
    <row r="35" spans="1:7">
      <c r="A35" t="s">
        <v>51</v>
      </c>
      <c r="B35" t="s">
        <v>14</v>
      </c>
      <c r="C35">
        <v>0</v>
      </c>
      <c r="D35">
        <v>0</v>
      </c>
      <c r="E35">
        <v>0</v>
      </c>
      <c r="F35">
        <v>0</v>
      </c>
      <c r="G35" t="s">
        <v>14</v>
      </c>
    </row>
    <row r="36" spans="1:7">
      <c r="A36" t="s">
        <v>52</v>
      </c>
      <c r="B36">
        <v>50</v>
      </c>
      <c r="C36">
        <v>0</v>
      </c>
      <c r="D36">
        <v>0</v>
      </c>
      <c r="E36">
        <v>0</v>
      </c>
      <c r="F36">
        <v>0</v>
      </c>
      <c r="G36">
        <v>50</v>
      </c>
    </row>
    <row r="37" spans="1:7">
      <c r="A37" t="s">
        <v>53</v>
      </c>
      <c r="B37" t="s">
        <v>54</v>
      </c>
      <c r="C37" t="s">
        <v>55</v>
      </c>
      <c r="D37">
        <v>0</v>
      </c>
      <c r="E37">
        <v>0</v>
      </c>
      <c r="F37">
        <v>0</v>
      </c>
      <c r="G37" t="s">
        <v>36</v>
      </c>
    </row>
    <row r="38" spans="1:7">
      <c r="A38" t="s">
        <v>56</v>
      </c>
      <c r="B38" t="s">
        <v>14</v>
      </c>
      <c r="C38">
        <v>0</v>
      </c>
      <c r="D38">
        <v>0</v>
      </c>
      <c r="E38">
        <v>0</v>
      </c>
      <c r="F38">
        <v>0</v>
      </c>
      <c r="G38" t="s">
        <v>14</v>
      </c>
    </row>
    <row r="39" spans="1:7">
      <c r="A39" t="s">
        <v>57</v>
      </c>
      <c r="B39">
        <v>1050</v>
      </c>
      <c r="C39">
        <v>1000</v>
      </c>
      <c r="D39">
        <v>0</v>
      </c>
      <c r="E39">
        <v>0</v>
      </c>
      <c r="F39">
        <v>0</v>
      </c>
      <c r="G39">
        <v>50</v>
      </c>
    </row>
    <row r="40" spans="1:7">
      <c r="A40" t="s">
        <v>58</v>
      </c>
      <c r="B40" t="s">
        <v>59</v>
      </c>
      <c r="C40">
        <v>0</v>
      </c>
      <c r="D40">
        <v>0</v>
      </c>
      <c r="E40">
        <v>0</v>
      </c>
      <c r="F40">
        <v>0</v>
      </c>
      <c r="G40" t="s">
        <v>59</v>
      </c>
    </row>
    <row r="41" spans="1:7">
      <c r="A41" t="s">
        <v>60</v>
      </c>
      <c r="B41" t="s">
        <v>14</v>
      </c>
      <c r="C41">
        <v>0</v>
      </c>
      <c r="D41">
        <v>0</v>
      </c>
      <c r="E41">
        <v>0</v>
      </c>
      <c r="F41">
        <v>0</v>
      </c>
      <c r="G41" t="s">
        <v>14</v>
      </c>
    </row>
    <row r="42" spans="1:7">
      <c r="A42" t="s">
        <v>61</v>
      </c>
      <c r="B42" t="s">
        <v>59</v>
      </c>
      <c r="C42">
        <v>0</v>
      </c>
      <c r="D42">
        <v>0</v>
      </c>
      <c r="E42">
        <v>0</v>
      </c>
      <c r="F42">
        <v>0</v>
      </c>
      <c r="G42" t="s">
        <v>59</v>
      </c>
    </row>
    <row r="43" spans="1:7">
      <c r="A43" t="s">
        <v>62</v>
      </c>
      <c r="B43" t="s">
        <v>14</v>
      </c>
      <c r="C43">
        <v>0</v>
      </c>
      <c r="D43">
        <v>0</v>
      </c>
      <c r="E43">
        <v>0</v>
      </c>
      <c r="F43">
        <v>0</v>
      </c>
      <c r="G43" t="s">
        <v>14</v>
      </c>
    </row>
    <row r="44" spans="1:7">
      <c r="A44" t="s">
        <v>63</v>
      </c>
      <c r="B44" t="s">
        <v>59</v>
      </c>
      <c r="C44">
        <v>0</v>
      </c>
      <c r="D44">
        <v>0</v>
      </c>
      <c r="E44">
        <v>0</v>
      </c>
      <c r="F44">
        <v>0</v>
      </c>
      <c r="G44" t="s">
        <v>59</v>
      </c>
    </row>
    <row r="45" spans="1:7">
      <c r="A45" t="s">
        <v>64</v>
      </c>
      <c r="B45" t="s">
        <v>14</v>
      </c>
      <c r="C45">
        <v>0</v>
      </c>
      <c r="D45">
        <v>0</v>
      </c>
      <c r="E45">
        <v>0</v>
      </c>
      <c r="F45">
        <v>0</v>
      </c>
      <c r="G45" t="s">
        <v>14</v>
      </c>
    </row>
    <row r="46" spans="1:7">
      <c r="A46" t="s">
        <v>65</v>
      </c>
      <c r="B46" t="s">
        <v>59</v>
      </c>
      <c r="C46">
        <v>0</v>
      </c>
      <c r="D46">
        <v>0</v>
      </c>
      <c r="E46">
        <v>0</v>
      </c>
      <c r="F46">
        <v>0</v>
      </c>
      <c r="G46" t="s">
        <v>59</v>
      </c>
    </row>
    <row r="47" spans="1:7">
      <c r="A47" t="s">
        <v>66</v>
      </c>
      <c r="B47" t="s">
        <v>14</v>
      </c>
      <c r="C47">
        <v>0</v>
      </c>
      <c r="D47">
        <v>0</v>
      </c>
      <c r="E47">
        <v>0</v>
      </c>
      <c r="F47">
        <v>0</v>
      </c>
      <c r="G47" t="s">
        <v>14</v>
      </c>
    </row>
    <row r="48" spans="1:7">
      <c r="A48" t="s">
        <v>67</v>
      </c>
      <c r="B48" t="s">
        <v>59</v>
      </c>
      <c r="C48">
        <v>0</v>
      </c>
      <c r="D48">
        <v>0</v>
      </c>
      <c r="E48">
        <v>0</v>
      </c>
      <c r="F48">
        <v>0</v>
      </c>
      <c r="G48" t="s">
        <v>59</v>
      </c>
    </row>
    <row r="49" spans="1:7">
      <c r="A49" t="s">
        <v>68</v>
      </c>
      <c r="B49" t="s">
        <v>14</v>
      </c>
      <c r="C49">
        <v>0</v>
      </c>
      <c r="D49">
        <v>0</v>
      </c>
      <c r="E49">
        <v>0</v>
      </c>
      <c r="F49">
        <v>0</v>
      </c>
      <c r="G49" t="s">
        <v>14</v>
      </c>
    </row>
    <row r="50" spans="1:7">
      <c r="A50" t="s">
        <v>69</v>
      </c>
      <c r="B50" t="s">
        <v>59</v>
      </c>
      <c r="C50">
        <v>0</v>
      </c>
      <c r="D50">
        <v>0</v>
      </c>
      <c r="E50">
        <v>0</v>
      </c>
      <c r="F50">
        <v>0</v>
      </c>
      <c r="G50" t="s">
        <v>59</v>
      </c>
    </row>
    <row r="51" spans="1:7">
      <c r="A51" t="s">
        <v>70</v>
      </c>
      <c r="B51" t="s">
        <v>14</v>
      </c>
      <c r="C51">
        <v>0</v>
      </c>
      <c r="D51">
        <v>0</v>
      </c>
      <c r="E51">
        <v>0</v>
      </c>
      <c r="F51">
        <v>0</v>
      </c>
      <c r="G51" t="s">
        <v>14</v>
      </c>
    </row>
    <row r="52" spans="1:7">
      <c r="A52" t="s">
        <v>71</v>
      </c>
      <c r="B52" t="s">
        <v>59</v>
      </c>
      <c r="C52">
        <v>0</v>
      </c>
      <c r="D52">
        <v>0</v>
      </c>
      <c r="E52">
        <v>0</v>
      </c>
      <c r="F52">
        <v>0</v>
      </c>
      <c r="G52" t="s">
        <v>59</v>
      </c>
    </row>
    <row r="53" spans="1:7">
      <c r="A53" t="s">
        <v>72</v>
      </c>
      <c r="B53" t="s">
        <v>14</v>
      </c>
      <c r="C53">
        <v>0</v>
      </c>
      <c r="D53">
        <v>0</v>
      </c>
      <c r="E53">
        <v>0</v>
      </c>
      <c r="F53">
        <v>0</v>
      </c>
      <c r="G53" t="s">
        <v>14</v>
      </c>
    </row>
    <row r="54" spans="1:7">
      <c r="A54" t="s">
        <v>73</v>
      </c>
      <c r="B54" t="s">
        <v>59</v>
      </c>
      <c r="C54">
        <v>0</v>
      </c>
      <c r="D54">
        <v>0</v>
      </c>
      <c r="E54">
        <v>0</v>
      </c>
      <c r="F54">
        <v>0</v>
      </c>
      <c r="G54" t="s">
        <v>59</v>
      </c>
    </row>
    <row r="55" spans="1:7">
      <c r="A55" t="s">
        <v>74</v>
      </c>
      <c r="B55" t="s">
        <v>14</v>
      </c>
      <c r="C55">
        <v>0</v>
      </c>
      <c r="D55">
        <v>0</v>
      </c>
      <c r="E55">
        <v>0</v>
      </c>
      <c r="F55">
        <v>0</v>
      </c>
      <c r="G55" t="s">
        <v>14</v>
      </c>
    </row>
    <row r="56" spans="1:7">
      <c r="A56" t="s">
        <v>75</v>
      </c>
      <c r="B56" t="s">
        <v>59</v>
      </c>
      <c r="C56">
        <v>0</v>
      </c>
      <c r="D56">
        <v>0</v>
      </c>
      <c r="E56">
        <v>0</v>
      </c>
      <c r="F56">
        <v>0</v>
      </c>
      <c r="G56" t="s">
        <v>59</v>
      </c>
    </row>
    <row r="57" spans="1:7">
      <c r="A57" t="s">
        <v>76</v>
      </c>
      <c r="B57" t="s">
        <v>14</v>
      </c>
      <c r="C57">
        <v>0</v>
      </c>
      <c r="D57">
        <v>0</v>
      </c>
      <c r="E57">
        <v>0</v>
      </c>
      <c r="F57">
        <v>0</v>
      </c>
      <c r="G57" t="s">
        <v>14</v>
      </c>
    </row>
    <row r="58" spans="1:7">
      <c r="A58" t="s">
        <v>77</v>
      </c>
      <c r="B58" t="s">
        <v>78</v>
      </c>
      <c r="C58">
        <v>250</v>
      </c>
      <c r="D58">
        <v>0</v>
      </c>
      <c r="E58">
        <v>0</v>
      </c>
      <c r="F58">
        <v>0</v>
      </c>
      <c r="G58" t="s">
        <v>59</v>
      </c>
    </row>
    <row r="59" spans="1:7">
      <c r="A59" t="s">
        <v>79</v>
      </c>
      <c r="B59" t="s">
        <v>14</v>
      </c>
      <c r="C59">
        <v>0</v>
      </c>
      <c r="D59">
        <v>0</v>
      </c>
      <c r="E59">
        <v>0</v>
      </c>
      <c r="F59">
        <v>0</v>
      </c>
      <c r="G59" t="s">
        <v>14</v>
      </c>
    </row>
    <row r="60" spans="1:7">
      <c r="A60" t="s">
        <v>80</v>
      </c>
      <c r="B60" t="s">
        <v>14</v>
      </c>
      <c r="C60">
        <v>0</v>
      </c>
      <c r="D60">
        <v>0</v>
      </c>
      <c r="E60">
        <v>0</v>
      </c>
      <c r="F60">
        <v>0</v>
      </c>
      <c r="G60" t="s">
        <v>14</v>
      </c>
    </row>
    <row r="61" spans="1:7">
      <c r="A61" t="s">
        <v>81</v>
      </c>
      <c r="B61" t="s">
        <v>14</v>
      </c>
      <c r="C61">
        <v>0</v>
      </c>
      <c r="D61">
        <v>0</v>
      </c>
      <c r="E61">
        <v>0</v>
      </c>
      <c r="F61">
        <v>0</v>
      </c>
      <c r="G61" t="s">
        <v>14</v>
      </c>
    </row>
    <row r="62" spans="1:7">
      <c r="A62" t="s">
        <v>82</v>
      </c>
      <c r="B62" t="s">
        <v>14</v>
      </c>
      <c r="C62">
        <v>0</v>
      </c>
      <c r="D62">
        <v>0</v>
      </c>
      <c r="E62">
        <v>0</v>
      </c>
      <c r="F62">
        <v>0</v>
      </c>
      <c r="G62" t="s">
        <v>14</v>
      </c>
    </row>
    <row r="63" spans="1:7">
      <c r="A63" t="s">
        <v>83</v>
      </c>
      <c r="B63" t="s">
        <v>14</v>
      </c>
      <c r="C63">
        <v>0</v>
      </c>
      <c r="D63">
        <v>0</v>
      </c>
      <c r="E63">
        <v>0</v>
      </c>
      <c r="F63">
        <v>0</v>
      </c>
      <c r="G63" t="s">
        <v>14</v>
      </c>
    </row>
    <row r="64" spans="1:7">
      <c r="A64" t="s">
        <v>84</v>
      </c>
      <c r="B64" t="s">
        <v>14</v>
      </c>
      <c r="C64">
        <v>0</v>
      </c>
      <c r="D64">
        <v>0</v>
      </c>
      <c r="E64">
        <v>0</v>
      </c>
      <c r="F64">
        <v>0</v>
      </c>
      <c r="G64" t="s">
        <v>14</v>
      </c>
    </row>
    <row r="65" spans="1:7">
      <c r="A65" t="s">
        <v>85</v>
      </c>
      <c r="B65" t="s">
        <v>14</v>
      </c>
      <c r="C65">
        <v>0</v>
      </c>
      <c r="D65">
        <v>0</v>
      </c>
      <c r="E65">
        <v>0</v>
      </c>
      <c r="F65">
        <v>0</v>
      </c>
      <c r="G65" t="s">
        <v>14</v>
      </c>
    </row>
    <row r="66" spans="1:7">
      <c r="A66" t="s">
        <v>86</v>
      </c>
      <c r="B66" t="s">
        <v>14</v>
      </c>
      <c r="C66">
        <v>0</v>
      </c>
      <c r="D66">
        <v>0</v>
      </c>
      <c r="E66">
        <v>0</v>
      </c>
      <c r="F66">
        <v>0</v>
      </c>
      <c r="G66" t="s">
        <v>14</v>
      </c>
    </row>
    <row r="67" spans="1:7">
      <c r="A67" t="s">
        <v>87</v>
      </c>
      <c r="B67" t="s">
        <v>14</v>
      </c>
      <c r="C67">
        <v>0</v>
      </c>
      <c r="D67">
        <v>0</v>
      </c>
      <c r="E67">
        <v>0</v>
      </c>
      <c r="F67">
        <v>0</v>
      </c>
      <c r="G67" t="s">
        <v>14</v>
      </c>
    </row>
    <row r="68" spans="1:7">
      <c r="A68" t="s">
        <v>88</v>
      </c>
      <c r="B68" t="s">
        <v>14</v>
      </c>
      <c r="C68">
        <v>0</v>
      </c>
      <c r="D68">
        <v>0</v>
      </c>
      <c r="E68">
        <v>0</v>
      </c>
      <c r="F68">
        <v>0</v>
      </c>
      <c r="G68" t="s">
        <v>14</v>
      </c>
    </row>
    <row r="69" spans="1:7">
      <c r="A69" t="s">
        <v>89</v>
      </c>
      <c r="B69" t="s">
        <v>14</v>
      </c>
      <c r="C69">
        <v>0</v>
      </c>
      <c r="D69">
        <v>0</v>
      </c>
      <c r="E69">
        <v>0</v>
      </c>
      <c r="F69">
        <v>0</v>
      </c>
      <c r="G69" t="s">
        <v>14</v>
      </c>
    </row>
    <row r="70" spans="1:7">
      <c r="A70" t="s">
        <v>90</v>
      </c>
      <c r="B70" t="s">
        <v>14</v>
      </c>
      <c r="C70">
        <v>0</v>
      </c>
      <c r="D70">
        <v>0</v>
      </c>
      <c r="E70">
        <v>0</v>
      </c>
      <c r="F70">
        <v>0</v>
      </c>
      <c r="G70" t="s">
        <v>14</v>
      </c>
    </row>
    <row r="71" spans="1:7">
      <c r="A71" t="s">
        <v>91</v>
      </c>
      <c r="B71" t="s">
        <v>14</v>
      </c>
      <c r="C71">
        <v>0</v>
      </c>
      <c r="D71">
        <v>0</v>
      </c>
      <c r="E71">
        <v>0</v>
      </c>
      <c r="F71">
        <v>0</v>
      </c>
      <c r="G71" t="s">
        <v>14</v>
      </c>
    </row>
    <row r="72" spans="1:7">
      <c r="A72" t="s">
        <v>92</v>
      </c>
      <c r="B72" t="s">
        <v>14</v>
      </c>
      <c r="C72">
        <v>0</v>
      </c>
      <c r="D72">
        <v>0</v>
      </c>
      <c r="E72">
        <v>0</v>
      </c>
      <c r="F72">
        <v>0</v>
      </c>
      <c r="G72" t="s">
        <v>14</v>
      </c>
    </row>
    <row r="73" spans="1:7">
      <c r="A73" t="s">
        <v>93</v>
      </c>
      <c r="B73" t="s">
        <v>14</v>
      </c>
      <c r="C73">
        <v>0</v>
      </c>
      <c r="D73">
        <v>0</v>
      </c>
      <c r="E73">
        <v>0</v>
      </c>
      <c r="F73">
        <v>0</v>
      </c>
      <c r="G73" t="s">
        <v>14</v>
      </c>
    </row>
    <row r="74" spans="1:7">
      <c r="A74" t="s">
        <v>94</v>
      </c>
      <c r="B74" t="s">
        <v>14</v>
      </c>
      <c r="C74">
        <v>0</v>
      </c>
      <c r="D74">
        <v>0</v>
      </c>
      <c r="E74">
        <v>0</v>
      </c>
      <c r="F74">
        <v>0</v>
      </c>
      <c r="G74" t="s">
        <v>14</v>
      </c>
    </row>
    <row r="75" spans="1:7">
      <c r="A75" t="s">
        <v>95</v>
      </c>
      <c r="B75" t="s">
        <v>14</v>
      </c>
      <c r="C75">
        <v>0</v>
      </c>
      <c r="D75">
        <v>0</v>
      </c>
      <c r="E75">
        <v>0</v>
      </c>
      <c r="F75">
        <v>0</v>
      </c>
      <c r="G75" t="s">
        <v>14</v>
      </c>
    </row>
    <row r="76" spans="1:7">
      <c r="A76" t="s">
        <v>96</v>
      </c>
      <c r="B76" t="s">
        <v>14</v>
      </c>
      <c r="C76">
        <v>0</v>
      </c>
      <c r="D76">
        <v>0</v>
      </c>
      <c r="E76">
        <v>0</v>
      </c>
      <c r="F76">
        <v>0</v>
      </c>
      <c r="G76" t="s">
        <v>14</v>
      </c>
    </row>
    <row r="77" spans="1:7">
      <c r="A77" t="s">
        <v>97</v>
      </c>
      <c r="B77" t="s">
        <v>14</v>
      </c>
      <c r="C77">
        <v>0</v>
      </c>
      <c r="D77">
        <v>0</v>
      </c>
      <c r="E77">
        <v>0</v>
      </c>
      <c r="F77">
        <v>0</v>
      </c>
      <c r="G77" t="s">
        <v>14</v>
      </c>
    </row>
    <row r="78" spans="1:7">
      <c r="A78" t="s">
        <v>98</v>
      </c>
      <c r="B78" t="s">
        <v>14</v>
      </c>
      <c r="C78">
        <v>0</v>
      </c>
      <c r="D78">
        <v>0</v>
      </c>
      <c r="E78">
        <v>0</v>
      </c>
      <c r="F78">
        <v>0</v>
      </c>
      <c r="G78" t="s">
        <v>14</v>
      </c>
    </row>
    <row r="79" spans="1:7">
      <c r="A79" t="s">
        <v>99</v>
      </c>
      <c r="B79" t="s">
        <v>14</v>
      </c>
      <c r="C79">
        <v>0</v>
      </c>
      <c r="D79">
        <v>0</v>
      </c>
      <c r="E79">
        <v>0</v>
      </c>
      <c r="F79">
        <v>0</v>
      </c>
      <c r="G79" t="s">
        <v>14</v>
      </c>
    </row>
    <row r="80" spans="1:7">
      <c r="A80" t="s">
        <v>100</v>
      </c>
      <c r="B80" t="s">
        <v>14</v>
      </c>
      <c r="C80">
        <v>0</v>
      </c>
      <c r="D80">
        <v>0</v>
      </c>
      <c r="E80">
        <v>0</v>
      </c>
      <c r="F80">
        <v>0</v>
      </c>
      <c r="G80" t="s">
        <v>14</v>
      </c>
    </row>
    <row r="81" spans="1:7">
      <c r="A81" t="s">
        <v>101</v>
      </c>
      <c r="B81" t="s">
        <v>14</v>
      </c>
      <c r="C81">
        <v>0</v>
      </c>
      <c r="D81">
        <v>0</v>
      </c>
      <c r="E81">
        <v>0</v>
      </c>
      <c r="F81">
        <v>0</v>
      </c>
      <c r="G81" t="s">
        <v>14</v>
      </c>
    </row>
    <row r="82" spans="1:7">
      <c r="A82" t="s">
        <v>102</v>
      </c>
      <c r="B82" t="s">
        <v>14</v>
      </c>
      <c r="C82">
        <v>0</v>
      </c>
      <c r="D82">
        <v>0</v>
      </c>
      <c r="E82">
        <v>0</v>
      </c>
      <c r="F82">
        <v>0</v>
      </c>
      <c r="G82" t="s">
        <v>14</v>
      </c>
    </row>
    <row r="83" spans="1:7">
      <c r="A83" t="s">
        <v>103</v>
      </c>
      <c r="B83" t="s">
        <v>14</v>
      </c>
      <c r="C83">
        <v>0</v>
      </c>
      <c r="D83">
        <v>0</v>
      </c>
      <c r="E83">
        <v>0</v>
      </c>
      <c r="F83">
        <v>0</v>
      </c>
      <c r="G83" t="s">
        <v>14</v>
      </c>
    </row>
    <row r="84" spans="1:7">
      <c r="A84" t="s">
        <v>104</v>
      </c>
      <c r="B84" t="s">
        <v>14</v>
      </c>
      <c r="C84">
        <v>0</v>
      </c>
      <c r="D84">
        <v>0</v>
      </c>
      <c r="E84">
        <v>0</v>
      </c>
      <c r="F84">
        <v>0</v>
      </c>
      <c r="G84" t="s">
        <v>14</v>
      </c>
    </row>
    <row r="85" spans="1:7">
      <c r="A85" t="s">
        <v>105</v>
      </c>
      <c r="B85" t="s">
        <v>14</v>
      </c>
      <c r="C85">
        <v>0</v>
      </c>
      <c r="D85">
        <v>0</v>
      </c>
      <c r="E85">
        <v>0</v>
      </c>
      <c r="F85">
        <v>0</v>
      </c>
      <c r="G85" t="s">
        <v>14</v>
      </c>
    </row>
    <row r="86" spans="1:7">
      <c r="A86" t="s">
        <v>106</v>
      </c>
      <c r="B86" t="s">
        <v>14</v>
      </c>
      <c r="C86">
        <v>0</v>
      </c>
      <c r="D86">
        <v>0</v>
      </c>
      <c r="E86">
        <v>0</v>
      </c>
      <c r="F86">
        <v>0</v>
      </c>
      <c r="G86" t="s">
        <v>14</v>
      </c>
    </row>
    <row r="87" spans="1:7">
      <c r="A87" t="s">
        <v>107</v>
      </c>
      <c r="B87" t="s">
        <v>14</v>
      </c>
      <c r="C87">
        <v>0</v>
      </c>
      <c r="D87">
        <v>0</v>
      </c>
      <c r="E87">
        <v>0</v>
      </c>
      <c r="F87">
        <v>0</v>
      </c>
      <c r="G87" t="s">
        <v>14</v>
      </c>
    </row>
    <row r="88" spans="1:7">
      <c r="A88" t="s">
        <v>108</v>
      </c>
      <c r="B88" t="s">
        <v>14</v>
      </c>
      <c r="C88">
        <v>0</v>
      </c>
      <c r="D88">
        <v>0</v>
      </c>
      <c r="E88">
        <v>0</v>
      </c>
      <c r="F88">
        <v>0</v>
      </c>
      <c r="G88" t="s">
        <v>14</v>
      </c>
    </row>
    <row r="89" spans="1:7">
      <c r="A89" t="s">
        <v>109</v>
      </c>
      <c r="B89" t="s">
        <v>110</v>
      </c>
      <c r="C89" t="s">
        <v>111</v>
      </c>
      <c r="D89">
        <v>0</v>
      </c>
      <c r="E89">
        <v>0</v>
      </c>
      <c r="F89">
        <v>0</v>
      </c>
      <c r="G89" t="s">
        <v>14</v>
      </c>
    </row>
  </sheetData>
  <pageMargins left="0.75" right="0.75" top="1" bottom="1" header="0.5" footer="0.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tabSelected="1" topLeftCell="T82" zoomScale="70" zoomScaleNormal="70" workbookViewId="0">
      <selection activeCell="AB15" sqref="AB15"/>
    </sheetView>
  </sheetViews>
  <sheetFormatPr defaultRowHeight="15"/>
  <cols>
    <col min="1" max="1" width="37.140625" customWidth="1"/>
    <col min="2" max="2" width="13.5703125" customWidth="1"/>
    <col min="3" max="3" width="11" hidden="1" customWidth="1"/>
    <col min="4" max="5" width="12" hidden="1" customWidth="1"/>
    <col min="6" max="7" width="10.85546875" customWidth="1"/>
    <col min="8" max="10" width="12" customWidth="1"/>
    <col min="11" max="11" width="15.140625" customWidth="1"/>
    <col min="12" max="12" width="14.42578125" customWidth="1"/>
    <col min="13" max="13" width="8.42578125" customWidth="1"/>
    <col min="14" max="16" width="10.7109375" customWidth="1"/>
    <col min="17" max="17" width="9.140625" customWidth="1"/>
    <col min="18" max="20" width="9" customWidth="1"/>
    <col min="21" max="21" width="12.85546875" customWidth="1"/>
    <col min="22" max="22" width="14.28515625" customWidth="1"/>
    <col min="23" max="23" width="8.42578125" customWidth="1"/>
    <col min="26" max="26" width="24" customWidth="1"/>
    <col min="27" max="27" width="20.7109375" customWidth="1"/>
    <col min="28" max="28" width="25.140625" customWidth="1"/>
    <col min="29" max="29" width="15.5703125" customWidth="1"/>
    <col min="32" max="32" width="14.140625" bestFit="1" customWidth="1"/>
    <col min="33" max="33" width="11" customWidth="1"/>
  </cols>
  <sheetData>
    <row r="1" spans="1:41" ht="15.75" thickBot="1">
      <c r="A1" s="3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8" t="s">
        <v>193</v>
      </c>
      <c r="R1" s="98" t="s">
        <v>194</v>
      </c>
      <c r="S1" s="98" t="s">
        <v>195</v>
      </c>
      <c r="T1" s="98" t="s">
        <v>196</v>
      </c>
      <c r="U1" s="92"/>
      <c r="V1" s="3"/>
      <c r="W1" s="3"/>
      <c r="X1" s="3"/>
      <c r="Y1" s="3"/>
      <c r="Z1" s="3" t="s">
        <v>115</v>
      </c>
      <c r="AA1" s="99"/>
      <c r="AG1" t="s">
        <v>245</v>
      </c>
      <c r="AH1" t="s">
        <v>246</v>
      </c>
      <c r="AI1" t="s">
        <v>247</v>
      </c>
      <c r="AJ1" t="s">
        <v>248</v>
      </c>
      <c r="AK1" t="s">
        <v>249</v>
      </c>
      <c r="AL1" t="s">
        <v>250</v>
      </c>
      <c r="AM1" t="s">
        <v>251</v>
      </c>
    </row>
    <row r="2" spans="1:41" ht="15.75" thickBot="1">
      <c r="A2" s="73" t="s">
        <v>115</v>
      </c>
      <c r="B2" s="74"/>
      <c r="C2" s="74"/>
      <c r="D2" s="75"/>
      <c r="E2" s="75"/>
      <c r="F2" s="119"/>
      <c r="G2" s="75" t="s">
        <v>191</v>
      </c>
      <c r="H2" s="120" t="s">
        <v>215</v>
      </c>
      <c r="J2" s="111"/>
      <c r="K2" s="139" t="s">
        <v>183</v>
      </c>
      <c r="L2" s="140"/>
      <c r="M2" s="93"/>
      <c r="N2" s="75"/>
      <c r="O2" s="75"/>
      <c r="P2" s="75"/>
      <c r="Q2" s="139" t="s">
        <v>186</v>
      </c>
      <c r="R2" s="140"/>
      <c r="S2" s="93"/>
      <c r="T2" s="93"/>
      <c r="U2" s="93" t="s">
        <v>197</v>
      </c>
      <c r="V2" s="75" t="s">
        <v>189</v>
      </c>
      <c r="W2" s="75" t="s">
        <v>190</v>
      </c>
      <c r="X2" s="75" t="s">
        <v>190</v>
      </c>
      <c r="Z2" s="94"/>
      <c r="AA2" s="100"/>
      <c r="AB2" s="101" t="s">
        <v>209</v>
      </c>
      <c r="AF2" s="12">
        <v>42370</v>
      </c>
      <c r="AG2" s="164"/>
      <c r="AH2" s="164"/>
      <c r="AI2" s="164"/>
      <c r="AJ2" s="164"/>
      <c r="AK2" s="164"/>
      <c r="AL2" s="164"/>
      <c r="AM2" s="11">
        <v>4</v>
      </c>
      <c r="AN2" s="11">
        <f>AL2+AJ2+AG2+AM2</f>
        <v>4</v>
      </c>
      <c r="AO2" s="11">
        <f>AO1+AN2</f>
        <v>4</v>
      </c>
    </row>
    <row r="3" spans="1:41" ht="15" customHeight="1" thickBot="1">
      <c r="A3" s="87" t="s">
        <v>115</v>
      </c>
      <c r="B3" s="78" t="s">
        <v>212</v>
      </c>
      <c r="C3" s="78" t="s">
        <v>133</v>
      </c>
      <c r="D3" s="88" t="s">
        <v>182</v>
      </c>
      <c r="E3" s="88" t="s">
        <v>129</v>
      </c>
      <c r="F3" s="88" t="s">
        <v>213</v>
      </c>
      <c r="G3" s="130" t="s">
        <v>216</v>
      </c>
      <c r="H3" s="129" t="s">
        <v>214</v>
      </c>
      <c r="J3" s="112" t="s">
        <v>130</v>
      </c>
      <c r="K3" s="88" t="s">
        <v>184</v>
      </c>
      <c r="L3" s="88" t="s">
        <v>185</v>
      </c>
      <c r="M3" s="88" t="s">
        <v>192</v>
      </c>
      <c r="N3" s="88" t="s">
        <v>192</v>
      </c>
      <c r="O3" s="88"/>
      <c r="P3" s="88"/>
      <c r="Q3" s="88" t="s">
        <v>187</v>
      </c>
      <c r="R3" s="88" t="s">
        <v>188</v>
      </c>
      <c r="S3" s="88"/>
      <c r="T3" s="88"/>
      <c r="U3" s="88"/>
      <c r="V3" s="88"/>
      <c r="W3" s="88"/>
      <c r="X3" s="88"/>
      <c r="Z3" s="79" t="s">
        <v>206</v>
      </c>
      <c r="AA3" s="101" t="s">
        <v>207</v>
      </c>
      <c r="AB3" s="106" t="s">
        <v>210</v>
      </c>
      <c r="AF3" s="12">
        <v>42401</v>
      </c>
      <c r="AG3" s="164"/>
      <c r="AH3" s="164"/>
      <c r="AI3" s="164"/>
      <c r="AJ3" s="164"/>
      <c r="AK3" s="164"/>
      <c r="AL3" s="164"/>
      <c r="AM3" s="11">
        <v>4</v>
      </c>
      <c r="AN3" s="11">
        <f t="shared" ref="AN3:AN23" si="0">AL3+AJ3+AG3+AM3</f>
        <v>4</v>
      </c>
      <c r="AO3" s="11">
        <f t="shared" ref="AO3:AO25" si="1">AO2+AN3</f>
        <v>8</v>
      </c>
    </row>
    <row r="4" spans="1:41">
      <c r="A4" s="80" t="s">
        <v>116</v>
      </c>
      <c r="B4" s="127">
        <v>1515.566</v>
      </c>
      <c r="C4" s="113" t="s">
        <v>131</v>
      </c>
      <c r="D4" s="81">
        <v>43419</v>
      </c>
      <c r="E4" s="81">
        <v>42323</v>
      </c>
      <c r="F4" s="85">
        <v>0.05</v>
      </c>
      <c r="G4" s="86">
        <f t="shared" ref="G4:G9" si="2">N4+X4</f>
        <v>6.5666666666666665E-2</v>
      </c>
      <c r="H4" s="128">
        <v>0.06</v>
      </c>
      <c r="J4" s="116">
        <v>42417</v>
      </c>
      <c r="K4" s="82">
        <f t="shared" ref="K4:K9" si="3">J4-E4</f>
        <v>94</v>
      </c>
      <c r="L4" s="82">
        <f>180-K4</f>
        <v>86</v>
      </c>
      <c r="M4" s="83">
        <f>-N4</f>
        <v>-1.5666666666666666E-2</v>
      </c>
      <c r="N4" s="83">
        <f t="shared" ref="N4:N9" si="4">K4/360*V4</f>
        <v>1.5666666666666666E-2</v>
      </c>
      <c r="O4" s="83">
        <f t="shared" ref="O4:O9" si="5">L4/360*V4</f>
        <v>1.4333333333333333E-2</v>
      </c>
      <c r="P4" s="83">
        <f>X4-N4</f>
        <v>3.4333333333333341E-2</v>
      </c>
      <c r="Q4" s="70" t="s">
        <v>124</v>
      </c>
      <c r="R4" s="70" t="s">
        <v>123</v>
      </c>
      <c r="S4" s="70" t="s">
        <v>124</v>
      </c>
      <c r="T4" s="70" t="s">
        <v>123</v>
      </c>
      <c r="U4" s="83">
        <f>V4/2</f>
        <v>0.03</v>
      </c>
      <c r="V4" s="84">
        <v>0.06</v>
      </c>
      <c r="W4" s="83">
        <f>-X4</f>
        <v>-0.05</v>
      </c>
      <c r="X4" s="85">
        <v>0.05</v>
      </c>
      <c r="Z4" s="95">
        <v>1515.566</v>
      </c>
      <c r="AA4" s="103">
        <f>Z4*X4</f>
        <v>75.778300000000002</v>
      </c>
      <c r="AB4" s="11">
        <f t="shared" ref="AB4:AB9" si="6">Z4*G4</f>
        <v>99.522167333333329</v>
      </c>
      <c r="AD4">
        <f t="shared" ref="AD4:AD9" si="7">Z4*V4/2</f>
        <v>45.46698</v>
      </c>
      <c r="AF4" s="12">
        <v>42430</v>
      </c>
      <c r="AG4" s="164">
        <f>AD5</f>
        <v>21.125</v>
      </c>
      <c r="AH4" s="164"/>
      <c r="AI4" s="164"/>
      <c r="AJ4" s="164">
        <f>AD7</f>
        <v>50</v>
      </c>
      <c r="AK4" s="164"/>
      <c r="AL4" s="164"/>
      <c r="AM4" s="11">
        <v>4</v>
      </c>
      <c r="AN4" s="11">
        <f t="shared" si="0"/>
        <v>75.125</v>
      </c>
      <c r="AO4" s="11">
        <f t="shared" si="1"/>
        <v>83.125</v>
      </c>
    </row>
    <row r="5" spans="1:41">
      <c r="A5" s="76" t="s">
        <v>117</v>
      </c>
      <c r="B5" s="115">
        <v>650</v>
      </c>
      <c r="C5" s="114" t="s">
        <v>131</v>
      </c>
      <c r="D5" s="10">
        <v>44089</v>
      </c>
      <c r="E5" s="10">
        <v>42262</v>
      </c>
      <c r="F5" s="6">
        <v>2.75E-2</v>
      </c>
      <c r="G5" s="86">
        <f t="shared" si="2"/>
        <v>5.5486111111111111E-2</v>
      </c>
      <c r="H5" s="122">
        <v>6.5000000000000002E-2</v>
      </c>
      <c r="J5" s="117">
        <f>J4</f>
        <v>42417</v>
      </c>
      <c r="K5" s="13">
        <f t="shared" si="3"/>
        <v>155</v>
      </c>
      <c r="L5" s="13">
        <f t="shared" ref="L5:L9" si="8">180-K5</f>
        <v>25</v>
      </c>
      <c r="M5" s="83">
        <f t="shared" ref="M5:M9" si="9">-N5</f>
        <v>-2.7986111111111114E-2</v>
      </c>
      <c r="N5" s="83">
        <f t="shared" si="4"/>
        <v>2.7986111111111114E-2</v>
      </c>
      <c r="O5" s="83">
        <f t="shared" si="5"/>
        <v>4.5138888888888893E-3</v>
      </c>
      <c r="P5" s="14">
        <f t="shared" ref="P5:P9" si="10">X5-N5</f>
        <v>-4.8611111111111424E-4</v>
      </c>
      <c r="Q5" s="4" t="s">
        <v>122</v>
      </c>
      <c r="R5" s="4" t="s">
        <v>125</v>
      </c>
      <c r="S5" s="4" t="s">
        <v>122</v>
      </c>
      <c r="T5" s="4" t="s">
        <v>125</v>
      </c>
      <c r="U5" s="83">
        <f t="shared" ref="U5:U9" si="11">V5/2</f>
        <v>3.2500000000000001E-2</v>
      </c>
      <c r="V5" s="6">
        <v>6.5000000000000002E-2</v>
      </c>
      <c r="W5" s="83">
        <f t="shared" ref="W5:W9" si="12">-X5</f>
        <v>-2.75E-2</v>
      </c>
      <c r="X5" s="6">
        <v>2.75E-2</v>
      </c>
      <c r="Z5" s="96">
        <v>650</v>
      </c>
      <c r="AA5" s="104">
        <f t="shared" ref="AA5:AA9" si="13">Z5*X5</f>
        <v>17.875</v>
      </c>
      <c r="AB5" s="11">
        <f t="shared" si="6"/>
        <v>36.065972222222221</v>
      </c>
      <c r="AD5">
        <f t="shared" si="7"/>
        <v>21.125</v>
      </c>
      <c r="AF5" s="12">
        <v>42461</v>
      </c>
      <c r="AG5" s="164"/>
      <c r="AH5" s="164"/>
      <c r="AI5" s="164"/>
      <c r="AJ5" s="164"/>
      <c r="AK5" s="164"/>
      <c r="AL5" s="164"/>
      <c r="AM5" s="11">
        <v>4</v>
      </c>
      <c r="AN5" s="11">
        <f t="shared" si="0"/>
        <v>4</v>
      </c>
      <c r="AO5" s="11">
        <f t="shared" si="1"/>
        <v>87.125</v>
      </c>
    </row>
    <row r="6" spans="1:41">
      <c r="A6" s="76" t="s">
        <v>118</v>
      </c>
      <c r="B6" s="115">
        <v>1339.44</v>
      </c>
      <c r="C6" s="114" t="s">
        <v>131</v>
      </c>
      <c r="D6" s="10">
        <v>44515</v>
      </c>
      <c r="E6" s="10">
        <v>42323</v>
      </c>
      <c r="F6" s="6">
        <v>4.7E-2</v>
      </c>
      <c r="G6" s="86">
        <f t="shared" si="2"/>
        <v>6.3319444444444442E-2</v>
      </c>
      <c r="H6" s="122">
        <v>6.25E-2</v>
      </c>
      <c r="J6" s="117">
        <f t="shared" ref="J6:J9" si="14">J5</f>
        <v>42417</v>
      </c>
      <c r="K6" s="13">
        <f t="shared" si="3"/>
        <v>94</v>
      </c>
      <c r="L6" s="13">
        <f t="shared" si="8"/>
        <v>86</v>
      </c>
      <c r="M6" s="83">
        <f t="shared" si="9"/>
        <v>-1.6319444444444445E-2</v>
      </c>
      <c r="N6" s="83">
        <f t="shared" si="4"/>
        <v>1.6319444444444445E-2</v>
      </c>
      <c r="O6" s="83">
        <f t="shared" si="5"/>
        <v>1.4930555555555556E-2</v>
      </c>
      <c r="P6" s="14">
        <f t="shared" si="10"/>
        <v>3.0680555555555555E-2</v>
      </c>
      <c r="Q6" s="4" t="s">
        <v>124</v>
      </c>
      <c r="R6" s="4" t="s">
        <v>123</v>
      </c>
      <c r="S6" s="4" t="s">
        <v>124</v>
      </c>
      <c r="T6" s="4" t="s">
        <v>123</v>
      </c>
      <c r="U6" s="83">
        <f t="shared" si="11"/>
        <v>3.125E-2</v>
      </c>
      <c r="V6" s="6">
        <v>6.25E-2</v>
      </c>
      <c r="W6" s="83">
        <f t="shared" si="12"/>
        <v>-4.7E-2</v>
      </c>
      <c r="X6" s="6">
        <v>4.7E-2</v>
      </c>
      <c r="Z6" s="96">
        <v>1339.44</v>
      </c>
      <c r="AA6" s="104">
        <f t="shared" si="13"/>
        <v>62.953680000000006</v>
      </c>
      <c r="AB6" s="11">
        <f t="shared" si="6"/>
        <v>84.812596666666664</v>
      </c>
      <c r="AD6">
        <f t="shared" si="7"/>
        <v>41.857500000000002</v>
      </c>
      <c r="AF6" s="12">
        <v>42491</v>
      </c>
      <c r="AG6" s="164"/>
      <c r="AH6" s="164">
        <f>AD4</f>
        <v>45.46698</v>
      </c>
      <c r="AI6" s="164"/>
      <c r="AJ6" s="164"/>
      <c r="AK6" s="164">
        <f>AD6</f>
        <v>41.857500000000002</v>
      </c>
      <c r="AL6" s="164">
        <f>AD8</f>
        <v>9.84375</v>
      </c>
      <c r="AM6" s="11">
        <v>4</v>
      </c>
      <c r="AN6" s="11">
        <f>AL6+AK6+AH6+AM6</f>
        <v>101.16822999999999</v>
      </c>
      <c r="AO6" s="11">
        <f t="shared" si="1"/>
        <v>188.29322999999999</v>
      </c>
    </row>
    <row r="7" spans="1:41">
      <c r="A7" s="76" t="s">
        <v>119</v>
      </c>
      <c r="B7" s="115">
        <v>1000</v>
      </c>
      <c r="C7" s="114" t="s">
        <v>132</v>
      </c>
      <c r="D7" s="10">
        <v>44635</v>
      </c>
      <c r="E7" s="10">
        <v>42262</v>
      </c>
      <c r="F7" s="6">
        <v>7.9380000000000006E-2</v>
      </c>
      <c r="G7" s="86">
        <f t="shared" si="2"/>
        <v>0.12243555555555558</v>
      </c>
      <c r="H7" s="121">
        <v>0.1</v>
      </c>
      <c r="J7" s="117">
        <f t="shared" si="14"/>
        <v>42417</v>
      </c>
      <c r="K7" s="13">
        <f t="shared" si="3"/>
        <v>155</v>
      </c>
      <c r="L7" s="13">
        <f t="shared" si="8"/>
        <v>25</v>
      </c>
      <c r="M7" s="83">
        <f t="shared" si="9"/>
        <v>-4.3055555555555562E-2</v>
      </c>
      <c r="N7" s="83">
        <f t="shared" si="4"/>
        <v>4.3055555555555562E-2</v>
      </c>
      <c r="O7" s="83">
        <f t="shared" si="5"/>
        <v>6.9444444444444449E-3</v>
      </c>
      <c r="P7" s="14">
        <f t="shared" si="10"/>
        <v>3.6324444444444444E-2</v>
      </c>
      <c r="Q7" s="4" t="s">
        <v>122</v>
      </c>
      <c r="R7" s="4" t="s">
        <v>125</v>
      </c>
      <c r="S7" s="4" t="s">
        <v>122</v>
      </c>
      <c r="T7" s="4" t="s">
        <v>125</v>
      </c>
      <c r="U7" s="83">
        <f t="shared" si="11"/>
        <v>0.05</v>
      </c>
      <c r="V7" s="5">
        <v>0.1</v>
      </c>
      <c r="W7" s="83">
        <f t="shared" si="12"/>
        <v>-7.9380000000000006E-2</v>
      </c>
      <c r="X7" s="6">
        <v>7.9380000000000006E-2</v>
      </c>
      <c r="Z7" s="96">
        <v>1000</v>
      </c>
      <c r="AA7" s="104">
        <f t="shared" si="13"/>
        <v>79.38000000000001</v>
      </c>
      <c r="AB7" s="11">
        <f t="shared" si="6"/>
        <v>122.43555555555558</v>
      </c>
      <c r="AD7">
        <f t="shared" si="7"/>
        <v>50</v>
      </c>
      <c r="AF7" s="12">
        <v>42522</v>
      </c>
      <c r="AG7" s="164"/>
      <c r="AH7" s="164"/>
      <c r="AI7" s="164">
        <f>AD9</f>
        <v>17.396875000000001</v>
      </c>
      <c r="AJ7" s="164"/>
      <c r="AK7" s="164"/>
      <c r="AL7" s="164"/>
      <c r="AM7" s="11">
        <v>4</v>
      </c>
      <c r="AN7" s="11">
        <f>AL7+AJ7+AI7+AM7</f>
        <v>21.396875000000001</v>
      </c>
      <c r="AO7" s="11">
        <f t="shared" si="1"/>
        <v>209.69010499999999</v>
      </c>
    </row>
    <row r="8" spans="1:41">
      <c r="A8" s="76" t="s">
        <v>120</v>
      </c>
      <c r="B8" s="115">
        <v>250</v>
      </c>
      <c r="C8" s="114" t="s">
        <v>131</v>
      </c>
      <c r="D8" s="10">
        <v>46327</v>
      </c>
      <c r="E8" s="10">
        <v>42309</v>
      </c>
      <c r="F8" s="6">
        <v>5.885E-2</v>
      </c>
      <c r="G8" s="86">
        <f t="shared" si="2"/>
        <v>8.2474999999999993E-2</v>
      </c>
      <c r="H8" s="122">
        <v>7.8750000000000001E-2</v>
      </c>
      <c r="J8" s="117">
        <f t="shared" si="14"/>
        <v>42417</v>
      </c>
      <c r="K8" s="13">
        <f t="shared" si="3"/>
        <v>108</v>
      </c>
      <c r="L8" s="13">
        <f t="shared" si="8"/>
        <v>72</v>
      </c>
      <c r="M8" s="83">
        <f t="shared" si="9"/>
        <v>-2.3625E-2</v>
      </c>
      <c r="N8" s="83">
        <f t="shared" si="4"/>
        <v>2.3625E-2</v>
      </c>
      <c r="O8" s="83">
        <f t="shared" si="5"/>
        <v>1.575E-2</v>
      </c>
      <c r="P8" s="14">
        <f t="shared" si="10"/>
        <v>3.5224999999999999E-2</v>
      </c>
      <c r="Q8" s="4" t="s">
        <v>124</v>
      </c>
      <c r="R8" s="4" t="s">
        <v>123</v>
      </c>
      <c r="S8" s="4" t="s">
        <v>124</v>
      </c>
      <c r="T8" s="4" t="s">
        <v>123</v>
      </c>
      <c r="U8" s="83">
        <f t="shared" si="11"/>
        <v>3.9375E-2</v>
      </c>
      <c r="V8" s="6">
        <v>7.8750000000000001E-2</v>
      </c>
      <c r="W8" s="83">
        <f t="shared" si="12"/>
        <v>-5.885E-2</v>
      </c>
      <c r="X8" s="6">
        <v>5.885E-2</v>
      </c>
      <c r="Z8" s="96">
        <v>250</v>
      </c>
      <c r="AA8" s="104">
        <f t="shared" si="13"/>
        <v>14.7125</v>
      </c>
      <c r="AB8" s="11">
        <f t="shared" si="6"/>
        <v>20.618749999999999</v>
      </c>
      <c r="AD8">
        <f t="shared" si="7"/>
        <v>9.84375</v>
      </c>
      <c r="AF8" s="12">
        <v>42552</v>
      </c>
      <c r="AG8" s="164"/>
      <c r="AH8" s="164"/>
      <c r="AI8" s="164"/>
      <c r="AJ8" s="164"/>
      <c r="AK8" s="164"/>
      <c r="AL8" s="164"/>
      <c r="AM8" s="11">
        <v>4</v>
      </c>
      <c r="AN8" s="11">
        <f t="shared" si="0"/>
        <v>4</v>
      </c>
      <c r="AO8" s="11">
        <f t="shared" si="1"/>
        <v>213.69010499999999</v>
      </c>
    </row>
    <row r="9" spans="1:41">
      <c r="A9" s="76" t="s">
        <v>126</v>
      </c>
      <c r="B9" s="115">
        <v>732.5</v>
      </c>
      <c r="C9" s="114" t="s">
        <v>131</v>
      </c>
      <c r="D9" s="10">
        <v>51850</v>
      </c>
      <c r="E9" s="10">
        <v>42353</v>
      </c>
      <c r="F9" s="6">
        <v>2.5000000000000001E-2</v>
      </c>
      <c r="G9" s="86">
        <f t="shared" si="2"/>
        <v>3.3444444444444443E-2</v>
      </c>
      <c r="H9" s="122">
        <v>4.7500000000000001E-2</v>
      </c>
      <c r="J9" s="117">
        <f t="shared" si="14"/>
        <v>42417</v>
      </c>
      <c r="K9" s="13">
        <f t="shared" si="3"/>
        <v>64</v>
      </c>
      <c r="L9" s="13">
        <f t="shared" si="8"/>
        <v>116</v>
      </c>
      <c r="M9" s="83">
        <f t="shared" si="9"/>
        <v>-8.4444444444444454E-3</v>
      </c>
      <c r="N9" s="83">
        <f t="shared" si="4"/>
        <v>8.4444444444444454E-3</v>
      </c>
      <c r="O9" s="83">
        <f t="shared" si="5"/>
        <v>1.5305555555555557E-2</v>
      </c>
      <c r="P9" s="14">
        <f t="shared" si="10"/>
        <v>1.6555555555555556E-2</v>
      </c>
      <c r="Q9" s="4" t="s">
        <v>128</v>
      </c>
      <c r="R9" s="4" t="s">
        <v>127</v>
      </c>
      <c r="S9" s="4" t="s">
        <v>128</v>
      </c>
      <c r="T9" s="4" t="s">
        <v>127</v>
      </c>
      <c r="U9" s="83">
        <f t="shared" si="11"/>
        <v>2.375E-2</v>
      </c>
      <c r="V9" s="6">
        <v>4.7500000000000001E-2</v>
      </c>
      <c r="W9" s="83">
        <f t="shared" si="12"/>
        <v>-2.5000000000000001E-2</v>
      </c>
      <c r="X9" s="6">
        <v>2.5000000000000001E-2</v>
      </c>
      <c r="Z9" s="96">
        <v>732.5</v>
      </c>
      <c r="AA9" s="104">
        <f t="shared" si="13"/>
        <v>18.3125</v>
      </c>
      <c r="AB9" s="11">
        <f t="shared" si="6"/>
        <v>24.498055555555556</v>
      </c>
      <c r="AD9">
        <f t="shared" si="7"/>
        <v>17.396875000000001</v>
      </c>
      <c r="AF9" s="12">
        <v>42583</v>
      </c>
      <c r="AG9" s="164"/>
      <c r="AH9" s="164"/>
      <c r="AI9" s="164"/>
      <c r="AJ9" s="164"/>
      <c r="AK9" s="164"/>
      <c r="AL9" s="164"/>
      <c r="AM9" s="11">
        <v>4</v>
      </c>
      <c r="AN9" s="11">
        <f t="shared" si="0"/>
        <v>4</v>
      </c>
      <c r="AO9" s="11">
        <f t="shared" si="1"/>
        <v>217.69010499999999</v>
      </c>
    </row>
    <row r="10" spans="1:41" ht="15.75" thickBot="1">
      <c r="A10" s="77" t="s">
        <v>121</v>
      </c>
      <c r="B10" s="123">
        <f>SUM(B4:B9)</f>
        <v>5487.5059999999994</v>
      </c>
      <c r="C10" s="124"/>
      <c r="D10" s="78"/>
      <c r="E10" s="78"/>
      <c r="F10" s="125"/>
      <c r="G10" s="79"/>
      <c r="H10" s="126"/>
      <c r="J10" s="11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Z10" s="97">
        <f>SUM(Z4:Z9)</f>
        <v>5487.5059999999994</v>
      </c>
      <c r="AA10" s="105">
        <f>SUM(AA4:AA9)</f>
        <v>269.01197999999999</v>
      </c>
      <c r="AB10" s="105">
        <f>SUM(AB4:AB9)</f>
        <v>387.95309733333335</v>
      </c>
      <c r="AC10" s="102"/>
      <c r="AF10" s="12">
        <v>42614</v>
      </c>
      <c r="AG10" s="164">
        <f>AG4</f>
        <v>21.125</v>
      </c>
      <c r="AH10" s="164"/>
      <c r="AI10" s="164"/>
      <c r="AJ10" s="164">
        <f>AJ4</f>
        <v>50</v>
      </c>
      <c r="AK10" s="164"/>
      <c r="AL10" s="164"/>
      <c r="AM10" s="11">
        <v>4</v>
      </c>
      <c r="AN10" s="11">
        <f t="shared" si="0"/>
        <v>75.125</v>
      </c>
      <c r="AO10" s="11">
        <f t="shared" si="1"/>
        <v>292.81510500000002</v>
      </c>
    </row>
    <row r="11" spans="1:41">
      <c r="A11" s="17" t="s">
        <v>190</v>
      </c>
      <c r="B11" s="70" t="s">
        <v>208</v>
      </c>
      <c r="C11" s="70" t="s">
        <v>193</v>
      </c>
      <c r="D11" s="70" t="s">
        <v>194</v>
      </c>
      <c r="E11" s="70" t="s">
        <v>195</v>
      </c>
      <c r="F11" s="70" t="s">
        <v>196</v>
      </c>
      <c r="G11" s="92"/>
      <c r="H11" s="92"/>
      <c r="I11" s="92"/>
      <c r="J11" s="9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Z11" s="72"/>
      <c r="AF11" s="12">
        <v>42644</v>
      </c>
      <c r="AG11" s="164"/>
      <c r="AH11" s="164"/>
      <c r="AI11" s="164"/>
      <c r="AJ11" s="164"/>
      <c r="AK11" s="164"/>
      <c r="AL11" s="164"/>
      <c r="AM11" s="11">
        <v>4</v>
      </c>
      <c r="AN11" s="11">
        <f t="shared" si="0"/>
        <v>4</v>
      </c>
      <c r="AO11" s="11">
        <f t="shared" si="1"/>
        <v>296.81510500000002</v>
      </c>
    </row>
    <row r="12" spans="1:41">
      <c r="A12" s="17" t="s">
        <v>190</v>
      </c>
      <c r="B12" s="70" t="s">
        <v>208</v>
      </c>
      <c r="C12" s="4" t="s">
        <v>198</v>
      </c>
      <c r="D12" s="4" t="s">
        <v>199</v>
      </c>
      <c r="E12" s="4" t="s">
        <v>200</v>
      </c>
      <c r="F12" s="4" t="s">
        <v>201</v>
      </c>
      <c r="G12" s="92"/>
      <c r="H12" s="92"/>
      <c r="I12" s="92"/>
      <c r="J12" s="9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5"/>
      <c r="Z12" s="8"/>
      <c r="AF12" s="12">
        <v>42675</v>
      </c>
      <c r="AG12" s="164"/>
      <c r="AH12" s="164">
        <f>AH6</f>
        <v>45.46698</v>
      </c>
      <c r="AI12" s="164"/>
      <c r="AJ12" s="164"/>
      <c r="AK12" s="164">
        <f>AK6</f>
        <v>41.857500000000002</v>
      </c>
      <c r="AL12" s="164">
        <f t="shared" ref="AL12" si="15">AL6</f>
        <v>9.84375</v>
      </c>
      <c r="AM12" s="11">
        <v>4</v>
      </c>
      <c r="AN12" s="11">
        <f>AL12+AK12+AH12+AM12</f>
        <v>101.16822999999999</v>
      </c>
      <c r="AO12" s="11">
        <f t="shared" si="1"/>
        <v>397.98333500000001</v>
      </c>
    </row>
    <row r="13" spans="1:41">
      <c r="A13" s="17" t="s">
        <v>190</v>
      </c>
      <c r="B13" s="70" t="s">
        <v>208</v>
      </c>
      <c r="C13" s="4" t="s">
        <v>202</v>
      </c>
      <c r="D13" s="4" t="s">
        <v>203</v>
      </c>
      <c r="E13" s="4" t="s">
        <v>204</v>
      </c>
      <c r="F13" s="4" t="s">
        <v>205</v>
      </c>
      <c r="G13" s="92"/>
      <c r="H13" s="92"/>
      <c r="I13" s="92"/>
      <c r="J13" s="9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5"/>
      <c r="Z13" s="8"/>
      <c r="AF13" s="12">
        <v>42705</v>
      </c>
      <c r="AG13" s="164"/>
      <c r="AH13" s="164"/>
      <c r="AI13" s="164">
        <f>AI7</f>
        <v>17.396875000000001</v>
      </c>
      <c r="AJ13" s="164"/>
      <c r="AK13" s="164"/>
      <c r="AL13" s="164"/>
      <c r="AM13" s="11">
        <v>4</v>
      </c>
      <c r="AN13" s="11">
        <f>AL13+AJ13+AI13+AM13</f>
        <v>21.396875000000001</v>
      </c>
      <c r="AO13" s="11">
        <f t="shared" si="1"/>
        <v>419.38021000000003</v>
      </c>
    </row>
    <row r="14" spans="1:41">
      <c r="C14" s="1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6"/>
      <c r="Z14" s="9"/>
      <c r="AF14" s="12">
        <v>42736</v>
      </c>
      <c r="AG14" s="164"/>
      <c r="AH14" s="164"/>
      <c r="AI14" s="164"/>
      <c r="AJ14" s="164"/>
      <c r="AK14" s="164"/>
      <c r="AL14" s="164"/>
      <c r="AM14" s="11">
        <v>4</v>
      </c>
      <c r="AN14" s="11">
        <f t="shared" si="0"/>
        <v>4</v>
      </c>
      <c r="AO14" s="11">
        <f t="shared" si="1"/>
        <v>423.38021000000003</v>
      </c>
    </row>
    <row r="15" spans="1:41">
      <c r="AF15" s="12">
        <v>42767</v>
      </c>
      <c r="AG15" s="164"/>
      <c r="AH15" s="164"/>
      <c r="AI15" s="164"/>
      <c r="AJ15" s="164"/>
      <c r="AK15" s="164"/>
      <c r="AL15" s="164"/>
      <c r="AM15" s="11">
        <v>4</v>
      </c>
      <c r="AN15" s="11">
        <f t="shared" si="0"/>
        <v>4</v>
      </c>
      <c r="AO15" s="11">
        <f t="shared" si="1"/>
        <v>427.38021000000003</v>
      </c>
    </row>
    <row r="16" spans="1:41">
      <c r="C16" s="70" t="s">
        <v>192</v>
      </c>
      <c r="AF16" s="12">
        <v>42795</v>
      </c>
      <c r="AG16" s="164">
        <f>AG10</f>
        <v>21.125</v>
      </c>
      <c r="AH16" s="164"/>
      <c r="AI16" s="164"/>
      <c r="AJ16" s="164">
        <f>AJ10</f>
        <v>50</v>
      </c>
      <c r="AK16" s="164"/>
      <c r="AL16" s="164"/>
      <c r="AM16" s="11">
        <v>4</v>
      </c>
      <c r="AN16" s="11">
        <f t="shared" si="0"/>
        <v>75.125</v>
      </c>
      <c r="AO16" s="11">
        <f t="shared" si="1"/>
        <v>502.50521000000003</v>
      </c>
    </row>
    <row r="17" spans="3:41">
      <c r="C17" s="70" t="s">
        <v>192</v>
      </c>
      <c r="AF17" s="12">
        <v>42826</v>
      </c>
      <c r="AG17" s="164"/>
      <c r="AH17" s="164"/>
      <c r="AI17" s="164"/>
      <c r="AJ17" s="164"/>
      <c r="AK17" s="164"/>
      <c r="AL17" s="164"/>
      <c r="AM17" s="11">
        <v>4</v>
      </c>
      <c r="AN17" s="11">
        <f t="shared" si="0"/>
        <v>4</v>
      </c>
      <c r="AO17" s="11">
        <f t="shared" si="1"/>
        <v>506.50521000000003</v>
      </c>
    </row>
    <row r="18" spans="3:41">
      <c r="C18" s="70" t="s">
        <v>192</v>
      </c>
      <c r="AF18" s="12">
        <v>42856</v>
      </c>
      <c r="AG18" s="164"/>
      <c r="AH18" s="164">
        <f>AH12</f>
        <v>45.46698</v>
      </c>
      <c r="AI18" s="164"/>
      <c r="AJ18" s="164"/>
      <c r="AK18" s="164">
        <f>AK12</f>
        <v>41.857500000000002</v>
      </c>
      <c r="AL18" s="164">
        <f t="shared" ref="AL18" si="16">AL12</f>
        <v>9.84375</v>
      </c>
      <c r="AM18" s="11">
        <v>4</v>
      </c>
      <c r="AN18" s="11">
        <f>AL18+AK18+AH18+AM18</f>
        <v>101.16822999999999</v>
      </c>
      <c r="AO18" s="11">
        <f t="shared" si="1"/>
        <v>607.67344000000003</v>
      </c>
    </row>
    <row r="19" spans="3:41">
      <c r="AF19" s="12">
        <v>42887</v>
      </c>
      <c r="AG19" s="164"/>
      <c r="AH19" s="164"/>
      <c r="AI19" s="164">
        <f>AI13</f>
        <v>17.396875000000001</v>
      </c>
      <c r="AJ19" s="164"/>
      <c r="AK19" s="164"/>
      <c r="AL19" s="164"/>
      <c r="AM19" s="11">
        <v>4</v>
      </c>
      <c r="AN19" s="11">
        <f>AL19+AJ19+AI19+AM19</f>
        <v>21.396875000000001</v>
      </c>
      <c r="AO19" s="11">
        <f t="shared" si="1"/>
        <v>629.07031500000005</v>
      </c>
    </row>
    <row r="20" spans="3:41">
      <c r="AF20" s="12">
        <v>42917</v>
      </c>
      <c r="AG20" s="164"/>
      <c r="AH20" s="164"/>
      <c r="AI20" s="164"/>
      <c r="AJ20" s="164"/>
      <c r="AK20" s="164"/>
      <c r="AL20" s="164"/>
      <c r="AM20" s="11">
        <v>4</v>
      </c>
      <c r="AN20" s="11">
        <f t="shared" si="0"/>
        <v>4</v>
      </c>
      <c r="AO20" s="11">
        <f t="shared" si="1"/>
        <v>633.07031500000005</v>
      </c>
    </row>
    <row r="21" spans="3:41">
      <c r="AF21" s="12">
        <v>42948</v>
      </c>
      <c r="AG21" s="164"/>
      <c r="AH21" s="164"/>
      <c r="AI21" s="164"/>
      <c r="AJ21" s="164"/>
      <c r="AK21" s="164"/>
      <c r="AL21" s="164"/>
      <c r="AM21" s="11">
        <v>4</v>
      </c>
      <c r="AN21" s="11">
        <f t="shared" si="0"/>
        <v>4</v>
      </c>
      <c r="AO21" s="11">
        <f t="shared" si="1"/>
        <v>637.07031500000005</v>
      </c>
    </row>
    <row r="22" spans="3:41">
      <c r="AF22" s="12">
        <v>42979</v>
      </c>
      <c r="AG22" s="164">
        <f>AG16</f>
        <v>21.125</v>
      </c>
      <c r="AH22" s="164"/>
      <c r="AI22" s="164"/>
      <c r="AJ22" s="164">
        <f>AJ16</f>
        <v>50</v>
      </c>
      <c r="AK22" s="164"/>
      <c r="AL22" s="164"/>
      <c r="AM22" s="11">
        <v>4</v>
      </c>
      <c r="AN22" s="11">
        <f t="shared" si="0"/>
        <v>75.125</v>
      </c>
      <c r="AO22" s="11">
        <f t="shared" si="1"/>
        <v>712.19531500000005</v>
      </c>
    </row>
    <row r="23" spans="3:41">
      <c r="AF23" s="12">
        <v>43009</v>
      </c>
      <c r="AG23" s="164"/>
      <c r="AH23" s="164"/>
      <c r="AI23" s="164"/>
      <c r="AJ23" s="164"/>
      <c r="AK23" s="164"/>
      <c r="AL23" s="164"/>
      <c r="AM23" s="11">
        <v>4</v>
      </c>
      <c r="AN23" s="11">
        <f t="shared" si="0"/>
        <v>4</v>
      </c>
      <c r="AO23" s="11">
        <f t="shared" si="1"/>
        <v>716.19531500000005</v>
      </c>
    </row>
    <row r="24" spans="3:41">
      <c r="AF24" s="12">
        <v>43040</v>
      </c>
      <c r="AG24" s="164"/>
      <c r="AH24" s="164">
        <f>AH18</f>
        <v>45.46698</v>
      </c>
      <c r="AI24" s="164"/>
      <c r="AJ24" s="164"/>
      <c r="AK24" s="164">
        <f>AK18</f>
        <v>41.857500000000002</v>
      </c>
      <c r="AL24" s="164">
        <f t="shared" ref="AL24" si="17">AL18</f>
        <v>9.84375</v>
      </c>
      <c r="AM24" s="11">
        <v>4</v>
      </c>
      <c r="AN24" s="11">
        <f>AL24+AK24+AH24+AM24</f>
        <v>101.16822999999999</v>
      </c>
      <c r="AO24" s="11">
        <f t="shared" si="1"/>
        <v>817.36354500000004</v>
      </c>
    </row>
    <row r="25" spans="3:41">
      <c r="AF25" s="12">
        <v>43070</v>
      </c>
      <c r="AG25" s="164"/>
      <c r="AH25" s="164"/>
      <c r="AI25" s="164">
        <f>AI19</f>
        <v>17.396875000000001</v>
      </c>
      <c r="AJ25" s="164"/>
      <c r="AK25" s="164"/>
      <c r="AL25" s="164"/>
      <c r="AM25" s="11">
        <v>4</v>
      </c>
      <c r="AN25" s="11">
        <f>AL25+AJ25+AI25+AM25</f>
        <v>21.396875000000001</v>
      </c>
      <c r="AO25" s="11">
        <f t="shared" si="1"/>
        <v>838.76042000000007</v>
      </c>
    </row>
  </sheetData>
  <mergeCells count="2">
    <mergeCell ref="K2:L2"/>
    <mergeCell ref="Q2:R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zoomScale="55" zoomScaleNormal="55" workbookViewId="0">
      <pane xSplit="1" ySplit="1" topLeftCell="R43" activePane="bottomRight" state="frozen"/>
      <selection pane="topRight" activeCell="B1" sqref="B1"/>
      <selection pane="bottomLeft" activeCell="A2" sqref="A2"/>
      <selection pane="bottomRight" activeCell="AC62" sqref="AC62"/>
    </sheetView>
  </sheetViews>
  <sheetFormatPr defaultRowHeight="15"/>
  <cols>
    <col min="1" max="1" width="34.85546875" customWidth="1"/>
    <col min="2" max="10" width="9.140625" customWidth="1"/>
    <col min="11" max="17" width="8.28515625" customWidth="1"/>
  </cols>
  <sheetData>
    <row r="1" spans="1:24" ht="12.75" customHeight="1">
      <c r="A1" s="46"/>
      <c r="B1" s="46" t="s">
        <v>134</v>
      </c>
      <c r="C1" s="46" t="s">
        <v>135</v>
      </c>
      <c r="D1" s="46" t="s">
        <v>136</v>
      </c>
      <c r="E1" s="46" t="s">
        <v>137</v>
      </c>
      <c r="F1" s="46">
        <v>2014</v>
      </c>
      <c r="G1" s="46" t="s">
        <v>138</v>
      </c>
      <c r="H1" s="46" t="s">
        <v>139</v>
      </c>
      <c r="I1" s="46" t="s">
        <v>140</v>
      </c>
      <c r="J1" s="46" t="s">
        <v>141</v>
      </c>
      <c r="K1" s="46">
        <v>2015</v>
      </c>
      <c r="L1" s="46" t="s">
        <v>172</v>
      </c>
      <c r="M1" s="46" t="s">
        <v>173</v>
      </c>
      <c r="N1" s="46" t="s">
        <v>174</v>
      </c>
      <c r="O1" s="46" t="s">
        <v>175</v>
      </c>
      <c r="P1" s="46">
        <v>2016</v>
      </c>
      <c r="Q1" s="46">
        <v>2017</v>
      </c>
      <c r="R1" s="46" t="s">
        <v>217</v>
      </c>
      <c r="S1" s="46" t="s">
        <v>218</v>
      </c>
      <c r="T1" s="46" t="s">
        <v>219</v>
      </c>
      <c r="U1" s="46" t="s">
        <v>220</v>
      </c>
      <c r="V1" s="20"/>
      <c r="W1" s="20"/>
      <c r="X1" s="20"/>
    </row>
    <row r="2" spans="1:24" ht="12.75" customHeight="1">
      <c r="A2" s="19" t="s">
        <v>142</v>
      </c>
      <c r="B2" s="51">
        <f t="shared" ref="B2:J2" si="0">B3+B7</f>
        <v>1596.4039999999998</v>
      </c>
      <c r="C2" s="51">
        <f t="shared" si="0"/>
        <v>1741.0840000000001</v>
      </c>
      <c r="D2" s="51">
        <f t="shared" si="0"/>
        <v>1700.3</v>
      </c>
      <c r="E2" s="51">
        <f t="shared" si="0"/>
        <v>1663.174</v>
      </c>
      <c r="F2" s="51">
        <f t="shared" si="0"/>
        <v>6698.6360000000004</v>
      </c>
      <c r="G2" s="52">
        <f t="shared" si="0"/>
        <v>1513.261</v>
      </c>
      <c r="H2" s="51">
        <f t="shared" si="0"/>
        <v>1327.518</v>
      </c>
      <c r="I2" s="51">
        <f t="shared" si="0"/>
        <v>1387.4</v>
      </c>
      <c r="J2" s="51">
        <f t="shared" si="0"/>
        <v>1317.9250000000002</v>
      </c>
      <c r="K2" s="51">
        <f>K3+K7</f>
        <v>5549.9499999999989</v>
      </c>
      <c r="L2" s="51">
        <f t="shared" ref="L2:P2" si="1">L3+L7</f>
        <v>1249.806</v>
      </c>
      <c r="M2" s="51">
        <f t="shared" si="1"/>
        <v>1250.806</v>
      </c>
      <c r="N2" s="51">
        <f t="shared" si="1"/>
        <v>1251.806</v>
      </c>
      <c r="O2" s="51">
        <f t="shared" si="1"/>
        <v>1252.806</v>
      </c>
      <c r="P2" s="51">
        <f t="shared" si="1"/>
        <v>3537.1239999999998</v>
      </c>
      <c r="Q2" s="51">
        <f t="shared" ref="Q2" si="2">Q3+Q7</f>
        <v>3385.9027999999998</v>
      </c>
      <c r="R2" s="20"/>
      <c r="S2" s="20"/>
      <c r="T2" s="20"/>
      <c r="U2" s="20"/>
      <c r="V2" s="20"/>
      <c r="W2" s="20"/>
      <c r="X2" s="20"/>
    </row>
    <row r="3" spans="1:24" ht="12.75" customHeight="1">
      <c r="A3" s="21" t="s">
        <v>143</v>
      </c>
      <c r="B3" s="53">
        <f>B4+B5+B6</f>
        <v>984.96899999999982</v>
      </c>
      <c r="C3" s="53">
        <f>C4+C5+C6</f>
        <v>1031.7809999999999</v>
      </c>
      <c r="D3" s="53">
        <v>1024</v>
      </c>
      <c r="E3" s="53">
        <f>E4+E5+E6</f>
        <v>985.77299999999991</v>
      </c>
      <c r="F3" s="53">
        <f>F4+F5+F6</f>
        <v>4025.444</v>
      </c>
      <c r="G3" s="54">
        <f>G4+G5+G6</f>
        <v>964.89399999999989</v>
      </c>
      <c r="H3" s="53">
        <f>H4+H5+H6</f>
        <v>818.404</v>
      </c>
      <c r="I3" s="53">
        <v>901.7</v>
      </c>
      <c r="J3" s="53">
        <f>J4+J5+J6</f>
        <v>831.22500000000014</v>
      </c>
      <c r="K3" s="53">
        <f>K4+K5+K6</f>
        <v>3520.0689999999995</v>
      </c>
      <c r="L3" s="53">
        <f t="shared" ref="L3:P3" si="3">L4+L5+L6</f>
        <v>761.10599999999999</v>
      </c>
      <c r="M3" s="53">
        <f t="shared" si="3"/>
        <v>761.10599999999999</v>
      </c>
      <c r="N3" s="53">
        <f t="shared" si="3"/>
        <v>761.10599999999999</v>
      </c>
      <c r="O3" s="53">
        <f t="shared" si="3"/>
        <v>761.10599999999999</v>
      </c>
      <c r="P3" s="53">
        <f t="shared" si="3"/>
        <v>3044.424</v>
      </c>
      <c r="Q3" s="53">
        <f t="shared" ref="Q3" si="4">Q4+Q5+Q6</f>
        <v>2892.2028</v>
      </c>
      <c r="R3" s="20"/>
      <c r="S3" s="20"/>
      <c r="T3" s="20"/>
      <c r="U3" s="20"/>
      <c r="V3" s="20"/>
      <c r="W3" s="20"/>
      <c r="X3" s="20"/>
    </row>
    <row r="4" spans="1:24" ht="12.75" customHeight="1">
      <c r="A4" s="22" t="s">
        <v>144</v>
      </c>
      <c r="B4" s="55">
        <f>C62*(C41+B41)-C4</f>
        <v>466.45099999999991</v>
      </c>
      <c r="C4" s="56">
        <f t="shared" ref="C4:F6" si="5">C41*C52</f>
        <v>498.88300000000004</v>
      </c>
      <c r="D4" s="56">
        <f t="shared" si="5"/>
        <v>472.15000000000003</v>
      </c>
      <c r="E4" s="56">
        <f t="shared" si="5"/>
        <v>485.64599999999996</v>
      </c>
      <c r="F4" s="56">
        <f t="shared" si="5"/>
        <v>1923.674</v>
      </c>
      <c r="G4" s="57">
        <f>H62*(H41+G41)-H4</f>
        <v>508.51999999999992</v>
      </c>
      <c r="H4" s="56">
        <f t="shared" ref="H4:K6" si="6">H41*H52</f>
        <v>409.488</v>
      </c>
      <c r="I4" s="56">
        <f t="shared" si="6"/>
        <v>476.41</v>
      </c>
      <c r="J4" s="56">
        <f t="shared" si="6"/>
        <v>472.31100000000004</v>
      </c>
      <c r="K4" s="56">
        <f t="shared" si="6"/>
        <v>1866.8599999999997</v>
      </c>
      <c r="L4" s="56">
        <f t="shared" ref="L4:Q4" si="7">L41*L52</f>
        <v>402.19200000000001</v>
      </c>
      <c r="M4" s="56">
        <f t="shared" si="7"/>
        <v>402.19200000000001</v>
      </c>
      <c r="N4" s="56">
        <f t="shared" si="7"/>
        <v>402.19200000000001</v>
      </c>
      <c r="O4" s="56">
        <f t="shared" si="7"/>
        <v>402.19200000000001</v>
      </c>
      <c r="P4" s="56">
        <f t="shared" si="7"/>
        <v>1608.768</v>
      </c>
      <c r="Q4" s="56">
        <f t="shared" si="7"/>
        <v>1528.3296</v>
      </c>
      <c r="R4" s="25"/>
      <c r="S4" s="25"/>
      <c r="T4" s="25"/>
      <c r="U4" s="25"/>
      <c r="V4" s="25"/>
      <c r="W4" s="20"/>
      <c r="X4" s="20"/>
    </row>
    <row r="5" spans="1:24" ht="12.75" customHeight="1">
      <c r="A5" s="22" t="s">
        <v>145</v>
      </c>
      <c r="B5" s="55">
        <f>C63*(C42+B42)-C5</f>
        <v>303.61399999999998</v>
      </c>
      <c r="C5" s="56">
        <f t="shared" si="5"/>
        <v>304.358</v>
      </c>
      <c r="D5" s="56">
        <f t="shared" si="5"/>
        <v>311.22000000000003</v>
      </c>
      <c r="E5" s="56">
        <f t="shared" si="5"/>
        <v>280.53899999999999</v>
      </c>
      <c r="F5" s="56">
        <f t="shared" si="5"/>
        <v>1199.75</v>
      </c>
      <c r="G5" s="57">
        <f>H63*(H42+G42)-H5</f>
        <v>277.59199999999998</v>
      </c>
      <c r="H5" s="56">
        <f t="shared" si="6"/>
        <v>239.66800000000003</v>
      </c>
      <c r="I5" s="56">
        <f t="shared" si="6"/>
        <v>251.845</v>
      </c>
      <c r="J5" s="56">
        <f t="shared" si="6"/>
        <v>209.714</v>
      </c>
      <c r="K5" s="56">
        <f t="shared" si="6"/>
        <v>979.01599999999996</v>
      </c>
      <c r="L5" s="56">
        <f t="shared" ref="L5:P5" si="8">L42*L53</f>
        <v>209.714</v>
      </c>
      <c r="M5" s="56">
        <f t="shared" si="8"/>
        <v>209.714</v>
      </c>
      <c r="N5" s="56">
        <f t="shared" si="8"/>
        <v>209.714</v>
      </c>
      <c r="O5" s="56">
        <f t="shared" si="8"/>
        <v>209.714</v>
      </c>
      <c r="P5" s="56">
        <f t="shared" si="8"/>
        <v>838.85599999999999</v>
      </c>
      <c r="Q5" s="56">
        <f t="shared" ref="Q5" si="9">Q42*Q53</f>
        <v>796.91320000000007</v>
      </c>
      <c r="R5" s="25"/>
      <c r="S5" s="25"/>
      <c r="T5" s="25"/>
      <c r="U5" s="25"/>
      <c r="V5" s="25"/>
      <c r="W5" s="20"/>
      <c r="X5" s="20"/>
    </row>
    <row r="6" spans="1:24" ht="12.75" customHeight="1">
      <c r="A6" s="22" t="s">
        <v>146</v>
      </c>
      <c r="B6" s="55">
        <f>C64*(C43+B43)-C6</f>
        <v>214.904</v>
      </c>
      <c r="C6" s="56">
        <f t="shared" si="5"/>
        <v>228.54000000000002</v>
      </c>
      <c r="D6" s="56">
        <f t="shared" si="5"/>
        <v>239.01</v>
      </c>
      <c r="E6" s="56">
        <f t="shared" si="5"/>
        <v>219.58799999999999</v>
      </c>
      <c r="F6" s="56">
        <f t="shared" si="5"/>
        <v>902.02</v>
      </c>
      <c r="G6" s="57">
        <f>H64*(H43+G43)-H6</f>
        <v>178.78200000000004</v>
      </c>
      <c r="H6" s="56">
        <f t="shared" si="6"/>
        <v>169.24799999999999</v>
      </c>
      <c r="I6" s="56">
        <f t="shared" si="6"/>
        <v>177.04900000000001</v>
      </c>
      <c r="J6" s="56">
        <f t="shared" si="6"/>
        <v>149.19999999999999</v>
      </c>
      <c r="K6" s="56">
        <f t="shared" si="6"/>
        <v>674.19299999999998</v>
      </c>
      <c r="L6" s="56">
        <f t="shared" ref="L6:P6" si="10">L43*L54</f>
        <v>149.19999999999999</v>
      </c>
      <c r="M6" s="56">
        <f t="shared" si="10"/>
        <v>149.19999999999999</v>
      </c>
      <c r="N6" s="56">
        <f t="shared" si="10"/>
        <v>149.19999999999999</v>
      </c>
      <c r="O6" s="56">
        <f t="shared" si="10"/>
        <v>149.19999999999999</v>
      </c>
      <c r="P6" s="56">
        <f t="shared" si="10"/>
        <v>596.79999999999995</v>
      </c>
      <c r="Q6" s="56">
        <f t="shared" ref="Q6" si="11">Q43*Q54</f>
        <v>566.95999999999992</v>
      </c>
      <c r="R6" s="25"/>
      <c r="S6" s="25"/>
      <c r="T6" s="25"/>
      <c r="U6" s="25"/>
      <c r="V6" s="25"/>
      <c r="W6" s="20"/>
      <c r="X6" s="20"/>
    </row>
    <row r="7" spans="1:24" ht="12.75" customHeight="1">
      <c r="A7" s="27" t="s">
        <v>147</v>
      </c>
      <c r="B7" s="58">
        <f>B9+B8</f>
        <v>611.43499999999995</v>
      </c>
      <c r="C7" s="58">
        <f>C9+C8</f>
        <v>709.30300000000011</v>
      </c>
      <c r="D7" s="59">
        <v>676.3</v>
      </c>
      <c r="E7" s="59">
        <f>E8+E9</f>
        <v>677.40099999999995</v>
      </c>
      <c r="F7" s="59">
        <f>F8+F9</f>
        <v>2673.1920000000005</v>
      </c>
      <c r="G7" s="58">
        <f>G9+G8</f>
        <v>548.36699999999996</v>
      </c>
      <c r="H7" s="58">
        <f>H9+H8</f>
        <v>509.11399999999998</v>
      </c>
      <c r="I7" s="58">
        <v>485.7</v>
      </c>
      <c r="J7" s="58">
        <v>486.7</v>
      </c>
      <c r="K7" s="58">
        <f>J7+I7+H7+G7</f>
        <v>2029.8809999999999</v>
      </c>
      <c r="L7" s="58">
        <v>488.7</v>
      </c>
      <c r="M7" s="58">
        <v>489.7</v>
      </c>
      <c r="N7" s="58">
        <v>490.7</v>
      </c>
      <c r="O7" s="58">
        <v>491.7</v>
      </c>
      <c r="P7" s="58">
        <v>492.7</v>
      </c>
      <c r="Q7" s="58">
        <v>493.7</v>
      </c>
      <c r="R7" s="25"/>
      <c r="S7" s="25"/>
      <c r="T7" s="25"/>
      <c r="U7" s="25"/>
      <c r="V7" s="25"/>
      <c r="W7" s="20"/>
      <c r="X7" s="20"/>
    </row>
    <row r="8" spans="1:24" ht="12.75" customHeight="1">
      <c r="A8" s="22" t="s">
        <v>148</v>
      </c>
      <c r="B8" s="55">
        <f>C66*(C45+B45)-C8</f>
        <v>332.09000000000003</v>
      </c>
      <c r="C8" s="56">
        <f t="shared" ref="C8:F9" si="12">C45*C56</f>
        <v>459.64800000000002</v>
      </c>
      <c r="D8" s="56">
        <f t="shared" si="12"/>
        <v>399.73500000000001</v>
      </c>
      <c r="E8" s="56">
        <f t="shared" si="12"/>
        <v>422.25599999999997</v>
      </c>
      <c r="F8" s="56">
        <f t="shared" si="12"/>
        <v>1613.5320000000004</v>
      </c>
      <c r="G8" s="57">
        <f>H66*(H45+G45)-H8</f>
        <v>330.53199999999998</v>
      </c>
      <c r="H8" s="56">
        <f t="shared" ref="H8:K9" si="13">H45*H56</f>
        <v>315.95999999999998</v>
      </c>
      <c r="I8" s="56">
        <f t="shared" si="13"/>
        <v>274.12</v>
      </c>
      <c r="J8" s="56">
        <f t="shared" si="13"/>
        <v>258.52</v>
      </c>
      <c r="K8" s="56">
        <f t="shared" si="13"/>
        <v>1178.1280000000002</v>
      </c>
      <c r="L8" s="56">
        <f t="shared" ref="L8:P8" si="14">L45*L56</f>
        <v>251.60000000000002</v>
      </c>
      <c r="M8" s="56">
        <f t="shared" si="14"/>
        <v>251.60000000000002</v>
      </c>
      <c r="N8" s="56">
        <f t="shared" si="14"/>
        <v>251.60000000000002</v>
      </c>
      <c r="O8" s="56">
        <f t="shared" si="14"/>
        <v>251.60000000000002</v>
      </c>
      <c r="P8" s="56">
        <f t="shared" si="14"/>
        <v>1006.4000000000001</v>
      </c>
      <c r="Q8" s="56">
        <f t="shared" ref="Q8" si="15">Q45*Q56</f>
        <v>956.07999999999993</v>
      </c>
      <c r="R8" s="25"/>
      <c r="S8" s="25"/>
      <c r="T8" s="25"/>
      <c r="U8" s="25"/>
      <c r="V8" s="134">
        <f>K35</f>
        <v>900</v>
      </c>
      <c r="W8" s="20">
        <f>K1</f>
        <v>2015</v>
      </c>
      <c r="X8" s="20"/>
    </row>
    <row r="9" spans="1:24" ht="12.75" customHeight="1">
      <c r="A9" s="22" t="s">
        <v>149</v>
      </c>
      <c r="B9" s="55">
        <f>C67*(C46+B46)-C9</f>
        <v>279.34499999999997</v>
      </c>
      <c r="C9" s="56">
        <f t="shared" si="12"/>
        <v>249.65500000000003</v>
      </c>
      <c r="D9" s="56">
        <f t="shared" si="12"/>
        <v>275.16500000000002</v>
      </c>
      <c r="E9" s="56">
        <f t="shared" si="12"/>
        <v>255.14500000000001</v>
      </c>
      <c r="F9" s="56">
        <f t="shared" si="12"/>
        <v>1059.6600000000001</v>
      </c>
      <c r="G9" s="57">
        <f>H67*(H46+G46)-H9</f>
        <v>217.83499999999992</v>
      </c>
      <c r="H9" s="56">
        <f t="shared" si="13"/>
        <v>193.154</v>
      </c>
      <c r="I9" s="56">
        <f t="shared" si="13"/>
        <v>205.48100000000002</v>
      </c>
      <c r="J9" s="56">
        <f t="shared" si="13"/>
        <v>207.62099999999998</v>
      </c>
      <c r="K9" s="56">
        <f t="shared" si="13"/>
        <v>824.09999999999991</v>
      </c>
      <c r="L9" s="56">
        <f t="shared" ref="L9:P9" si="16">L46*L57</f>
        <v>207.62099999999998</v>
      </c>
      <c r="M9" s="56">
        <f t="shared" si="16"/>
        <v>187.26599999999999</v>
      </c>
      <c r="N9" s="56">
        <f t="shared" si="16"/>
        <v>215.76300000000001</v>
      </c>
      <c r="O9" s="56">
        <f t="shared" si="16"/>
        <v>207.62099999999998</v>
      </c>
      <c r="P9" s="56">
        <f t="shared" si="16"/>
        <v>818.27099999999996</v>
      </c>
      <c r="Q9" s="56">
        <f t="shared" ref="Q9" si="17">Q46*Q57</f>
        <v>777.35744999999997</v>
      </c>
      <c r="R9" s="25"/>
      <c r="S9" s="25"/>
      <c r="T9" s="25"/>
      <c r="U9" s="25"/>
      <c r="V9" s="134">
        <f>L35</f>
        <v>-17.289000000000044</v>
      </c>
      <c r="W9" s="20" t="str">
        <f>L1</f>
        <v>1 q 2016</v>
      </c>
      <c r="X9" s="20"/>
    </row>
    <row r="10" spans="1:24" ht="12.75" customHeight="1">
      <c r="A10" s="22"/>
      <c r="B10" s="55"/>
      <c r="C10" s="55"/>
      <c r="D10" s="55"/>
      <c r="E10" s="55"/>
      <c r="F10" s="55"/>
      <c r="G10" s="5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5"/>
      <c r="S10" s="25"/>
      <c r="T10" s="25"/>
      <c r="U10" s="25"/>
      <c r="V10" s="134">
        <f>M35</f>
        <v>-60.220000000000056</v>
      </c>
      <c r="W10" s="20" t="str">
        <f>M1</f>
        <v>2 q 2016</v>
      </c>
      <c r="X10" s="20"/>
    </row>
    <row r="11" spans="1:24" ht="12.75" customHeight="1">
      <c r="A11" s="19" t="s">
        <v>150</v>
      </c>
      <c r="B11" s="51">
        <f t="shared" ref="B11:K11" si="18">B12+B16</f>
        <v>1331.479</v>
      </c>
      <c r="C11" s="51">
        <f t="shared" si="18"/>
        <v>1433.7529999999999</v>
      </c>
      <c r="D11" s="51">
        <f t="shared" si="18"/>
        <v>1410.4660000000001</v>
      </c>
      <c r="E11" s="51">
        <f t="shared" si="18"/>
        <v>1330.4649999999999</v>
      </c>
      <c r="F11" s="51">
        <f t="shared" si="18"/>
        <v>5502.3040000000001</v>
      </c>
      <c r="G11" s="52">
        <f t="shared" si="18"/>
        <v>1178.6889999999999</v>
      </c>
      <c r="H11" s="51">
        <f t="shared" si="18"/>
        <v>1062.05</v>
      </c>
      <c r="I11" s="51">
        <f t="shared" si="18"/>
        <v>1113.6039343065693</v>
      </c>
      <c r="J11" s="51">
        <f t="shared" si="18"/>
        <v>1059.857</v>
      </c>
      <c r="K11" s="51">
        <f t="shared" si="18"/>
        <v>4412.2060000000001</v>
      </c>
      <c r="L11" s="51">
        <f t="shared" ref="L11:P11" si="19">L12+L16</f>
        <v>988.17000000000007</v>
      </c>
      <c r="M11" s="51">
        <f t="shared" si="19"/>
        <v>971.69500000000005</v>
      </c>
      <c r="N11" s="51">
        <f t="shared" si="19"/>
        <v>994.76</v>
      </c>
      <c r="O11" s="51">
        <f t="shared" si="19"/>
        <v>988.17000000000007</v>
      </c>
      <c r="P11" s="51">
        <f t="shared" si="19"/>
        <v>3942.7950000000001</v>
      </c>
      <c r="Q11" s="51">
        <f t="shared" ref="Q11" si="20">Q12+Q16</f>
        <v>3942.7950000000001</v>
      </c>
      <c r="R11" s="20"/>
      <c r="S11" s="20"/>
      <c r="T11" s="20"/>
      <c r="U11" s="20"/>
      <c r="V11" s="135">
        <f>N35</f>
        <v>-101.07500000000005</v>
      </c>
      <c r="W11" s="20" t="str">
        <f>N1</f>
        <v>3 q 2016</v>
      </c>
      <c r="X11" s="20"/>
    </row>
    <row r="12" spans="1:24" ht="12.75" customHeight="1">
      <c r="A12" s="21" t="s">
        <v>143</v>
      </c>
      <c r="B12" s="53">
        <f t="shared" ref="B12:K12" si="21">B13+B14+B15</f>
        <v>740.67200000000003</v>
      </c>
      <c r="C12" s="53">
        <f t="shared" si="21"/>
        <v>729.99599999999998</v>
      </c>
      <c r="D12" s="53">
        <f t="shared" si="21"/>
        <v>740.41100000000006</v>
      </c>
      <c r="E12" s="53">
        <f t="shared" si="21"/>
        <v>730.98099999999999</v>
      </c>
      <c r="F12" s="53">
        <f t="shared" si="21"/>
        <v>2942.3140000000003</v>
      </c>
      <c r="G12" s="54">
        <f t="shared" si="21"/>
        <v>693.23799999999994</v>
      </c>
      <c r="H12" s="53">
        <f t="shared" si="21"/>
        <v>608.024</v>
      </c>
      <c r="I12" s="53">
        <f t="shared" si="21"/>
        <v>666.37599999999998</v>
      </c>
      <c r="J12" s="53">
        <f t="shared" si="21"/>
        <v>617.21199999999999</v>
      </c>
      <c r="K12" s="53">
        <f t="shared" si="21"/>
        <v>2585.5300000000002</v>
      </c>
      <c r="L12" s="53">
        <f t="shared" ref="L12:P12" si="22">L13+L14+L15</f>
        <v>566.12</v>
      </c>
      <c r="M12" s="53">
        <f t="shared" si="22"/>
        <v>566.12</v>
      </c>
      <c r="N12" s="53">
        <f t="shared" si="22"/>
        <v>566.12</v>
      </c>
      <c r="O12" s="53">
        <f t="shared" si="22"/>
        <v>566.12</v>
      </c>
      <c r="P12" s="53">
        <f t="shared" si="22"/>
        <v>2264.48</v>
      </c>
      <c r="Q12" s="53">
        <f t="shared" ref="Q12" si="23">Q13+Q14+Q15</f>
        <v>2264.48</v>
      </c>
      <c r="R12" s="20"/>
      <c r="S12" s="20"/>
      <c r="T12" s="20"/>
      <c r="U12" s="20"/>
      <c r="V12" s="135">
        <f>O35</f>
        <v>-230.56100000000004</v>
      </c>
      <c r="W12" s="20" t="str">
        <f>O1</f>
        <v>4 q 2016</v>
      </c>
      <c r="X12" s="20"/>
    </row>
    <row r="13" spans="1:24" ht="12.75" customHeight="1">
      <c r="A13" s="22" t="s">
        <v>144</v>
      </c>
      <c r="B13" s="55">
        <f>C82*(C41+B41)-C13</f>
        <v>357</v>
      </c>
      <c r="C13" s="56">
        <f>C41*C82</f>
        <v>341</v>
      </c>
      <c r="D13" s="56">
        <f t="shared" ref="D13:F15" si="24">D41*D72</f>
        <v>357.48500000000001</v>
      </c>
      <c r="E13" s="56">
        <f t="shared" si="24"/>
        <v>358.82599999999996</v>
      </c>
      <c r="F13" s="56">
        <f t="shared" si="24"/>
        <v>1414.5919999999999</v>
      </c>
      <c r="G13" s="57">
        <f>H82*(H41+G41)-H13</f>
        <v>368.49199999999996</v>
      </c>
      <c r="H13" s="56">
        <f t="shared" ref="H13:K15" si="25">H41*H72</f>
        <v>314.94399999999996</v>
      </c>
      <c r="I13" s="56">
        <f t="shared" si="25"/>
        <v>356.065</v>
      </c>
      <c r="J13" s="56">
        <f t="shared" si="25"/>
        <v>344.14800000000002</v>
      </c>
      <c r="K13" s="56">
        <f t="shared" si="25"/>
        <v>1383.836</v>
      </c>
      <c r="L13" s="56">
        <f t="shared" ref="L13:P13" si="26">L41*L72</f>
        <v>293.05599999999998</v>
      </c>
      <c r="M13" s="56">
        <f t="shared" si="26"/>
        <v>293.05599999999998</v>
      </c>
      <c r="N13" s="56">
        <f t="shared" si="26"/>
        <v>293.05599999999998</v>
      </c>
      <c r="O13" s="56">
        <f t="shared" si="26"/>
        <v>293.05599999999998</v>
      </c>
      <c r="P13" s="56">
        <f t="shared" si="26"/>
        <v>1172.2239999999999</v>
      </c>
      <c r="Q13" s="56">
        <f t="shared" ref="Q13" si="27">Q41*Q72</f>
        <v>1172.2239999999999</v>
      </c>
      <c r="R13" s="25"/>
      <c r="S13" s="25"/>
      <c r="T13" s="25"/>
      <c r="U13" s="25">
        <v>491</v>
      </c>
      <c r="V13" s="134">
        <v>-491</v>
      </c>
      <c r="W13" s="20">
        <f>Q1</f>
        <v>2017</v>
      </c>
      <c r="X13" s="20"/>
    </row>
    <row r="14" spans="1:24" ht="12.75" customHeight="1">
      <c r="A14" s="22" t="s">
        <v>145</v>
      </c>
      <c r="B14" s="55">
        <f>C83*(C42+B42)-C14</f>
        <v>229.27599999999998</v>
      </c>
      <c r="C14" s="56">
        <f>C42*C83</f>
        <v>229.27599999999998</v>
      </c>
      <c r="D14" s="56">
        <f t="shared" si="24"/>
        <v>224.64000000000001</v>
      </c>
      <c r="E14" s="56">
        <f t="shared" si="24"/>
        <v>209.291</v>
      </c>
      <c r="F14" s="56">
        <f t="shared" si="24"/>
        <v>892.50000000000011</v>
      </c>
      <c r="G14" s="57">
        <f>H83*(H42+G42)-H14</f>
        <v>198.03799999999998</v>
      </c>
      <c r="H14" s="56">
        <f t="shared" si="25"/>
        <v>173.36800000000002</v>
      </c>
      <c r="I14" s="56">
        <f t="shared" si="25"/>
        <v>178.80499999999998</v>
      </c>
      <c r="J14" s="56">
        <f t="shared" si="25"/>
        <v>159.34399999999999</v>
      </c>
      <c r="K14" s="56">
        <f t="shared" si="25"/>
        <v>709.98800000000006</v>
      </c>
      <c r="L14" s="56">
        <f t="shared" ref="L14:P14" si="28">L42*L73</f>
        <v>159.34399999999999</v>
      </c>
      <c r="M14" s="56">
        <f t="shared" si="28"/>
        <v>159.34399999999999</v>
      </c>
      <c r="N14" s="56">
        <f t="shared" si="28"/>
        <v>159.34399999999999</v>
      </c>
      <c r="O14" s="56">
        <f t="shared" si="28"/>
        <v>159.34399999999999</v>
      </c>
      <c r="P14" s="56">
        <f t="shared" si="28"/>
        <v>637.37599999999998</v>
      </c>
      <c r="Q14" s="56">
        <f t="shared" ref="Q14" si="29">Q42*Q73</f>
        <v>637.37599999999998</v>
      </c>
      <c r="R14" s="25"/>
      <c r="S14" s="25"/>
      <c r="T14" s="25"/>
      <c r="U14" s="25"/>
      <c r="V14" s="134"/>
      <c r="W14" s="20"/>
      <c r="X14" s="20"/>
    </row>
    <row r="15" spans="1:24" ht="12.75" customHeight="1">
      <c r="A15" s="22" t="s">
        <v>146</v>
      </c>
      <c r="B15" s="55">
        <f>C84*(C43+B43)-C15</f>
        <v>154.39600000000004</v>
      </c>
      <c r="C15" s="56">
        <f>C43*C84</f>
        <v>159.72</v>
      </c>
      <c r="D15" s="56">
        <f t="shared" si="24"/>
        <v>158.286</v>
      </c>
      <c r="E15" s="56">
        <f t="shared" si="24"/>
        <v>162.86399999999998</v>
      </c>
      <c r="F15" s="56">
        <f t="shared" si="24"/>
        <v>635.22200000000009</v>
      </c>
      <c r="G15" s="57">
        <f>H84*(H43+G43)-H15</f>
        <v>126.708</v>
      </c>
      <c r="H15" s="56">
        <f t="shared" si="25"/>
        <v>119.71199999999999</v>
      </c>
      <c r="I15" s="56">
        <f t="shared" si="25"/>
        <v>131.506</v>
      </c>
      <c r="J15" s="56">
        <f t="shared" si="25"/>
        <v>113.72</v>
      </c>
      <c r="K15" s="56">
        <f t="shared" si="25"/>
        <v>491.70600000000002</v>
      </c>
      <c r="L15" s="56">
        <f t="shared" ref="L15:P15" si="30">L43*L74</f>
        <v>113.72</v>
      </c>
      <c r="M15" s="56">
        <f t="shared" si="30"/>
        <v>113.72</v>
      </c>
      <c r="N15" s="56">
        <f t="shared" si="30"/>
        <v>113.72</v>
      </c>
      <c r="O15" s="56">
        <f t="shared" si="30"/>
        <v>113.72</v>
      </c>
      <c r="P15" s="56">
        <f t="shared" si="30"/>
        <v>454.88</v>
      </c>
      <c r="Q15" s="56">
        <f t="shared" ref="Q15" si="31">Q43*Q74</f>
        <v>454.88</v>
      </c>
      <c r="R15" s="25"/>
      <c r="S15" s="25"/>
      <c r="T15" s="25"/>
      <c r="U15" s="25"/>
      <c r="V15" s="25"/>
      <c r="W15" s="20"/>
      <c r="X15" s="20"/>
    </row>
    <row r="16" spans="1:24" ht="12.75" customHeight="1">
      <c r="A16" s="27" t="s">
        <v>147</v>
      </c>
      <c r="B16" s="58">
        <f t="shared" ref="B16:K16" si="32">B18+B17</f>
        <v>590.80700000000002</v>
      </c>
      <c r="C16" s="58">
        <f t="shared" si="32"/>
        <v>703.75699999999995</v>
      </c>
      <c r="D16" s="58">
        <f t="shared" si="32"/>
        <v>670.05500000000006</v>
      </c>
      <c r="E16" s="58">
        <f t="shared" si="32"/>
        <v>599.48399999999992</v>
      </c>
      <c r="F16" s="58">
        <f t="shared" si="32"/>
        <v>2559.9900000000002</v>
      </c>
      <c r="G16" s="58">
        <f t="shared" si="32"/>
        <v>485.45099999999991</v>
      </c>
      <c r="H16" s="58">
        <f t="shared" si="32"/>
        <v>454.02599999999995</v>
      </c>
      <c r="I16" s="58">
        <f t="shared" si="32"/>
        <v>447.2279343065693</v>
      </c>
      <c r="J16" s="58">
        <f t="shared" si="32"/>
        <v>442.64500000000004</v>
      </c>
      <c r="K16" s="58">
        <f t="shared" si="32"/>
        <v>1826.6759999999999</v>
      </c>
      <c r="L16" s="58">
        <f t="shared" ref="L16:P16" si="33">L18+L17</f>
        <v>422.05000000000007</v>
      </c>
      <c r="M16" s="58">
        <f t="shared" si="33"/>
        <v>405.57500000000005</v>
      </c>
      <c r="N16" s="58">
        <f t="shared" si="33"/>
        <v>428.64000000000004</v>
      </c>
      <c r="O16" s="58">
        <f t="shared" si="33"/>
        <v>422.05000000000007</v>
      </c>
      <c r="P16" s="58">
        <f t="shared" si="33"/>
        <v>1678.3150000000001</v>
      </c>
      <c r="Q16" s="58">
        <f t="shared" ref="Q16" si="34">Q18+Q17</f>
        <v>1678.3150000000001</v>
      </c>
      <c r="R16" s="25"/>
      <c r="S16" s="25"/>
      <c r="T16" s="25"/>
      <c r="U16" s="25"/>
      <c r="V16" s="25"/>
      <c r="W16" s="20"/>
      <c r="X16" s="20"/>
    </row>
    <row r="17" spans="1:24" ht="12.75" customHeight="1">
      <c r="A17" s="22" t="s">
        <v>148</v>
      </c>
      <c r="B17" s="55">
        <f>C86*(C45+B45)-C17</f>
        <v>400.29200000000003</v>
      </c>
      <c r="C17" s="56">
        <f t="shared" ref="C17:F18" si="35">C76*C45</f>
        <v>509.47199999999998</v>
      </c>
      <c r="D17" s="56">
        <f t="shared" si="35"/>
        <v>450.495</v>
      </c>
      <c r="E17" s="56">
        <f t="shared" si="35"/>
        <v>404.78399999999999</v>
      </c>
      <c r="F17" s="56">
        <f t="shared" si="35"/>
        <v>1764.7200000000003</v>
      </c>
      <c r="G17" s="57">
        <f>H86*(H45+G45)-H17</f>
        <v>316.80799999999994</v>
      </c>
      <c r="H17" s="56">
        <f t="shared" ref="H17:K18" si="36">H76*H45</f>
        <v>316.44</v>
      </c>
      <c r="I17" s="56">
        <f t="shared" si="36"/>
        <v>297.9617518248175</v>
      </c>
      <c r="J17" s="56">
        <f t="shared" si="36"/>
        <v>274.60000000000002</v>
      </c>
      <c r="K17" s="56">
        <f t="shared" si="36"/>
        <v>1196.3399999999999</v>
      </c>
      <c r="L17" s="56">
        <f t="shared" ref="L17:P17" si="37">L76*L45</f>
        <v>254.00500000000002</v>
      </c>
      <c r="M17" s="56">
        <f t="shared" si="37"/>
        <v>254.00500000000002</v>
      </c>
      <c r="N17" s="56">
        <f t="shared" si="37"/>
        <v>254.00500000000002</v>
      </c>
      <c r="O17" s="56">
        <f t="shared" si="37"/>
        <v>254.00500000000002</v>
      </c>
      <c r="P17" s="56">
        <f t="shared" si="37"/>
        <v>1016.0200000000001</v>
      </c>
      <c r="Q17" s="56">
        <f t="shared" ref="Q17" si="38">Q76*Q45</f>
        <v>1016.0200000000001</v>
      </c>
      <c r="R17" s="25"/>
      <c r="S17" s="25"/>
      <c r="T17" s="25"/>
      <c r="U17" s="25"/>
      <c r="V17" s="25"/>
      <c r="W17" s="20"/>
      <c r="X17" s="20"/>
    </row>
    <row r="18" spans="1:24" ht="12.75" customHeight="1">
      <c r="A18" s="22" t="s">
        <v>149</v>
      </c>
      <c r="B18" s="55">
        <f>C87*(C46+B46)-C18</f>
        <v>190.51499999999996</v>
      </c>
      <c r="C18" s="56">
        <f t="shared" si="35"/>
        <v>194.285</v>
      </c>
      <c r="D18" s="56">
        <f t="shared" si="35"/>
        <v>219.56</v>
      </c>
      <c r="E18" s="56">
        <f t="shared" si="35"/>
        <v>194.7</v>
      </c>
      <c r="F18" s="56">
        <f t="shared" si="35"/>
        <v>795.27</v>
      </c>
      <c r="G18" s="57">
        <f>H87*(H46+G46)-H18</f>
        <v>168.643</v>
      </c>
      <c r="H18" s="56">
        <f t="shared" si="36"/>
        <v>137.58599999999998</v>
      </c>
      <c r="I18" s="56">
        <f t="shared" si="36"/>
        <v>149.26618248175183</v>
      </c>
      <c r="J18" s="56">
        <f t="shared" si="36"/>
        <v>168.04500000000002</v>
      </c>
      <c r="K18" s="56">
        <f t="shared" si="36"/>
        <v>630.3359999999999</v>
      </c>
      <c r="L18" s="56">
        <f t="shared" ref="L18:P18" si="39">L77*L46</f>
        <v>168.04500000000002</v>
      </c>
      <c r="M18" s="56">
        <f t="shared" si="39"/>
        <v>151.57</v>
      </c>
      <c r="N18" s="56">
        <f t="shared" si="39"/>
        <v>174.63500000000002</v>
      </c>
      <c r="O18" s="56">
        <f t="shared" si="39"/>
        <v>168.04500000000002</v>
      </c>
      <c r="P18" s="56">
        <f t="shared" si="39"/>
        <v>662.29499999999996</v>
      </c>
      <c r="Q18" s="56">
        <f t="shared" ref="Q18" si="40">Q77*Q46</f>
        <v>662.29499999999996</v>
      </c>
      <c r="R18" s="25"/>
      <c r="S18" s="25"/>
      <c r="T18" s="25"/>
      <c r="U18" s="25"/>
      <c r="V18" s="25"/>
      <c r="W18" s="20"/>
      <c r="X18" s="20"/>
    </row>
    <row r="19" spans="1:24" ht="12.75" customHeight="1">
      <c r="A19" s="46"/>
      <c r="B19" s="46" t="s">
        <v>134</v>
      </c>
      <c r="C19" s="46" t="s">
        <v>135</v>
      </c>
      <c r="D19" s="46" t="s">
        <v>136</v>
      </c>
      <c r="E19" s="46" t="s">
        <v>137</v>
      </c>
      <c r="F19" s="46">
        <v>2014</v>
      </c>
      <c r="G19" s="46" t="s">
        <v>138</v>
      </c>
      <c r="H19" s="46" t="s">
        <v>139</v>
      </c>
      <c r="I19" s="46" t="s">
        <v>140</v>
      </c>
      <c r="J19" s="46" t="s">
        <v>141</v>
      </c>
      <c r="K19" s="46">
        <v>2015</v>
      </c>
      <c r="L19" s="46" t="s">
        <v>172</v>
      </c>
      <c r="M19" s="46" t="s">
        <v>173</v>
      </c>
      <c r="N19" s="46" t="s">
        <v>174</v>
      </c>
      <c r="O19" s="46" t="s">
        <v>175</v>
      </c>
      <c r="P19" s="46">
        <v>2016</v>
      </c>
      <c r="Q19" s="46">
        <v>2017</v>
      </c>
      <c r="R19" s="25"/>
      <c r="S19" s="25"/>
      <c r="T19" s="25"/>
      <c r="U19" s="25"/>
      <c r="V19" s="25"/>
      <c r="W19" s="20"/>
      <c r="X19" s="20"/>
    </row>
    <row r="20" spans="1:24" ht="12.75" customHeight="1">
      <c r="A20" s="29" t="s">
        <v>151</v>
      </c>
      <c r="B20" s="60">
        <f t="shared" ref="B20:K20" si="41">B22+B23+B24+B26+B27</f>
        <v>226.14900379506616</v>
      </c>
      <c r="C20" s="60">
        <f t="shared" si="41"/>
        <v>305.26200000000011</v>
      </c>
      <c r="D20" s="60">
        <f t="shared" si="41"/>
        <v>263.40199999999999</v>
      </c>
      <c r="E20" s="60">
        <f t="shared" si="41"/>
        <v>327.56399999999996</v>
      </c>
      <c r="F20" s="60">
        <f t="shared" si="41"/>
        <v>1152.8580000000002</v>
      </c>
      <c r="G20" s="60">
        <f t="shared" si="41"/>
        <v>329.15482564917863</v>
      </c>
      <c r="H20" s="60">
        <f t="shared" si="41"/>
        <v>250.9</v>
      </c>
      <c r="I20" s="60">
        <f t="shared" si="41"/>
        <v>243.40001459854022</v>
      </c>
      <c r="J20" s="60">
        <f t="shared" si="41"/>
        <v>226.87899999999996</v>
      </c>
      <c r="K20" s="60">
        <f t="shared" si="41"/>
        <v>1056.7869999999998</v>
      </c>
      <c r="L20" s="60">
        <f t="shared" ref="L20:P20" si="42">L22+L23+L24+L26+L27</f>
        <v>222.71099999999996</v>
      </c>
      <c r="M20" s="60">
        <f t="shared" si="42"/>
        <v>218.37999999999994</v>
      </c>
      <c r="N20" s="60">
        <f t="shared" si="42"/>
        <v>217.92499999999995</v>
      </c>
      <c r="O20" s="60">
        <f t="shared" si="42"/>
        <v>225.03899999999996</v>
      </c>
      <c r="P20" s="60">
        <f t="shared" si="42"/>
        <v>884.05499999999972</v>
      </c>
      <c r="Q20" s="60">
        <f>Q22+Q23+Q24+Q26+Q27</f>
        <v>632.75774999999965</v>
      </c>
      <c r="R20" s="32"/>
      <c r="S20" s="32"/>
      <c r="T20" s="32"/>
      <c r="U20" s="32"/>
      <c r="V20" s="32"/>
      <c r="W20" s="32"/>
      <c r="X20" s="32"/>
    </row>
    <row r="21" spans="1:24" ht="12.75" customHeight="1">
      <c r="A21" s="27" t="s">
        <v>152</v>
      </c>
      <c r="B21" s="58">
        <f t="shared" ref="B21:K21" si="43">B22+B23+B24</f>
        <v>244.2969999999998</v>
      </c>
      <c r="C21" s="58">
        <f t="shared" si="43"/>
        <v>291.71400000000006</v>
      </c>
      <c r="D21" s="58">
        <f t="shared" si="43"/>
        <v>281.96899999999999</v>
      </c>
      <c r="E21" s="58">
        <f t="shared" si="43"/>
        <v>254.79199999999997</v>
      </c>
      <c r="F21" s="58">
        <f t="shared" si="43"/>
        <v>1083.1299999999999</v>
      </c>
      <c r="G21" s="58">
        <f t="shared" si="43"/>
        <v>271.65600000000001</v>
      </c>
      <c r="H21" s="58">
        <f t="shared" si="43"/>
        <v>210.38000000000002</v>
      </c>
      <c r="I21" s="58">
        <f t="shared" si="43"/>
        <v>238.92800000000005</v>
      </c>
      <c r="J21" s="58">
        <f t="shared" si="43"/>
        <v>214.01300000000001</v>
      </c>
      <c r="K21" s="58">
        <f t="shared" si="43"/>
        <v>934.53899999999976</v>
      </c>
      <c r="L21" s="58">
        <f t="shared" ref="L21:P21" si="44">L22+L23+L24</f>
        <v>194.98599999999999</v>
      </c>
      <c r="M21" s="58">
        <f t="shared" si="44"/>
        <v>194.98599999999999</v>
      </c>
      <c r="N21" s="58">
        <f t="shared" si="44"/>
        <v>194.98599999999999</v>
      </c>
      <c r="O21" s="58">
        <f t="shared" si="44"/>
        <v>194.98599999999999</v>
      </c>
      <c r="P21" s="58">
        <f t="shared" si="44"/>
        <v>779.94399999999996</v>
      </c>
      <c r="Q21" s="58">
        <f t="shared" ref="Q21" si="45">Q22+Q23+Q24</f>
        <v>627.72279999999989</v>
      </c>
      <c r="R21" s="32"/>
      <c r="S21" s="32"/>
      <c r="T21" s="32"/>
      <c r="U21" s="32"/>
      <c r="V21" s="32"/>
      <c r="W21" s="32"/>
      <c r="X21" s="32"/>
    </row>
    <row r="22" spans="1:24" ht="12.75" customHeight="1">
      <c r="A22" s="22" t="s">
        <v>153</v>
      </c>
      <c r="B22" s="56">
        <f t="shared" ref="B22:K22" si="46">B92*B41</f>
        <v>109.45099999999989</v>
      </c>
      <c r="C22" s="56">
        <f t="shared" si="46"/>
        <v>151.40400000000005</v>
      </c>
      <c r="D22" s="56">
        <f t="shared" si="46"/>
        <v>114.66500000000002</v>
      </c>
      <c r="E22" s="56">
        <f t="shared" si="46"/>
        <v>126.82000000000001</v>
      </c>
      <c r="F22" s="56">
        <f t="shared" si="46"/>
        <v>509.08199999999999</v>
      </c>
      <c r="G22" s="56">
        <f t="shared" si="46"/>
        <v>140.02799999999996</v>
      </c>
      <c r="H22" s="56">
        <f t="shared" si="46"/>
        <v>94.544000000000025</v>
      </c>
      <c r="I22" s="56">
        <f t="shared" si="46"/>
        <v>120.34500000000003</v>
      </c>
      <c r="J22" s="56">
        <f t="shared" si="46"/>
        <v>128.16300000000001</v>
      </c>
      <c r="K22" s="56">
        <f t="shared" si="46"/>
        <v>483.02399999999977</v>
      </c>
      <c r="L22" s="56">
        <f>L92*L41</f>
        <v>109.136</v>
      </c>
      <c r="M22" s="56">
        <f t="shared" ref="M22:Q22" si="47">M92*M41</f>
        <v>109.136</v>
      </c>
      <c r="N22" s="56">
        <f t="shared" si="47"/>
        <v>109.136</v>
      </c>
      <c r="O22" s="56">
        <f t="shared" si="47"/>
        <v>109.136</v>
      </c>
      <c r="P22" s="56">
        <f t="shared" si="47"/>
        <v>436.54399999999998</v>
      </c>
      <c r="Q22" s="56">
        <f t="shared" si="47"/>
        <v>356.10559999999992</v>
      </c>
      <c r="R22" s="32"/>
      <c r="S22" s="32"/>
      <c r="T22" s="32"/>
      <c r="U22" s="32"/>
      <c r="V22" s="32"/>
      <c r="W22" s="32"/>
      <c r="X22" s="32"/>
    </row>
    <row r="23" spans="1:24" ht="12.75" customHeight="1">
      <c r="A23" s="22" t="s">
        <v>154</v>
      </c>
      <c r="B23" s="56">
        <f t="shared" ref="B23:K23" si="48">B93*B42</f>
        <v>74.337999999999965</v>
      </c>
      <c r="C23" s="56">
        <f t="shared" si="48"/>
        <v>69.75</v>
      </c>
      <c r="D23" s="56">
        <f t="shared" si="48"/>
        <v>86.58</v>
      </c>
      <c r="E23" s="56">
        <f t="shared" si="48"/>
        <v>71.24799999999999</v>
      </c>
      <c r="F23" s="56">
        <f t="shared" si="48"/>
        <v>307.25</v>
      </c>
      <c r="G23" s="56">
        <f t="shared" si="48"/>
        <v>79.554000000000002</v>
      </c>
      <c r="H23" s="56">
        <f t="shared" si="48"/>
        <v>66.3</v>
      </c>
      <c r="I23" s="56">
        <f t="shared" si="48"/>
        <v>73.040000000000006</v>
      </c>
      <c r="J23" s="56">
        <f t="shared" si="48"/>
        <v>50.370000000000012</v>
      </c>
      <c r="K23" s="56">
        <f t="shared" si="48"/>
        <v>269.02799999999996</v>
      </c>
      <c r="L23" s="56">
        <f t="shared" ref="L23:P23" si="49">L93*L42</f>
        <v>50.370000000000012</v>
      </c>
      <c r="M23" s="56">
        <f t="shared" si="49"/>
        <v>50.370000000000012</v>
      </c>
      <c r="N23" s="56">
        <f t="shared" si="49"/>
        <v>50.370000000000012</v>
      </c>
      <c r="O23" s="56">
        <f t="shared" si="49"/>
        <v>50.370000000000012</v>
      </c>
      <c r="P23" s="56">
        <f t="shared" si="49"/>
        <v>201.48000000000005</v>
      </c>
      <c r="Q23" s="56">
        <f t="shared" ref="Q23" si="50">Q93*Q42</f>
        <v>159.53720000000007</v>
      </c>
      <c r="R23" s="32"/>
      <c r="S23" s="32"/>
      <c r="T23" s="32"/>
      <c r="U23" s="32"/>
      <c r="V23" s="32"/>
      <c r="W23" s="32"/>
      <c r="X23" s="32"/>
    </row>
    <row r="24" spans="1:24" ht="12.75" customHeight="1">
      <c r="A24" s="22" t="s">
        <v>155</v>
      </c>
      <c r="B24" s="56">
        <f t="shared" ref="B24:K24" si="51">B94*B43</f>
        <v>60.507999999999932</v>
      </c>
      <c r="C24" s="56">
        <f t="shared" si="51"/>
        <v>70.560000000000031</v>
      </c>
      <c r="D24" s="56">
        <f t="shared" si="51"/>
        <v>80.723999999999975</v>
      </c>
      <c r="E24" s="56">
        <f t="shared" si="51"/>
        <v>56.724000000000004</v>
      </c>
      <c r="F24" s="56">
        <f t="shared" si="51"/>
        <v>266.79799999999994</v>
      </c>
      <c r="G24" s="56">
        <f t="shared" si="51"/>
        <v>52.074000000000048</v>
      </c>
      <c r="H24" s="56">
        <f t="shared" si="51"/>
        <v>49.535999999999994</v>
      </c>
      <c r="I24" s="56">
        <f t="shared" si="51"/>
        <v>45.543000000000006</v>
      </c>
      <c r="J24" s="56">
        <f t="shared" si="51"/>
        <v>35.47999999999999</v>
      </c>
      <c r="K24" s="56">
        <f t="shared" si="51"/>
        <v>182.48700000000002</v>
      </c>
      <c r="L24" s="56">
        <f t="shared" ref="L24:P24" si="52">L94*L43</f>
        <v>35.47999999999999</v>
      </c>
      <c r="M24" s="56">
        <f t="shared" si="52"/>
        <v>35.47999999999999</v>
      </c>
      <c r="N24" s="56">
        <f t="shared" si="52"/>
        <v>35.47999999999999</v>
      </c>
      <c r="O24" s="56">
        <f t="shared" si="52"/>
        <v>35.47999999999999</v>
      </c>
      <c r="P24" s="56">
        <f t="shared" si="52"/>
        <v>141.91999999999996</v>
      </c>
      <c r="Q24" s="56">
        <f t="shared" ref="Q24" si="53">Q94*Q43</f>
        <v>112.07999999999993</v>
      </c>
      <c r="R24" s="32"/>
      <c r="S24" s="32"/>
      <c r="T24" s="32"/>
      <c r="U24" s="32"/>
      <c r="V24" s="32"/>
      <c r="W24" s="32"/>
      <c r="X24" s="32"/>
    </row>
    <row r="25" spans="1:24" ht="12.75" customHeight="1">
      <c r="A25" s="27" t="s">
        <v>156</v>
      </c>
      <c r="B25" s="58">
        <f t="shared" ref="B25:K25" si="54">B26+B27</f>
        <v>-18.147996204933648</v>
      </c>
      <c r="C25" s="58">
        <f t="shared" si="54"/>
        <v>13.548000000000044</v>
      </c>
      <c r="D25" s="58">
        <f t="shared" si="54"/>
        <v>-18.567000000000007</v>
      </c>
      <c r="E25" s="58">
        <f t="shared" si="54"/>
        <v>72.77200000000002</v>
      </c>
      <c r="F25" s="58">
        <f t="shared" si="54"/>
        <v>69.728000000000236</v>
      </c>
      <c r="G25" s="58">
        <f t="shared" si="54"/>
        <v>57.498825649178613</v>
      </c>
      <c r="H25" s="58">
        <f t="shared" si="54"/>
        <v>40.519999999999982</v>
      </c>
      <c r="I25" s="58">
        <f t="shared" si="54"/>
        <v>4.4720145985401878</v>
      </c>
      <c r="J25" s="58">
        <f t="shared" si="54"/>
        <v>12.865999999999936</v>
      </c>
      <c r="K25" s="58">
        <f t="shared" si="54"/>
        <v>122.24800000000006</v>
      </c>
      <c r="L25" s="58">
        <f t="shared" ref="L25:P25" si="55">L26+L27</f>
        <v>27.724999999999962</v>
      </c>
      <c r="M25" s="58">
        <f t="shared" si="55"/>
        <v>23.393999999999966</v>
      </c>
      <c r="N25" s="58">
        <f t="shared" si="55"/>
        <v>22.938999999999965</v>
      </c>
      <c r="O25" s="58">
        <f t="shared" si="55"/>
        <v>30.052999999999958</v>
      </c>
      <c r="P25" s="58">
        <f t="shared" si="55"/>
        <v>104.11099999999986</v>
      </c>
      <c r="Q25" s="58">
        <f t="shared" ref="Q25" si="56">Q26+Q27</f>
        <v>5.0349499999997676</v>
      </c>
      <c r="R25" s="32"/>
      <c r="S25" s="32"/>
      <c r="T25" s="32"/>
      <c r="U25" s="32"/>
      <c r="V25" s="32"/>
      <c r="W25" s="32"/>
      <c r="X25" s="32"/>
    </row>
    <row r="26" spans="1:24" ht="12.75" customHeight="1">
      <c r="A26" s="22" t="s">
        <v>157</v>
      </c>
      <c r="B26" s="56">
        <f t="shared" ref="B26:K26" si="57">B96*B46</f>
        <v>-112.20329032258071</v>
      </c>
      <c r="C26" s="56">
        <f t="shared" si="57"/>
        <v>-50.861999999999981</v>
      </c>
      <c r="D26" s="56">
        <f t="shared" si="57"/>
        <v>-62.040000000000006</v>
      </c>
      <c r="E26" s="56">
        <f t="shared" si="57"/>
        <v>20.020000000000003</v>
      </c>
      <c r="F26" s="56">
        <f t="shared" si="57"/>
        <v>-184.58999999999983</v>
      </c>
      <c r="G26" s="56">
        <f t="shared" si="57"/>
        <v>18.916864864864934</v>
      </c>
      <c r="H26" s="56">
        <f t="shared" si="57"/>
        <v>-0.55200000000002092</v>
      </c>
      <c r="I26" s="56">
        <f t="shared" si="57"/>
        <v>-31.590321167883179</v>
      </c>
      <c r="J26" s="56">
        <f t="shared" si="57"/>
        <v>-20.502000000000052</v>
      </c>
      <c r="K26" s="56">
        <f t="shared" si="57"/>
        <v>-23.315999999999928</v>
      </c>
      <c r="L26" s="56">
        <f t="shared" ref="L26:P26" si="58">L96*L46</f>
        <v>-3.3150000000000288</v>
      </c>
      <c r="M26" s="56">
        <f t="shared" si="58"/>
        <v>-2.990000000000026</v>
      </c>
      <c r="N26" s="56">
        <f t="shared" si="58"/>
        <v>-3.44500000000003</v>
      </c>
      <c r="O26" s="56">
        <f t="shared" si="58"/>
        <v>-3.3150000000000288</v>
      </c>
      <c r="P26" s="56">
        <f t="shared" si="58"/>
        <v>-13.065000000000113</v>
      </c>
      <c r="Q26" s="56">
        <f t="shared" ref="Q26" si="59">Q96*Q46</f>
        <v>-81.405000000000214</v>
      </c>
      <c r="R26" s="32"/>
      <c r="S26" s="32"/>
      <c r="T26" s="32"/>
      <c r="U26" s="32"/>
      <c r="V26" s="32"/>
      <c r="W26" s="32"/>
      <c r="X26" s="32"/>
    </row>
    <row r="27" spans="1:24" ht="12.75" customHeight="1">
      <c r="A27" s="22" t="s">
        <v>158</v>
      </c>
      <c r="B27" s="56">
        <f t="shared" ref="B27:K27" si="60">B97*B47</f>
        <v>94.055294117647065</v>
      </c>
      <c r="C27" s="56">
        <f t="shared" si="60"/>
        <v>64.410000000000025</v>
      </c>
      <c r="D27" s="56">
        <f t="shared" si="60"/>
        <v>43.472999999999999</v>
      </c>
      <c r="E27" s="56">
        <f t="shared" si="60"/>
        <v>52.75200000000001</v>
      </c>
      <c r="F27" s="56">
        <f t="shared" si="60"/>
        <v>254.31800000000007</v>
      </c>
      <c r="G27" s="56">
        <f t="shared" si="60"/>
        <v>38.581960784313679</v>
      </c>
      <c r="H27" s="56">
        <f t="shared" si="60"/>
        <v>41.072000000000003</v>
      </c>
      <c r="I27" s="56">
        <f t="shared" si="60"/>
        <v>36.062335766423367</v>
      </c>
      <c r="J27" s="56">
        <f t="shared" si="60"/>
        <v>33.367999999999988</v>
      </c>
      <c r="K27" s="56">
        <f t="shared" si="60"/>
        <v>145.56399999999999</v>
      </c>
      <c r="L27" s="56">
        <f t="shared" ref="L27:P27" si="61">L97*L47</f>
        <v>31.039999999999992</v>
      </c>
      <c r="M27" s="56">
        <f t="shared" si="61"/>
        <v>26.383999999999993</v>
      </c>
      <c r="N27" s="56">
        <f t="shared" si="61"/>
        <v>26.383999999999993</v>
      </c>
      <c r="O27" s="56">
        <f t="shared" si="61"/>
        <v>33.367999999999988</v>
      </c>
      <c r="P27" s="56">
        <f t="shared" si="61"/>
        <v>117.17599999999997</v>
      </c>
      <c r="Q27" s="56">
        <f t="shared" ref="Q27" si="62">Q97*Q47</f>
        <v>86.439949999999982</v>
      </c>
      <c r="R27" s="32"/>
      <c r="S27" s="32"/>
      <c r="T27" s="32"/>
      <c r="U27" s="32"/>
      <c r="V27" s="32"/>
      <c r="W27" s="32"/>
      <c r="X27" s="32"/>
    </row>
    <row r="28" spans="1:24" ht="12.75" customHeight="1">
      <c r="A28" s="29" t="s">
        <v>176</v>
      </c>
      <c r="B28" s="60">
        <f>-118.7-C28</f>
        <v>-59.5</v>
      </c>
      <c r="C28" s="60">
        <f>-59.2</f>
        <v>-59.2</v>
      </c>
      <c r="D28" s="60">
        <v>-57.9</v>
      </c>
      <c r="E28" s="60">
        <v>-55.5</v>
      </c>
      <c r="F28" s="60">
        <v>-227.1</v>
      </c>
      <c r="G28" s="60">
        <f>-91-H28</f>
        <v>-49.4</v>
      </c>
      <c r="H28" s="60">
        <v>-41.6</v>
      </c>
      <c r="I28" s="60">
        <v>-37.799999999999997</v>
      </c>
      <c r="J28" s="60">
        <v>-47.6</v>
      </c>
      <c r="K28" s="60">
        <v>-176.4</v>
      </c>
      <c r="L28" s="60">
        <f>-150/4</f>
        <v>-37.5</v>
      </c>
      <c r="M28" s="60">
        <f t="shared" ref="M28:O28" si="63">-150/4</f>
        <v>-37.5</v>
      </c>
      <c r="N28" s="60">
        <f t="shared" si="63"/>
        <v>-37.5</v>
      </c>
      <c r="O28" s="60">
        <f t="shared" si="63"/>
        <v>-37.5</v>
      </c>
      <c r="P28" s="60">
        <f>L28+M28+N28+O28</f>
        <v>-150</v>
      </c>
      <c r="Q28" s="60">
        <v>-145</v>
      </c>
      <c r="R28" s="32"/>
      <c r="S28" s="32"/>
      <c r="T28" s="32"/>
      <c r="U28" s="32"/>
      <c r="V28" s="32"/>
      <c r="W28" s="32"/>
      <c r="X28" s="32"/>
    </row>
    <row r="29" spans="1:24" ht="12.75" customHeight="1">
      <c r="A29" s="29" t="s">
        <v>177</v>
      </c>
      <c r="B29" s="60">
        <f>-206.9-C29</f>
        <v>-103.30000000000001</v>
      </c>
      <c r="C29" s="60">
        <v>-103.6</v>
      </c>
      <c r="D29" s="60">
        <v>-103</v>
      </c>
      <c r="E29" s="60">
        <v>-103.7</v>
      </c>
      <c r="F29" s="60">
        <v>-414</v>
      </c>
      <c r="G29" s="60">
        <f>-225.5-H29</f>
        <v>-106.9</v>
      </c>
      <c r="H29" s="60">
        <f>-118.6</f>
        <v>-118.6</v>
      </c>
      <c r="I29" s="60">
        <f>H29</f>
        <v>-118.6</v>
      </c>
      <c r="J29" s="60">
        <v>-121.4</v>
      </c>
      <c r="K29" s="60">
        <v>-465</v>
      </c>
      <c r="L29" s="60">
        <v>-80</v>
      </c>
      <c r="M29" s="60">
        <v>-123.6</v>
      </c>
      <c r="N29" s="60">
        <v>-80</v>
      </c>
      <c r="O29" s="60">
        <v>-123.6</v>
      </c>
      <c r="P29" s="60">
        <f>O29+N29+M29+L29</f>
        <v>-407.2</v>
      </c>
      <c r="Q29" s="60">
        <v>-407</v>
      </c>
      <c r="R29" s="32"/>
      <c r="S29" s="32"/>
      <c r="T29" s="32"/>
      <c r="U29" s="32"/>
      <c r="V29" s="32"/>
      <c r="W29" s="32"/>
      <c r="X29" s="32"/>
    </row>
    <row r="30" spans="1:24" ht="12.75" customHeight="1">
      <c r="A30" s="48" t="s">
        <v>178</v>
      </c>
      <c r="B30" s="60">
        <f>-14-C30</f>
        <v>-21.2</v>
      </c>
      <c r="C30" s="60">
        <f>7.2</f>
        <v>7.2</v>
      </c>
      <c r="D30" s="60">
        <v>6.8</v>
      </c>
      <c r="E30" s="60">
        <v>-42.4</v>
      </c>
      <c r="F30" s="60">
        <v>-49.6</v>
      </c>
      <c r="G30" s="60">
        <f>-209.7-H30</f>
        <v>-103.79999999999998</v>
      </c>
      <c r="H30" s="60">
        <f>-105.9</f>
        <v>-105.9</v>
      </c>
      <c r="I30" s="60">
        <v>-116.9</v>
      </c>
      <c r="J30" s="60">
        <v>-110.2</v>
      </c>
      <c r="K30" s="60">
        <v>-436.8</v>
      </c>
      <c r="L30" s="61">
        <f>-90</f>
        <v>-90</v>
      </c>
      <c r="M30" s="61">
        <v>-85</v>
      </c>
      <c r="N30" s="61">
        <v>-80</v>
      </c>
      <c r="O30" s="61">
        <v>-75</v>
      </c>
      <c r="P30" s="60">
        <f>L30+M30+N30+O30</f>
        <v>-330</v>
      </c>
      <c r="Q30" s="60">
        <v>-270</v>
      </c>
      <c r="R30" s="32"/>
      <c r="S30" s="32"/>
      <c r="T30" s="32"/>
      <c r="U30" s="32"/>
      <c r="V30" s="32"/>
      <c r="W30" s="32"/>
      <c r="X30" s="32"/>
    </row>
    <row r="31" spans="1:24" ht="12.75" customHeight="1">
      <c r="A31" s="48" t="s">
        <v>179</v>
      </c>
      <c r="B31" s="60"/>
      <c r="C31" s="60"/>
      <c r="D31" s="60"/>
      <c r="E31" s="60"/>
      <c r="F31" s="60">
        <v>-170</v>
      </c>
      <c r="G31" s="60">
        <f>K31/4</f>
        <v>-36.25</v>
      </c>
      <c r="H31" s="60">
        <f>G31</f>
        <v>-36.25</v>
      </c>
      <c r="I31" s="60">
        <f>H31</f>
        <v>-36.25</v>
      </c>
      <c r="J31" s="60">
        <f>I31</f>
        <v>-36.25</v>
      </c>
      <c r="K31" s="60">
        <v>-145</v>
      </c>
      <c r="L31" s="61">
        <f>-130/4</f>
        <v>-32.5</v>
      </c>
      <c r="M31" s="61">
        <f t="shared" ref="M31:O31" si="64">-130/4</f>
        <v>-32.5</v>
      </c>
      <c r="N31" s="61">
        <f t="shared" si="64"/>
        <v>-32.5</v>
      </c>
      <c r="O31" s="61">
        <f t="shared" si="64"/>
        <v>-32.5</v>
      </c>
      <c r="P31" s="60">
        <f>O31+N31+M31+L31</f>
        <v>-130</v>
      </c>
      <c r="Q31" s="60">
        <v>-130</v>
      </c>
      <c r="R31" s="32"/>
      <c r="S31" s="32"/>
      <c r="T31" s="32"/>
      <c r="U31" s="32"/>
      <c r="V31" s="32"/>
      <c r="W31" s="32"/>
      <c r="X31" s="32"/>
    </row>
    <row r="32" spans="1:24" ht="12.75" customHeight="1">
      <c r="A32" s="48" t="s">
        <v>180</v>
      </c>
      <c r="B32" s="60"/>
      <c r="C32" s="60"/>
      <c r="D32" s="60">
        <v>-89.4</v>
      </c>
      <c r="E32" s="60">
        <v>-187.3</v>
      </c>
      <c r="F32" s="60">
        <v>-276.7</v>
      </c>
      <c r="G32" s="60"/>
      <c r="H32" s="60"/>
      <c r="I32" s="60">
        <v>-89.3</v>
      </c>
      <c r="J32" s="60">
        <v>-187.4</v>
      </c>
      <c r="K32" s="60">
        <v>-277.2</v>
      </c>
      <c r="L32" s="61"/>
      <c r="M32" s="61"/>
      <c r="N32" s="61">
        <v>-89</v>
      </c>
      <c r="O32" s="61">
        <v>-187</v>
      </c>
      <c r="P32" s="60">
        <v>-285</v>
      </c>
      <c r="Q32" s="60">
        <v>0</v>
      </c>
      <c r="R32" s="32"/>
      <c r="S32" s="32"/>
      <c r="T32" s="32"/>
      <c r="U32" s="32"/>
      <c r="V32" s="32"/>
      <c r="W32" s="32"/>
      <c r="X32" s="32"/>
    </row>
    <row r="33" spans="1:24" ht="12.75" customHeight="1">
      <c r="A33" s="48" t="s">
        <v>181</v>
      </c>
      <c r="B33" s="60">
        <f t="shared" ref="B33:Q33" si="65">B20+B28+B29+B30+B31+B32</f>
        <v>42.14900379506615</v>
      </c>
      <c r="C33" s="60">
        <f t="shared" si="65"/>
        <v>149.66200000000012</v>
      </c>
      <c r="D33" s="60">
        <f t="shared" si="65"/>
        <v>19.901999999999973</v>
      </c>
      <c r="E33" s="60">
        <f t="shared" si="65"/>
        <v>-61.336000000000041</v>
      </c>
      <c r="F33" s="60">
        <f t="shared" si="65"/>
        <v>15.458000000000141</v>
      </c>
      <c r="G33" s="60">
        <f t="shared" si="65"/>
        <v>32.804825649178667</v>
      </c>
      <c r="H33" s="60">
        <f t="shared" si="65"/>
        <v>-51.449999999999989</v>
      </c>
      <c r="I33" s="60">
        <f t="shared" si="65"/>
        <v>-155.4499854014598</v>
      </c>
      <c r="J33" s="60">
        <f t="shared" si="65"/>
        <v>-275.97100000000006</v>
      </c>
      <c r="K33" s="60">
        <f t="shared" si="65"/>
        <v>-443.61300000000017</v>
      </c>
      <c r="L33" s="60">
        <f t="shared" si="65"/>
        <v>-17.289000000000044</v>
      </c>
      <c r="M33" s="60">
        <f t="shared" si="65"/>
        <v>-60.220000000000056</v>
      </c>
      <c r="N33" s="60">
        <f t="shared" si="65"/>
        <v>-101.07500000000005</v>
      </c>
      <c r="O33" s="60">
        <f t="shared" si="65"/>
        <v>-230.56100000000004</v>
      </c>
      <c r="P33" s="60">
        <f t="shared" si="65"/>
        <v>-418.14500000000027</v>
      </c>
      <c r="Q33" s="60">
        <f t="shared" si="65"/>
        <v>-319.24225000000035</v>
      </c>
      <c r="R33" s="32"/>
      <c r="S33" s="32"/>
      <c r="T33" s="32"/>
      <c r="U33" s="32"/>
      <c r="V33" s="32"/>
      <c r="W33" s="32"/>
      <c r="X33" s="32"/>
    </row>
    <row r="34" spans="1:24" ht="12.75" customHeight="1">
      <c r="A34" s="89" t="s">
        <v>211</v>
      </c>
      <c r="B34" s="90"/>
      <c r="C34" s="90"/>
      <c r="D34" s="90"/>
      <c r="E34" s="90"/>
      <c r="F34" s="90"/>
      <c r="G34" s="90"/>
      <c r="H34" s="90"/>
      <c r="I34" s="90"/>
      <c r="J34" s="90"/>
      <c r="K34" s="91">
        <v>900</v>
      </c>
      <c r="L34" s="91">
        <f>K34+L33</f>
        <v>882.71100000000001</v>
      </c>
      <c r="M34" s="91">
        <f t="shared" ref="M34:O34" si="66">L34+M33</f>
        <v>822.49099999999999</v>
      </c>
      <c r="N34" s="91">
        <f t="shared" si="66"/>
        <v>721.41599999999994</v>
      </c>
      <c r="O34" s="91">
        <f t="shared" si="66"/>
        <v>490.8549999999999</v>
      </c>
      <c r="P34" s="91">
        <f>O34</f>
        <v>490.8549999999999</v>
      </c>
      <c r="Q34" s="91">
        <f>P34+Q33</f>
        <v>171.61274999999955</v>
      </c>
      <c r="R34" s="32"/>
      <c r="S34" s="32"/>
      <c r="T34" s="32"/>
      <c r="U34" s="32"/>
      <c r="V34" s="32"/>
      <c r="W34" s="32"/>
      <c r="X34" s="32"/>
    </row>
    <row r="35" spans="1:24" ht="12.75" customHeight="1">
      <c r="A35" s="49"/>
      <c r="B35" s="50"/>
      <c r="C35" s="50"/>
      <c r="D35" s="50"/>
      <c r="E35" s="50"/>
      <c r="F35" s="50"/>
      <c r="G35" s="50"/>
      <c r="H35" s="50"/>
      <c r="I35" s="50"/>
      <c r="J35" s="47"/>
      <c r="K35" s="107">
        <f>K34</f>
        <v>900</v>
      </c>
      <c r="L35" s="107">
        <f>L33</f>
        <v>-17.289000000000044</v>
      </c>
      <c r="M35" s="107">
        <f t="shared" ref="M35:O35" si="67">M33</f>
        <v>-60.220000000000056</v>
      </c>
      <c r="N35" s="107">
        <f t="shared" si="67"/>
        <v>-101.07500000000005</v>
      </c>
      <c r="O35" s="107">
        <f t="shared" si="67"/>
        <v>-230.56100000000004</v>
      </c>
      <c r="P35" s="107">
        <f>Q33</f>
        <v>-319.24225000000035</v>
      </c>
      <c r="Q35" s="32">
        <f>Q33/4</f>
        <v>-79.810562500000088</v>
      </c>
      <c r="R35" s="32"/>
      <c r="S35" s="32"/>
      <c r="T35" s="32"/>
      <c r="U35" s="32"/>
      <c r="V35" s="32"/>
      <c r="W35" s="32"/>
      <c r="X35" s="32"/>
    </row>
    <row r="36" spans="1:24" ht="12.75" customHeight="1">
      <c r="A36" s="22"/>
      <c r="B36" s="23"/>
      <c r="C36" s="23"/>
      <c r="D36" s="23"/>
      <c r="E36" s="23"/>
      <c r="F36" s="23"/>
      <c r="G36" s="23"/>
      <c r="H36" s="24"/>
      <c r="I36" s="24"/>
      <c r="J36" s="26"/>
      <c r="K36" s="26"/>
      <c r="L36" s="26"/>
      <c r="M36" s="26"/>
      <c r="N36" s="26"/>
      <c r="O36" s="26"/>
      <c r="P36" s="26"/>
      <c r="Q36" s="25"/>
      <c r="R36" s="25"/>
      <c r="S36" s="25"/>
      <c r="T36" s="25"/>
      <c r="U36" s="25"/>
      <c r="V36" s="25"/>
      <c r="W36" s="20"/>
      <c r="X36" s="20"/>
    </row>
    <row r="37" spans="1:24" ht="12.75" customHeight="1">
      <c r="A37" s="22"/>
      <c r="B37" s="23"/>
      <c r="C37" s="23"/>
      <c r="D37" s="23"/>
      <c r="E37" s="23"/>
      <c r="F37" s="23"/>
      <c r="G37" s="23"/>
      <c r="H37" s="24"/>
      <c r="I37" s="24"/>
      <c r="J37" s="26"/>
      <c r="K37" s="26"/>
      <c r="L37" s="26"/>
      <c r="M37" s="26"/>
      <c r="N37" s="26"/>
      <c r="O37" s="26"/>
      <c r="P37" s="26"/>
      <c r="Q37" s="25"/>
      <c r="R37" s="25"/>
      <c r="S37" s="25"/>
      <c r="T37" s="25"/>
      <c r="U37" s="25"/>
      <c r="V37" s="25"/>
      <c r="W37" s="20"/>
      <c r="X37" s="20"/>
    </row>
    <row r="38" spans="1:24" ht="12.75" customHeight="1">
      <c r="A38" s="46"/>
      <c r="B38" s="46" t="s">
        <v>134</v>
      </c>
      <c r="C38" s="46" t="s">
        <v>135</v>
      </c>
      <c r="D38" s="46" t="s">
        <v>136</v>
      </c>
      <c r="E38" s="46" t="s">
        <v>137</v>
      </c>
      <c r="F38" s="46">
        <v>2014</v>
      </c>
      <c r="G38" s="46" t="s">
        <v>138</v>
      </c>
      <c r="H38" s="46" t="s">
        <v>139</v>
      </c>
      <c r="I38" s="46" t="s">
        <v>140</v>
      </c>
      <c r="J38" s="46" t="s">
        <v>141</v>
      </c>
      <c r="K38" s="46">
        <v>2015</v>
      </c>
      <c r="L38" s="46" t="s">
        <v>172</v>
      </c>
      <c r="M38" s="46" t="s">
        <v>173</v>
      </c>
      <c r="N38" s="46" t="s">
        <v>174</v>
      </c>
      <c r="O38" s="46" t="s">
        <v>175</v>
      </c>
      <c r="P38" s="46">
        <v>2016</v>
      </c>
      <c r="Q38" s="46">
        <v>2017</v>
      </c>
      <c r="R38" s="25"/>
      <c r="S38" s="25"/>
      <c r="T38" s="25"/>
      <c r="U38" s="25"/>
      <c r="V38" s="25"/>
      <c r="W38" s="20"/>
      <c r="X38" s="20"/>
    </row>
    <row r="39" spans="1:24" ht="12.75" customHeight="1">
      <c r="A39" s="35" t="s">
        <v>159</v>
      </c>
      <c r="B39" s="62">
        <f t="shared" ref="B39:G39" si="68">B41+B42+B43+B45+B46+B47</f>
        <v>61.300000000000004</v>
      </c>
      <c r="C39" s="62">
        <f t="shared" si="68"/>
        <v>61.7</v>
      </c>
      <c r="D39" s="62">
        <f t="shared" si="68"/>
        <v>62.5</v>
      </c>
      <c r="E39" s="62">
        <f t="shared" si="68"/>
        <v>64.3</v>
      </c>
      <c r="F39" s="62">
        <f t="shared" si="68"/>
        <v>249.8</v>
      </c>
      <c r="G39" s="62">
        <f t="shared" si="68"/>
        <v>60.6</v>
      </c>
      <c r="H39" s="62">
        <f>H41+H42+H43+H45+H46+H47</f>
        <v>51.9</v>
      </c>
      <c r="I39" s="62">
        <f>I41+I42+I43+I45+I46+I47</f>
        <v>58.4</v>
      </c>
      <c r="J39" s="62">
        <f>J41+J42+J43+J45+J46+J47</f>
        <v>57.7</v>
      </c>
      <c r="K39" s="62">
        <f>K41+K42+K43+K45+K46+K47</f>
        <v>228.59999999999994</v>
      </c>
      <c r="L39" s="62">
        <f t="shared" ref="L39:P39" si="69">L41+L42+L43+L45+L46+L47</f>
        <v>51.800000000000004</v>
      </c>
      <c r="M39" s="62">
        <f t="shared" si="69"/>
        <v>50.7</v>
      </c>
      <c r="N39" s="62">
        <f t="shared" si="69"/>
        <v>51.4</v>
      </c>
      <c r="O39" s="62">
        <f t="shared" si="69"/>
        <v>52.1</v>
      </c>
      <c r="P39" s="62">
        <f t="shared" si="69"/>
        <v>206</v>
      </c>
      <c r="Q39" s="62">
        <f t="shared" ref="Q39" si="70">Q41+Q42+Q43+Q45+Q46+Q47</f>
        <v>206</v>
      </c>
      <c r="R39" s="32"/>
      <c r="S39" s="32"/>
      <c r="T39" s="32"/>
      <c r="U39" s="32"/>
      <c r="V39" s="32"/>
      <c r="W39" s="32"/>
      <c r="X39" s="32"/>
    </row>
    <row r="40" spans="1:24" ht="12.75" customHeight="1">
      <c r="A40" s="21" t="s">
        <v>143</v>
      </c>
      <c r="B40" s="63">
        <f t="shared" ref="B40:K40" si="71">B41+B42+B43</f>
        <v>47.7</v>
      </c>
      <c r="C40" s="63">
        <f t="shared" si="71"/>
        <v>46.300000000000004</v>
      </c>
      <c r="D40" s="63">
        <f t="shared" si="71"/>
        <v>48.2</v>
      </c>
      <c r="E40" s="63">
        <f t="shared" si="71"/>
        <v>49.199999999999996</v>
      </c>
      <c r="F40" s="63">
        <f t="shared" si="71"/>
        <v>191.4</v>
      </c>
      <c r="G40" s="63">
        <f t="shared" si="71"/>
        <v>47.8</v>
      </c>
      <c r="H40" s="63">
        <f t="shared" si="71"/>
        <v>39.9</v>
      </c>
      <c r="I40" s="63">
        <f t="shared" si="71"/>
        <v>45.7</v>
      </c>
      <c r="J40" s="63">
        <f t="shared" si="71"/>
        <v>44.300000000000004</v>
      </c>
      <c r="K40" s="63">
        <f t="shared" si="71"/>
        <v>177.69999999999996</v>
      </c>
      <c r="L40" s="63">
        <f t="shared" ref="L40:P40" si="72">L41+L42+L43</f>
        <v>39</v>
      </c>
      <c r="M40" s="63">
        <f t="shared" si="72"/>
        <v>39</v>
      </c>
      <c r="N40" s="63">
        <f t="shared" si="72"/>
        <v>39</v>
      </c>
      <c r="O40" s="63">
        <f t="shared" si="72"/>
        <v>39</v>
      </c>
      <c r="P40" s="63">
        <f t="shared" si="72"/>
        <v>156</v>
      </c>
      <c r="Q40" s="63">
        <f t="shared" ref="Q40" si="73">Q41+Q42+Q43</f>
        <v>156</v>
      </c>
      <c r="R40" s="20"/>
      <c r="S40" s="20"/>
      <c r="T40" s="20"/>
      <c r="U40" s="20"/>
      <c r="V40" s="20"/>
      <c r="W40" s="20"/>
      <c r="X40" s="20"/>
    </row>
    <row r="41" spans="1:24" ht="12.75" customHeight="1">
      <c r="A41" s="22" t="s">
        <v>144</v>
      </c>
      <c r="B41" s="64">
        <f>69.8-C41</f>
        <v>35.699999999999996</v>
      </c>
      <c r="C41" s="64">
        <v>34.1</v>
      </c>
      <c r="D41" s="64">
        <v>35.5</v>
      </c>
      <c r="E41" s="64">
        <v>37.299999999999997</v>
      </c>
      <c r="F41" s="64">
        <f>E41+D41+C41+B41</f>
        <v>142.6</v>
      </c>
      <c r="G41" s="64">
        <f>67.6-H41</f>
        <v>37.199999999999996</v>
      </c>
      <c r="H41" s="65">
        <v>30.4</v>
      </c>
      <c r="I41" s="64">
        <v>35.5</v>
      </c>
      <c r="J41" s="64">
        <v>35.700000000000003</v>
      </c>
      <c r="K41" s="64">
        <f>J41+I41+H41+G41</f>
        <v>138.79999999999998</v>
      </c>
      <c r="L41" s="64">
        <f>H41</f>
        <v>30.4</v>
      </c>
      <c r="M41" s="64">
        <f>L41</f>
        <v>30.4</v>
      </c>
      <c r="N41" s="64">
        <f t="shared" ref="N41:O41" si="74">M41</f>
        <v>30.4</v>
      </c>
      <c r="O41" s="64">
        <f t="shared" si="74"/>
        <v>30.4</v>
      </c>
      <c r="P41" s="64">
        <f t="shared" ref="P41" si="75">O41+N41+M41+L41</f>
        <v>121.6</v>
      </c>
      <c r="Q41" s="64">
        <f>P41</f>
        <v>121.6</v>
      </c>
      <c r="R41" s="37"/>
      <c r="S41" s="37"/>
      <c r="T41" s="32"/>
      <c r="U41" s="32"/>
      <c r="V41" s="37"/>
      <c r="W41" s="37"/>
      <c r="X41" s="32"/>
    </row>
    <row r="42" spans="1:24" ht="12.75" customHeight="1">
      <c r="A42" s="22" t="s">
        <v>145</v>
      </c>
      <c r="B42" s="64">
        <f>12.4-C42</f>
        <v>6.2</v>
      </c>
      <c r="C42" s="64">
        <v>6.2</v>
      </c>
      <c r="D42" s="64">
        <v>6.5</v>
      </c>
      <c r="E42" s="64">
        <v>6.1</v>
      </c>
      <c r="F42" s="64">
        <f>E42+D42+C42+B42</f>
        <v>25</v>
      </c>
      <c r="G42" s="64">
        <f>11.1-H42</f>
        <v>5.8999999999999995</v>
      </c>
      <c r="H42" s="65">
        <v>5.2</v>
      </c>
      <c r="I42" s="64">
        <v>5.5</v>
      </c>
      <c r="J42" s="64">
        <v>4.5999999999999996</v>
      </c>
      <c r="K42" s="64">
        <f>J42+I42+H42+G42</f>
        <v>21.2</v>
      </c>
      <c r="L42" s="64">
        <f>J42</f>
        <v>4.5999999999999996</v>
      </c>
      <c r="M42" s="64">
        <f>L42</f>
        <v>4.5999999999999996</v>
      </c>
      <c r="N42" s="64">
        <f t="shared" ref="N42:O42" si="76">M42</f>
        <v>4.5999999999999996</v>
      </c>
      <c r="O42" s="64">
        <f t="shared" si="76"/>
        <v>4.5999999999999996</v>
      </c>
      <c r="P42" s="64">
        <f t="shared" ref="P42" si="77">O42+N42+M42+L42</f>
        <v>18.399999999999999</v>
      </c>
      <c r="Q42" s="64">
        <f>P42</f>
        <v>18.399999999999999</v>
      </c>
      <c r="R42" s="37"/>
      <c r="S42" s="37"/>
      <c r="T42" s="32"/>
      <c r="U42" s="32"/>
      <c r="V42" s="37"/>
      <c r="W42" s="37"/>
      <c r="X42" s="32"/>
    </row>
    <row r="43" spans="1:24" ht="12.75" customHeight="1">
      <c r="A43" s="22" t="s">
        <v>146</v>
      </c>
      <c r="B43" s="64">
        <f>11.8-C43</f>
        <v>5.8000000000000007</v>
      </c>
      <c r="C43" s="64">
        <v>6</v>
      </c>
      <c r="D43" s="64">
        <v>6.2</v>
      </c>
      <c r="E43" s="64">
        <v>5.8</v>
      </c>
      <c r="F43" s="64">
        <f>E43+D43+C43+B43</f>
        <v>23.8</v>
      </c>
      <c r="G43" s="64">
        <f>9-H43</f>
        <v>4.7</v>
      </c>
      <c r="H43" s="65">
        <v>4.3</v>
      </c>
      <c r="I43" s="64">
        <v>4.7</v>
      </c>
      <c r="J43" s="64">
        <v>4</v>
      </c>
      <c r="K43" s="64">
        <f>J43+I43+H43+G43</f>
        <v>17.7</v>
      </c>
      <c r="L43" s="64">
        <f>J43</f>
        <v>4</v>
      </c>
      <c r="M43" s="64">
        <f>L43</f>
        <v>4</v>
      </c>
      <c r="N43" s="64">
        <f t="shared" ref="N43:O43" si="78">L43</f>
        <v>4</v>
      </c>
      <c r="O43" s="64">
        <f t="shared" si="78"/>
        <v>4</v>
      </c>
      <c r="P43" s="64">
        <f t="shared" ref="P43" si="79">O43+N43+M43+L43</f>
        <v>16</v>
      </c>
      <c r="Q43" s="64">
        <f>P43</f>
        <v>16</v>
      </c>
      <c r="R43" s="37"/>
      <c r="S43" s="37"/>
      <c r="T43" s="32"/>
      <c r="U43" s="32"/>
      <c r="V43" s="37"/>
      <c r="W43" s="37"/>
      <c r="X43" s="32"/>
    </row>
    <row r="44" spans="1:24" ht="12.75" customHeight="1">
      <c r="A44" s="27" t="s">
        <v>147</v>
      </c>
      <c r="B44" s="66">
        <f t="shared" ref="B44:K44" si="80">B46+B45</f>
        <v>8.1999999999999993</v>
      </c>
      <c r="C44" s="66">
        <f t="shared" si="80"/>
        <v>9.6999999999999993</v>
      </c>
      <c r="D44" s="66">
        <f t="shared" si="80"/>
        <v>10</v>
      </c>
      <c r="E44" s="66">
        <f t="shared" si="80"/>
        <v>10.3</v>
      </c>
      <c r="F44" s="66">
        <f t="shared" si="80"/>
        <v>38.200000000000003</v>
      </c>
      <c r="G44" s="66">
        <f t="shared" si="80"/>
        <v>8.8000000000000007</v>
      </c>
      <c r="H44" s="66">
        <f t="shared" si="80"/>
        <v>8.6</v>
      </c>
      <c r="I44" s="66">
        <f t="shared" si="80"/>
        <v>9.3000000000000007</v>
      </c>
      <c r="J44" s="66">
        <f t="shared" si="80"/>
        <v>9.1</v>
      </c>
      <c r="K44" s="66">
        <f t="shared" si="80"/>
        <v>35.799999999999997</v>
      </c>
      <c r="L44" s="66">
        <f t="shared" ref="L44:P44" si="81">L46+L45</f>
        <v>8.8000000000000007</v>
      </c>
      <c r="M44" s="66">
        <f t="shared" si="81"/>
        <v>8.3000000000000007</v>
      </c>
      <c r="N44" s="66">
        <f t="shared" si="81"/>
        <v>9</v>
      </c>
      <c r="O44" s="66">
        <f t="shared" si="81"/>
        <v>8.8000000000000007</v>
      </c>
      <c r="P44" s="66">
        <f t="shared" si="81"/>
        <v>34.9</v>
      </c>
      <c r="Q44" s="66">
        <f t="shared" ref="Q44" si="82">Q46+Q45</f>
        <v>34.9</v>
      </c>
      <c r="R44" s="25"/>
      <c r="S44" s="25"/>
      <c r="T44" s="25"/>
      <c r="U44" s="25"/>
      <c r="V44" s="25"/>
      <c r="W44" s="20"/>
      <c r="X44" s="20"/>
    </row>
    <row r="45" spans="1:24" ht="12.75" customHeight="1">
      <c r="A45" s="22" t="s">
        <v>148</v>
      </c>
      <c r="B45" s="64">
        <f>7.9-C45</f>
        <v>3.1000000000000005</v>
      </c>
      <c r="C45" s="64">
        <v>4.8</v>
      </c>
      <c r="D45" s="64">
        <v>4.5</v>
      </c>
      <c r="E45" s="64">
        <v>4.8</v>
      </c>
      <c r="F45" s="64">
        <f>E45+D45+C45+B45</f>
        <v>17.200000000000003</v>
      </c>
      <c r="G45" s="64">
        <f>7.7-H45</f>
        <v>3.7</v>
      </c>
      <c r="H45" s="65">
        <v>4</v>
      </c>
      <c r="I45" s="64">
        <v>4</v>
      </c>
      <c r="J45" s="64">
        <v>4</v>
      </c>
      <c r="K45" s="64">
        <f>J45+I45+H45+G45</f>
        <v>15.7</v>
      </c>
      <c r="L45" s="64">
        <f>G45</f>
        <v>3.7</v>
      </c>
      <c r="M45" s="64">
        <f>L45</f>
        <v>3.7</v>
      </c>
      <c r="N45" s="64">
        <f t="shared" ref="N45:O45" si="83">M45</f>
        <v>3.7</v>
      </c>
      <c r="O45" s="64">
        <f t="shared" si="83"/>
        <v>3.7</v>
      </c>
      <c r="P45" s="64">
        <f t="shared" ref="P45" si="84">O45+N45+M45+L45</f>
        <v>14.8</v>
      </c>
      <c r="Q45" s="64">
        <f>P45</f>
        <v>14.8</v>
      </c>
      <c r="R45" s="37"/>
      <c r="S45" s="37"/>
      <c r="T45" s="32"/>
      <c r="U45" s="32"/>
      <c r="V45" s="37"/>
      <c r="W45" s="37"/>
      <c r="X45" s="32"/>
    </row>
    <row r="46" spans="1:24" ht="12.75" customHeight="1">
      <c r="A46" s="22" t="s">
        <v>149</v>
      </c>
      <c r="B46" s="64">
        <f>10-C46</f>
        <v>5.0999999999999996</v>
      </c>
      <c r="C46" s="64">
        <v>4.9000000000000004</v>
      </c>
      <c r="D46" s="64">
        <v>5.5</v>
      </c>
      <c r="E46" s="64">
        <v>5.5</v>
      </c>
      <c r="F46" s="64">
        <f>E46+D46+C46+B46</f>
        <v>21</v>
      </c>
      <c r="G46" s="64">
        <f>9.7-H46</f>
        <v>5.0999999999999996</v>
      </c>
      <c r="H46" s="65">
        <v>4.5999999999999996</v>
      </c>
      <c r="I46" s="64">
        <v>5.3</v>
      </c>
      <c r="J46" s="64">
        <v>5.0999999999999996</v>
      </c>
      <c r="K46" s="64">
        <f>J46+I46+H46+G46</f>
        <v>20.099999999999998</v>
      </c>
      <c r="L46" s="64">
        <f t="shared" ref="L46:L47" si="85">G46</f>
        <v>5.0999999999999996</v>
      </c>
      <c r="M46" s="64">
        <f t="shared" ref="M46:O47" si="86">H46</f>
        <v>4.5999999999999996</v>
      </c>
      <c r="N46" s="64">
        <f t="shared" si="86"/>
        <v>5.3</v>
      </c>
      <c r="O46" s="64">
        <f t="shared" si="86"/>
        <v>5.0999999999999996</v>
      </c>
      <c r="P46" s="64">
        <f t="shared" ref="P46" si="87">O46+N46+M46+L46</f>
        <v>20.099999999999998</v>
      </c>
      <c r="Q46" s="64">
        <f>P46</f>
        <v>20.099999999999998</v>
      </c>
      <c r="R46" s="37"/>
      <c r="S46" s="37"/>
      <c r="T46" s="32"/>
      <c r="U46" s="32"/>
      <c r="V46" s="37"/>
      <c r="W46" s="37"/>
      <c r="X46" s="32"/>
    </row>
    <row r="47" spans="1:24" ht="12.75" customHeight="1">
      <c r="A47" s="22" t="s">
        <v>160</v>
      </c>
      <c r="B47" s="64">
        <f>11.1-C47</f>
        <v>5.3999999999999995</v>
      </c>
      <c r="C47" s="64">
        <v>5.7</v>
      </c>
      <c r="D47" s="64">
        <v>4.3</v>
      </c>
      <c r="E47" s="64">
        <v>4.8</v>
      </c>
      <c r="F47" s="64">
        <f>E47+D47+C47+B47</f>
        <v>20.2</v>
      </c>
      <c r="G47" s="64">
        <f>7.4-H47</f>
        <v>4</v>
      </c>
      <c r="H47" s="65">
        <v>3.4</v>
      </c>
      <c r="I47" s="64">
        <v>3.4</v>
      </c>
      <c r="J47" s="64">
        <v>4.3</v>
      </c>
      <c r="K47" s="64">
        <f>J47+I47+H47+G47</f>
        <v>15.1</v>
      </c>
      <c r="L47" s="64">
        <f t="shared" si="85"/>
        <v>4</v>
      </c>
      <c r="M47" s="64">
        <f t="shared" si="86"/>
        <v>3.4</v>
      </c>
      <c r="N47" s="64">
        <f t="shared" si="86"/>
        <v>3.4</v>
      </c>
      <c r="O47" s="64">
        <f t="shared" si="86"/>
        <v>4.3</v>
      </c>
      <c r="P47" s="64">
        <f t="shared" ref="P47" si="88">O47+N47+M47+L47</f>
        <v>15.1</v>
      </c>
      <c r="Q47" s="64">
        <f>P47</f>
        <v>15.1</v>
      </c>
      <c r="R47" s="37"/>
      <c r="S47" s="37"/>
      <c r="T47" s="32"/>
      <c r="U47" s="32"/>
      <c r="V47" s="37"/>
      <c r="W47" s="37"/>
      <c r="X47" s="32"/>
    </row>
    <row r="48" spans="1:24" ht="12.75" customHeight="1">
      <c r="A48" s="22"/>
      <c r="B48" s="64"/>
      <c r="C48" s="64"/>
      <c r="D48" s="64"/>
      <c r="E48" s="64"/>
      <c r="F48" s="64"/>
      <c r="G48" s="64"/>
      <c r="H48" s="65"/>
      <c r="I48" s="64"/>
      <c r="J48" s="67"/>
      <c r="K48" s="68"/>
      <c r="L48" s="68"/>
      <c r="M48" s="68"/>
      <c r="N48" s="68"/>
      <c r="O48" s="68"/>
      <c r="P48" s="68"/>
      <c r="Q48" s="32"/>
      <c r="R48" s="37"/>
      <c r="S48" s="37"/>
      <c r="T48" s="32"/>
      <c r="U48" s="32"/>
      <c r="V48" s="37"/>
      <c r="W48" s="37"/>
      <c r="X48" s="32"/>
    </row>
    <row r="49" spans="1:24" ht="12.75" customHeight="1">
      <c r="A49" s="46"/>
      <c r="B49" s="46" t="s">
        <v>134</v>
      </c>
      <c r="C49" s="46" t="s">
        <v>135</v>
      </c>
      <c r="D49" s="46" t="s">
        <v>136</v>
      </c>
      <c r="E49" s="46" t="s">
        <v>137</v>
      </c>
      <c r="F49" s="46">
        <v>2014</v>
      </c>
      <c r="G49" s="46" t="s">
        <v>138</v>
      </c>
      <c r="H49" s="46" t="s">
        <v>139</v>
      </c>
      <c r="I49" s="46" t="s">
        <v>140</v>
      </c>
      <c r="J49" s="46" t="s">
        <v>141</v>
      </c>
      <c r="K49" s="46">
        <v>2015</v>
      </c>
      <c r="L49" s="46" t="s">
        <v>172</v>
      </c>
      <c r="M49" s="46" t="s">
        <v>173</v>
      </c>
      <c r="N49" s="46" t="s">
        <v>174</v>
      </c>
      <c r="O49" s="46" t="s">
        <v>175</v>
      </c>
      <c r="P49" s="46">
        <v>2016</v>
      </c>
      <c r="Q49" s="46">
        <v>2017</v>
      </c>
      <c r="R49" s="32"/>
      <c r="S49" s="32"/>
      <c r="T49" s="32"/>
      <c r="U49" s="32"/>
      <c r="V49" s="32"/>
      <c r="W49" s="32"/>
      <c r="X49" s="32"/>
    </row>
    <row r="50" spans="1:24" ht="12.75" customHeight="1">
      <c r="A50" s="108" t="s">
        <v>161</v>
      </c>
      <c r="B50" s="138"/>
      <c r="C50" s="138"/>
      <c r="D50" s="155"/>
      <c r="E50" s="156"/>
      <c r="F50" s="156"/>
      <c r="G50" s="156"/>
      <c r="H50" s="156"/>
      <c r="I50" s="157"/>
      <c r="J50" s="109"/>
      <c r="K50" s="109"/>
      <c r="L50" s="109"/>
      <c r="M50" s="109"/>
      <c r="N50" s="109"/>
      <c r="O50" s="109"/>
      <c r="P50" s="109"/>
      <c r="Q50" s="110"/>
      <c r="R50" s="32"/>
      <c r="S50" s="32"/>
      <c r="T50" s="32"/>
      <c r="U50" s="32"/>
      <c r="V50" s="32"/>
      <c r="W50" s="32"/>
      <c r="X50" s="32"/>
    </row>
    <row r="51" spans="1:24" ht="12.75" customHeight="1">
      <c r="A51" s="27" t="s">
        <v>152</v>
      </c>
      <c r="B51" s="69">
        <f>B3/B40</f>
        <v>20.649245283018864</v>
      </c>
      <c r="C51" s="69">
        <f>C3/C40</f>
        <v>22.284686825053992</v>
      </c>
      <c r="D51" s="69">
        <f>D3/D40</f>
        <v>21.244813278008298</v>
      </c>
      <c r="E51" s="69">
        <v>20.02</v>
      </c>
      <c r="F51" s="69">
        <v>21.03</v>
      </c>
      <c r="G51" s="69">
        <f>G3/G40</f>
        <v>20.186066945606694</v>
      </c>
      <c r="H51" s="69">
        <f>H3/H40</f>
        <v>20.511378446115287</v>
      </c>
      <c r="I51" s="69">
        <f>I3/I40</f>
        <v>19.730853391684903</v>
      </c>
      <c r="J51" s="69">
        <v>18.87</v>
      </c>
      <c r="K51" s="69">
        <v>19.84</v>
      </c>
      <c r="L51" s="69">
        <f t="shared" ref="L51:P51" si="89">L3/L40</f>
        <v>19.515538461538462</v>
      </c>
      <c r="M51" s="69">
        <f t="shared" si="89"/>
        <v>19.515538461538462</v>
      </c>
      <c r="N51" s="69">
        <f t="shared" si="89"/>
        <v>19.515538461538462</v>
      </c>
      <c r="O51" s="69">
        <f t="shared" si="89"/>
        <v>19.515538461538462</v>
      </c>
      <c r="P51" s="69">
        <f t="shared" si="89"/>
        <v>19.515538461538462</v>
      </c>
      <c r="Q51" s="69">
        <f>Q3/Q40</f>
        <v>18.539761538461537</v>
      </c>
      <c r="R51" s="37"/>
      <c r="S51" s="37"/>
      <c r="T51" s="32"/>
      <c r="U51" s="32"/>
      <c r="V51" s="37"/>
      <c r="W51" s="37"/>
      <c r="X51" s="32"/>
    </row>
    <row r="52" spans="1:24" ht="12.75" customHeight="1">
      <c r="A52" s="22" t="s">
        <v>153</v>
      </c>
      <c r="B52" s="64">
        <f t="shared" ref="B52:B57" si="90">B4/B41</f>
        <v>13.065854341736694</v>
      </c>
      <c r="C52" s="64">
        <v>14.63</v>
      </c>
      <c r="D52" s="64">
        <v>13.3</v>
      </c>
      <c r="E52" s="64">
        <v>13.02</v>
      </c>
      <c r="F52" s="64">
        <v>13.49</v>
      </c>
      <c r="G52" s="64">
        <f t="shared" ref="G52:G57" si="91">G4/G41</f>
        <v>13.66989247311828</v>
      </c>
      <c r="H52" s="65">
        <v>13.47</v>
      </c>
      <c r="I52" s="64">
        <v>13.42</v>
      </c>
      <c r="J52" s="64">
        <v>13.23</v>
      </c>
      <c r="K52" s="65">
        <v>13.45</v>
      </c>
      <c r="L52" s="65">
        <f>J52</f>
        <v>13.23</v>
      </c>
      <c r="M52" s="65">
        <f>L52</f>
        <v>13.23</v>
      </c>
      <c r="N52" s="65">
        <f t="shared" ref="N52:P52" si="92">M52</f>
        <v>13.23</v>
      </c>
      <c r="O52" s="65">
        <f t="shared" si="92"/>
        <v>13.23</v>
      </c>
      <c r="P52" s="65">
        <f t="shared" si="92"/>
        <v>13.23</v>
      </c>
      <c r="Q52" s="65">
        <f>P52*0.95</f>
        <v>12.5685</v>
      </c>
      <c r="R52" s="37"/>
      <c r="S52" s="37"/>
      <c r="T52" s="32"/>
      <c r="U52" s="32"/>
      <c r="V52" s="37"/>
      <c r="W52" s="37"/>
      <c r="X52" s="32"/>
    </row>
    <row r="53" spans="1:24" ht="12.75" customHeight="1">
      <c r="A53" s="22" t="s">
        <v>154</v>
      </c>
      <c r="B53" s="64">
        <f t="shared" si="90"/>
        <v>48.969999999999992</v>
      </c>
      <c r="C53" s="64">
        <v>49.09</v>
      </c>
      <c r="D53" s="64">
        <v>47.88</v>
      </c>
      <c r="E53" s="64">
        <v>45.99</v>
      </c>
      <c r="F53" s="64">
        <v>47.99</v>
      </c>
      <c r="G53" s="64">
        <f t="shared" si="91"/>
        <v>47.049491525423733</v>
      </c>
      <c r="H53" s="65">
        <v>46.09</v>
      </c>
      <c r="I53" s="64">
        <v>45.79</v>
      </c>
      <c r="J53" s="64">
        <v>45.59</v>
      </c>
      <c r="K53" s="65">
        <v>46.18</v>
      </c>
      <c r="L53" s="65">
        <f t="shared" ref="L53:L54" si="93">J53</f>
        <v>45.59</v>
      </c>
      <c r="M53" s="65">
        <f t="shared" ref="M53:P54" si="94">L53</f>
        <v>45.59</v>
      </c>
      <c r="N53" s="65">
        <f t="shared" si="94"/>
        <v>45.59</v>
      </c>
      <c r="O53" s="65">
        <f t="shared" si="94"/>
        <v>45.59</v>
      </c>
      <c r="P53" s="65">
        <f t="shared" si="94"/>
        <v>45.59</v>
      </c>
      <c r="Q53" s="65">
        <f t="shared" ref="Q53:Q54" si="95">P53*0.95</f>
        <v>43.310500000000005</v>
      </c>
      <c r="R53" s="37"/>
      <c r="S53" s="37"/>
      <c r="T53" s="32"/>
      <c r="U53" s="32"/>
      <c r="V53" s="37"/>
      <c r="W53" s="37"/>
      <c r="X53" s="32"/>
    </row>
    <row r="54" spans="1:24" ht="12.75" customHeight="1">
      <c r="A54" s="22" t="s">
        <v>155</v>
      </c>
      <c r="B54" s="64">
        <f t="shared" si="90"/>
        <v>37.05241379310344</v>
      </c>
      <c r="C54" s="64">
        <v>38.090000000000003</v>
      </c>
      <c r="D54" s="64">
        <v>38.549999999999997</v>
      </c>
      <c r="E54" s="64">
        <v>37.86</v>
      </c>
      <c r="F54" s="64">
        <v>37.9</v>
      </c>
      <c r="G54" s="64">
        <f t="shared" si="91"/>
        <v>38.038723404255329</v>
      </c>
      <c r="H54" s="65">
        <v>39.36</v>
      </c>
      <c r="I54" s="64">
        <v>37.67</v>
      </c>
      <c r="J54" s="64">
        <v>37.299999999999997</v>
      </c>
      <c r="K54" s="65">
        <v>38.090000000000003</v>
      </c>
      <c r="L54" s="65">
        <f t="shared" si="93"/>
        <v>37.299999999999997</v>
      </c>
      <c r="M54" s="65">
        <f t="shared" si="94"/>
        <v>37.299999999999997</v>
      </c>
      <c r="N54" s="65">
        <f t="shared" si="94"/>
        <v>37.299999999999997</v>
      </c>
      <c r="O54" s="65">
        <f t="shared" si="94"/>
        <v>37.299999999999997</v>
      </c>
      <c r="P54" s="65">
        <f t="shared" si="94"/>
        <v>37.299999999999997</v>
      </c>
      <c r="Q54" s="65">
        <f t="shared" si="95"/>
        <v>35.434999999999995</v>
      </c>
      <c r="R54" s="37"/>
      <c r="S54" s="37"/>
      <c r="T54" s="32"/>
      <c r="U54" s="32"/>
      <c r="V54" s="37"/>
      <c r="W54" s="37"/>
      <c r="X54" s="32"/>
    </row>
    <row r="55" spans="1:24" ht="12.75" customHeight="1">
      <c r="A55" s="27" t="s">
        <v>156</v>
      </c>
      <c r="B55" s="69">
        <f t="shared" si="90"/>
        <v>74.565243902439022</v>
      </c>
      <c r="C55" s="69">
        <f>C7/C44</f>
        <v>73.124020618556713</v>
      </c>
      <c r="D55" s="69">
        <f>D7/D44</f>
        <v>67.63</v>
      </c>
      <c r="E55" s="69">
        <v>65.97</v>
      </c>
      <c r="F55" s="69">
        <v>69.989999999999995</v>
      </c>
      <c r="G55" s="69">
        <f t="shared" si="91"/>
        <v>62.314431818181809</v>
      </c>
      <c r="H55" s="69">
        <f>H7/H44</f>
        <v>59.199302325581392</v>
      </c>
      <c r="I55" s="69">
        <f>I7/I44</f>
        <v>52.225806451612897</v>
      </c>
      <c r="J55" s="69">
        <v>51.18</v>
      </c>
      <c r="K55" s="69">
        <v>55.96</v>
      </c>
      <c r="L55" s="69">
        <f>J55</f>
        <v>51.18</v>
      </c>
      <c r="M55" s="69">
        <f>L55</f>
        <v>51.18</v>
      </c>
      <c r="N55" s="69">
        <f t="shared" ref="N55:Q55" si="96">M55</f>
        <v>51.18</v>
      </c>
      <c r="O55" s="69">
        <f t="shared" si="96"/>
        <v>51.18</v>
      </c>
      <c r="P55" s="69">
        <f t="shared" si="96"/>
        <v>51.18</v>
      </c>
      <c r="Q55" s="69">
        <f t="shared" si="96"/>
        <v>51.18</v>
      </c>
      <c r="R55" s="37"/>
      <c r="S55" s="37"/>
      <c r="T55" s="32"/>
      <c r="U55" s="32"/>
      <c r="V55" s="37"/>
      <c r="W55" s="37"/>
      <c r="X55" s="32"/>
    </row>
    <row r="56" spans="1:24" ht="12.75" customHeight="1">
      <c r="A56" s="22" t="s">
        <v>157</v>
      </c>
      <c r="B56" s="64">
        <f t="shared" si="90"/>
        <v>107.12580645161289</v>
      </c>
      <c r="C56" s="64">
        <v>95.76</v>
      </c>
      <c r="D56" s="64">
        <v>88.83</v>
      </c>
      <c r="E56" s="64">
        <v>87.97</v>
      </c>
      <c r="F56" s="64">
        <v>93.81</v>
      </c>
      <c r="G56" s="64">
        <f t="shared" si="91"/>
        <v>89.332972972972968</v>
      </c>
      <c r="H56" s="65">
        <v>78.989999999999995</v>
      </c>
      <c r="I56" s="64">
        <v>68.53</v>
      </c>
      <c r="J56" s="64">
        <v>64.63</v>
      </c>
      <c r="K56" s="64">
        <v>75.040000000000006</v>
      </c>
      <c r="L56" s="64">
        <v>68</v>
      </c>
      <c r="M56" s="64">
        <f>L56</f>
        <v>68</v>
      </c>
      <c r="N56" s="64">
        <f t="shared" ref="N56:P56" si="97">M56</f>
        <v>68</v>
      </c>
      <c r="O56" s="64">
        <f t="shared" si="97"/>
        <v>68</v>
      </c>
      <c r="P56" s="64">
        <f t="shared" si="97"/>
        <v>68</v>
      </c>
      <c r="Q56" s="64">
        <f>P56*0.95</f>
        <v>64.599999999999994</v>
      </c>
      <c r="R56" s="37"/>
      <c r="S56" s="37"/>
      <c r="T56" s="32"/>
      <c r="U56" s="32"/>
      <c r="V56" s="37"/>
      <c r="W56" s="37"/>
      <c r="X56" s="32"/>
    </row>
    <row r="57" spans="1:24" ht="12.75" customHeight="1">
      <c r="A57" s="22" t="s">
        <v>158</v>
      </c>
      <c r="B57" s="64">
        <f t="shared" si="90"/>
        <v>54.773529411764706</v>
      </c>
      <c r="C57" s="64">
        <v>50.95</v>
      </c>
      <c r="D57" s="64">
        <v>50.03</v>
      </c>
      <c r="E57" s="64">
        <v>46.39</v>
      </c>
      <c r="F57" s="64">
        <v>50.46</v>
      </c>
      <c r="G57" s="64">
        <f t="shared" si="91"/>
        <v>42.712745098039207</v>
      </c>
      <c r="H57" s="65">
        <v>41.99</v>
      </c>
      <c r="I57" s="64">
        <v>38.770000000000003</v>
      </c>
      <c r="J57" s="64">
        <v>40.71</v>
      </c>
      <c r="K57" s="64">
        <v>41</v>
      </c>
      <c r="L57" s="64">
        <f>J57</f>
        <v>40.71</v>
      </c>
      <c r="M57" s="64">
        <f>L57</f>
        <v>40.71</v>
      </c>
      <c r="N57" s="64">
        <f t="shared" ref="N57:P57" si="98">M57</f>
        <v>40.71</v>
      </c>
      <c r="O57" s="64">
        <f t="shared" si="98"/>
        <v>40.71</v>
      </c>
      <c r="P57" s="64">
        <f t="shared" si="98"/>
        <v>40.71</v>
      </c>
      <c r="Q57" s="64">
        <f>P57*0.95</f>
        <v>38.674500000000002</v>
      </c>
      <c r="R57" s="37"/>
      <c r="S57" s="37"/>
      <c r="T57" s="32"/>
      <c r="U57" s="32"/>
      <c r="V57" s="37"/>
      <c r="W57" s="37"/>
      <c r="X57" s="32"/>
    </row>
    <row r="58" spans="1:24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2.75" customHeight="1">
      <c r="A59" s="38"/>
      <c r="B59" s="24"/>
      <c r="C59" s="24"/>
      <c r="D59" s="34"/>
      <c r="E59" s="34"/>
      <c r="F59" s="34"/>
      <c r="G59" s="34"/>
      <c r="H59" s="34"/>
      <c r="I59" s="34"/>
      <c r="J59" s="39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2.75" customHeight="1">
      <c r="A60" s="35" t="s">
        <v>161</v>
      </c>
      <c r="B60" s="30"/>
      <c r="C60" s="30"/>
      <c r="D60" s="31"/>
      <c r="E60" s="31"/>
      <c r="F60" s="31"/>
      <c r="G60" s="31"/>
      <c r="H60" s="31"/>
      <c r="I60" s="3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2.75" customHeight="1">
      <c r="A61" s="27" t="s">
        <v>152</v>
      </c>
      <c r="B61" s="28"/>
      <c r="C61" s="28">
        <v>21.44</v>
      </c>
      <c r="D61" s="33"/>
      <c r="E61" s="33"/>
      <c r="F61" s="33"/>
      <c r="G61" s="33"/>
      <c r="H61" s="33">
        <v>20.350000000000001</v>
      </c>
      <c r="I61" s="33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2.75" customHeight="1">
      <c r="A62" s="22" t="s">
        <v>153</v>
      </c>
      <c r="B62" s="24"/>
      <c r="C62" s="24">
        <v>13.83</v>
      </c>
      <c r="D62" s="34"/>
      <c r="E62" s="34"/>
      <c r="F62" s="34"/>
      <c r="G62" s="34"/>
      <c r="H62" s="34">
        <v>13.58</v>
      </c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2.75" customHeight="1">
      <c r="A63" s="22" t="s">
        <v>154</v>
      </c>
      <c r="B63" s="24"/>
      <c r="C63" s="24">
        <v>49.03</v>
      </c>
      <c r="D63" s="34"/>
      <c r="E63" s="34"/>
      <c r="F63" s="34"/>
      <c r="G63" s="34"/>
      <c r="H63" s="34">
        <v>46.6</v>
      </c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12.75" customHeight="1">
      <c r="A64" s="22" t="s">
        <v>155</v>
      </c>
      <c r="B64" s="24"/>
      <c r="C64" s="24">
        <v>37.58</v>
      </c>
      <c r="D64" s="34"/>
      <c r="E64" s="34"/>
      <c r="F64" s="34"/>
      <c r="G64" s="34"/>
      <c r="H64" s="34">
        <v>38.67</v>
      </c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12.75" customHeight="1">
      <c r="A65" s="27" t="s">
        <v>156</v>
      </c>
      <c r="B65" s="28"/>
      <c r="C65" s="28">
        <v>73.77</v>
      </c>
      <c r="D65" s="33"/>
      <c r="E65" s="33"/>
      <c r="F65" s="33"/>
      <c r="G65" s="33"/>
      <c r="H65" s="33">
        <v>60.77</v>
      </c>
      <c r="I65" s="33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12.75" customHeight="1">
      <c r="A66" s="22" t="s">
        <v>157</v>
      </c>
      <c r="B66" s="24"/>
      <c r="C66" s="24">
        <v>100.22</v>
      </c>
      <c r="D66" s="34"/>
      <c r="E66" s="34"/>
      <c r="F66" s="34"/>
      <c r="G66" s="34"/>
      <c r="H66" s="34">
        <v>83.96</v>
      </c>
      <c r="I66" s="34">
        <f>I106-I109</f>
        <v>68.53</v>
      </c>
      <c r="J66" s="34">
        <f>J106-J109</f>
        <v>60.92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12.75" customHeight="1">
      <c r="A67" s="22" t="s">
        <v>158</v>
      </c>
      <c r="B67" s="24"/>
      <c r="C67" s="24">
        <v>52.9</v>
      </c>
      <c r="D67" s="34"/>
      <c r="E67" s="34"/>
      <c r="F67" s="34"/>
      <c r="G67" s="34"/>
      <c r="H67" s="34">
        <v>42.37</v>
      </c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2.75" customHeight="1">
      <c r="A68" s="22"/>
      <c r="B68" s="24"/>
      <c r="C68" s="24"/>
      <c r="D68" s="34"/>
      <c r="E68" s="34"/>
      <c r="F68" s="34"/>
      <c r="G68" s="34"/>
      <c r="H68" s="34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2.75" customHeight="1">
      <c r="A69" s="131"/>
      <c r="B69" s="131" t="s">
        <v>134</v>
      </c>
      <c r="C69" s="131" t="s">
        <v>135</v>
      </c>
      <c r="D69" s="131" t="s">
        <v>136</v>
      </c>
      <c r="E69" s="131" t="s">
        <v>137</v>
      </c>
      <c r="F69" s="131">
        <v>2014</v>
      </c>
      <c r="G69" s="131" t="s">
        <v>138</v>
      </c>
      <c r="H69" s="131" t="s">
        <v>139</v>
      </c>
      <c r="I69" s="131" t="s">
        <v>140</v>
      </c>
      <c r="J69" s="131" t="s">
        <v>141</v>
      </c>
      <c r="K69" s="136">
        <v>2015</v>
      </c>
      <c r="L69" s="136" t="s">
        <v>172</v>
      </c>
      <c r="M69" s="136" t="s">
        <v>173</v>
      </c>
      <c r="N69" s="136" t="s">
        <v>174</v>
      </c>
      <c r="O69" s="136" t="s">
        <v>175</v>
      </c>
      <c r="P69" s="136">
        <v>2016</v>
      </c>
      <c r="Q69" s="136">
        <v>2017</v>
      </c>
      <c r="R69" s="20"/>
      <c r="S69" s="20"/>
      <c r="T69" s="20"/>
      <c r="U69" s="20"/>
      <c r="V69" s="20"/>
      <c r="W69" s="20"/>
      <c r="X69" s="20"/>
    </row>
    <row r="70" spans="1:24" ht="12.75" customHeight="1">
      <c r="A70" s="137" t="s">
        <v>221</v>
      </c>
      <c r="B70" s="137"/>
      <c r="C70" s="137"/>
      <c r="D70" s="161"/>
      <c r="E70" s="162"/>
      <c r="F70" s="162"/>
      <c r="G70" s="162"/>
      <c r="H70" s="162"/>
      <c r="I70" s="163"/>
      <c r="J70" s="30"/>
      <c r="K70" s="30"/>
      <c r="L70" s="30"/>
      <c r="M70" s="30"/>
      <c r="N70" s="30"/>
      <c r="O70" s="30"/>
      <c r="P70" s="30"/>
      <c r="Q70" s="30"/>
      <c r="R70" s="32"/>
      <c r="S70" s="32"/>
      <c r="T70" s="32"/>
      <c r="U70" s="32"/>
      <c r="V70" s="32"/>
      <c r="W70" s="32"/>
      <c r="X70" s="32"/>
    </row>
    <row r="71" spans="1:24" ht="12.75" customHeight="1">
      <c r="A71" s="132" t="s">
        <v>222</v>
      </c>
      <c r="B71" s="28">
        <f t="shared" ref="B71:B77" si="99">B12/B40</f>
        <v>15.527714884696016</v>
      </c>
      <c r="C71" s="28">
        <v>15.97</v>
      </c>
      <c r="D71" s="28">
        <v>15.38</v>
      </c>
      <c r="E71" s="28">
        <v>14.84</v>
      </c>
      <c r="F71" s="28">
        <v>15.37</v>
      </c>
      <c r="G71" s="28">
        <f>G12/G40</f>
        <v>14.502887029288702</v>
      </c>
      <c r="H71" s="28">
        <f>H12/H40</f>
        <v>15.238696741854637</v>
      </c>
      <c r="I71" s="28">
        <f>I12/I40</f>
        <v>14.581531728665206</v>
      </c>
      <c r="J71" s="28">
        <v>14.01</v>
      </c>
      <c r="K71" s="28">
        <v>14.57</v>
      </c>
      <c r="L71" s="28">
        <f>J71</f>
        <v>14.01</v>
      </c>
      <c r="M71" s="28">
        <f>L71</f>
        <v>14.01</v>
      </c>
      <c r="N71" s="28">
        <f t="shared" ref="N71:Q71" si="100">M71</f>
        <v>14.01</v>
      </c>
      <c r="O71" s="28">
        <f t="shared" si="100"/>
        <v>14.01</v>
      </c>
      <c r="P71" s="28">
        <f t="shared" si="100"/>
        <v>14.01</v>
      </c>
      <c r="Q71" s="28">
        <f t="shared" si="100"/>
        <v>14.01</v>
      </c>
      <c r="R71" s="32"/>
      <c r="S71" s="32"/>
      <c r="T71" s="32"/>
      <c r="U71" s="32"/>
      <c r="V71" s="32"/>
      <c r="W71" s="32"/>
      <c r="X71" s="32"/>
    </row>
    <row r="72" spans="1:24" ht="12.75" customHeight="1">
      <c r="A72" s="133" t="s">
        <v>223</v>
      </c>
      <c r="B72" s="24">
        <f t="shared" si="99"/>
        <v>10.000000000000002</v>
      </c>
      <c r="C72" s="24">
        <v>10.19</v>
      </c>
      <c r="D72" s="24">
        <v>10.07</v>
      </c>
      <c r="E72" s="24">
        <v>9.6199999999999992</v>
      </c>
      <c r="F72" s="24">
        <v>9.92</v>
      </c>
      <c r="G72" s="24">
        <f t="shared" ref="G72:G77" si="101">G13/G41</f>
        <v>9.9056989247311833</v>
      </c>
      <c r="H72" s="133">
        <v>10.36</v>
      </c>
      <c r="I72" s="24">
        <v>10.029999999999999</v>
      </c>
      <c r="J72" s="24">
        <v>9.64</v>
      </c>
      <c r="K72" s="24">
        <v>9.9700000000000006</v>
      </c>
      <c r="L72" s="24">
        <f>J72</f>
        <v>9.64</v>
      </c>
      <c r="M72" s="24">
        <f>L72</f>
        <v>9.64</v>
      </c>
      <c r="N72" s="24">
        <f t="shared" ref="N72:Q72" si="102">M72</f>
        <v>9.64</v>
      </c>
      <c r="O72" s="24">
        <f t="shared" si="102"/>
        <v>9.64</v>
      </c>
      <c r="P72" s="24">
        <f t="shared" si="102"/>
        <v>9.64</v>
      </c>
      <c r="Q72" s="24">
        <f t="shared" si="102"/>
        <v>9.64</v>
      </c>
      <c r="R72" s="32"/>
      <c r="S72" s="32"/>
      <c r="T72" s="32"/>
      <c r="U72" s="32"/>
      <c r="V72" s="32"/>
      <c r="W72" s="32"/>
      <c r="X72" s="32"/>
    </row>
    <row r="73" spans="1:24" ht="12.75" customHeight="1">
      <c r="A73" s="133" t="s">
        <v>154</v>
      </c>
      <c r="B73" s="24">
        <f t="shared" si="99"/>
        <v>36.979999999999997</v>
      </c>
      <c r="C73" s="24">
        <v>37.840000000000003</v>
      </c>
      <c r="D73" s="24">
        <v>34.56</v>
      </c>
      <c r="E73" s="24">
        <v>34.31</v>
      </c>
      <c r="F73" s="24">
        <v>35.700000000000003</v>
      </c>
      <c r="G73" s="24">
        <f t="shared" si="101"/>
        <v>33.565762711864409</v>
      </c>
      <c r="H73" s="133">
        <v>33.340000000000003</v>
      </c>
      <c r="I73" s="24">
        <v>32.51</v>
      </c>
      <c r="J73" s="24">
        <v>34.64</v>
      </c>
      <c r="K73" s="24">
        <v>33.49</v>
      </c>
      <c r="L73" s="24">
        <f t="shared" ref="L73:L74" si="103">J73</f>
        <v>34.64</v>
      </c>
      <c r="M73" s="24">
        <f t="shared" ref="M73:Q74" si="104">L73</f>
        <v>34.64</v>
      </c>
      <c r="N73" s="24">
        <f t="shared" si="104"/>
        <v>34.64</v>
      </c>
      <c r="O73" s="24">
        <f t="shared" si="104"/>
        <v>34.64</v>
      </c>
      <c r="P73" s="24">
        <f t="shared" si="104"/>
        <v>34.64</v>
      </c>
      <c r="Q73" s="24">
        <f t="shared" si="104"/>
        <v>34.64</v>
      </c>
      <c r="R73" s="32"/>
      <c r="S73" s="32"/>
      <c r="T73" s="32"/>
      <c r="U73" s="32"/>
      <c r="V73" s="32"/>
      <c r="W73" s="32"/>
      <c r="X73" s="32"/>
    </row>
    <row r="74" spans="1:24" ht="12.75" customHeight="1">
      <c r="A74" s="133" t="s">
        <v>155</v>
      </c>
      <c r="B74" s="24">
        <f t="shared" si="99"/>
        <v>26.620000000000005</v>
      </c>
      <c r="C74" s="24">
        <v>26.33</v>
      </c>
      <c r="D74" s="24">
        <v>25.53</v>
      </c>
      <c r="E74" s="24">
        <v>28.08</v>
      </c>
      <c r="F74" s="24">
        <v>26.69</v>
      </c>
      <c r="G74" s="24">
        <f t="shared" si="101"/>
        <v>26.959148936170212</v>
      </c>
      <c r="H74" s="133">
        <v>27.84</v>
      </c>
      <c r="I74" s="24">
        <v>27.98</v>
      </c>
      <c r="J74" s="24">
        <v>28.43</v>
      </c>
      <c r="K74" s="24">
        <v>27.78</v>
      </c>
      <c r="L74" s="24">
        <f t="shared" si="103"/>
        <v>28.43</v>
      </c>
      <c r="M74" s="24">
        <f t="shared" si="104"/>
        <v>28.43</v>
      </c>
      <c r="N74" s="24">
        <f t="shared" si="104"/>
        <v>28.43</v>
      </c>
      <c r="O74" s="24">
        <f t="shared" si="104"/>
        <v>28.43</v>
      </c>
      <c r="P74" s="24">
        <f t="shared" si="104"/>
        <v>28.43</v>
      </c>
      <c r="Q74" s="24">
        <f t="shared" si="104"/>
        <v>28.43</v>
      </c>
      <c r="R74" s="32"/>
      <c r="S74" s="32"/>
      <c r="T74" s="32"/>
      <c r="U74" s="32"/>
      <c r="V74" s="32"/>
      <c r="W74" s="32"/>
      <c r="X74" s="32"/>
    </row>
    <row r="75" spans="1:24" ht="12.75" customHeight="1">
      <c r="A75" s="132" t="s">
        <v>156</v>
      </c>
      <c r="B75" s="28">
        <f t="shared" si="99"/>
        <v>72.049634146341475</v>
      </c>
      <c r="C75" s="28">
        <v>72.61</v>
      </c>
      <c r="D75" s="28">
        <v>66.45</v>
      </c>
      <c r="E75" s="28">
        <v>58.44</v>
      </c>
      <c r="F75" s="28">
        <v>67.03</v>
      </c>
      <c r="G75" s="28">
        <f t="shared" si="101"/>
        <v>55.164886363636349</v>
      </c>
      <c r="H75" s="28">
        <f>H16/H44</f>
        <v>52.793720930232553</v>
      </c>
      <c r="I75" s="28">
        <v>48.11</v>
      </c>
      <c r="J75" s="28">
        <v>48.58</v>
      </c>
      <c r="K75" s="28">
        <v>51.07</v>
      </c>
      <c r="L75" s="28">
        <f>J75</f>
        <v>48.58</v>
      </c>
      <c r="M75" s="28">
        <f>L75</f>
        <v>48.58</v>
      </c>
      <c r="N75" s="28">
        <f t="shared" ref="N75:Q75" si="105">M75</f>
        <v>48.58</v>
      </c>
      <c r="O75" s="28">
        <f t="shared" si="105"/>
        <v>48.58</v>
      </c>
      <c r="P75" s="28">
        <f t="shared" si="105"/>
        <v>48.58</v>
      </c>
      <c r="Q75" s="28">
        <f t="shared" si="105"/>
        <v>48.58</v>
      </c>
      <c r="R75" s="32"/>
      <c r="S75" s="32"/>
      <c r="T75" s="32"/>
      <c r="U75" s="32"/>
      <c r="V75" s="32"/>
      <c r="W75" s="32"/>
      <c r="X75" s="32"/>
    </row>
    <row r="76" spans="1:24" ht="12.75" customHeight="1">
      <c r="A76" s="133" t="s">
        <v>157</v>
      </c>
      <c r="B76" s="24">
        <f t="shared" si="99"/>
        <v>129.12645161290322</v>
      </c>
      <c r="C76" s="24">
        <v>106.14</v>
      </c>
      <c r="D76" s="24">
        <v>100.11</v>
      </c>
      <c r="E76" s="24">
        <v>84.33</v>
      </c>
      <c r="F76" s="24">
        <v>102.6</v>
      </c>
      <c r="G76" s="24">
        <f t="shared" si="101"/>
        <v>85.623783783783765</v>
      </c>
      <c r="H76" s="133">
        <v>79.11</v>
      </c>
      <c r="I76" s="24">
        <f>H76*H102/I102</f>
        <v>74.490437956204374</v>
      </c>
      <c r="J76" s="24">
        <v>68.650000000000006</v>
      </c>
      <c r="K76" s="24">
        <v>76.2</v>
      </c>
      <c r="L76" s="24">
        <f>J76</f>
        <v>68.650000000000006</v>
      </c>
      <c r="M76" s="24">
        <f>L76</f>
        <v>68.650000000000006</v>
      </c>
      <c r="N76" s="24">
        <f t="shared" ref="N76:Q76" si="106">M76</f>
        <v>68.650000000000006</v>
      </c>
      <c r="O76" s="24">
        <f t="shared" si="106"/>
        <v>68.650000000000006</v>
      </c>
      <c r="P76" s="24">
        <f t="shared" si="106"/>
        <v>68.650000000000006</v>
      </c>
      <c r="Q76" s="24">
        <f t="shared" si="106"/>
        <v>68.650000000000006</v>
      </c>
      <c r="R76" s="32"/>
      <c r="S76" s="32"/>
      <c r="T76" s="32"/>
      <c r="U76" s="32"/>
      <c r="V76" s="32"/>
      <c r="W76" s="32"/>
      <c r="X76" s="32"/>
    </row>
    <row r="77" spans="1:24" ht="12.75" customHeight="1">
      <c r="A77" s="133" t="s">
        <v>158</v>
      </c>
      <c r="B77" s="24">
        <f t="shared" si="99"/>
        <v>37.355882352941173</v>
      </c>
      <c r="C77" s="24">
        <v>39.65</v>
      </c>
      <c r="D77" s="24">
        <v>39.92</v>
      </c>
      <c r="E77" s="24">
        <v>35.4</v>
      </c>
      <c r="F77" s="24">
        <v>37.869999999999997</v>
      </c>
      <c r="G77" s="24">
        <f t="shared" si="101"/>
        <v>33.067254901960787</v>
      </c>
      <c r="H77" s="133">
        <v>29.91</v>
      </c>
      <c r="I77" s="24">
        <f>H77*H102/I102</f>
        <v>28.163430656934306</v>
      </c>
      <c r="J77" s="24">
        <v>32.950000000000003</v>
      </c>
      <c r="K77" s="24">
        <v>31.36</v>
      </c>
      <c r="L77" s="24">
        <f>J77</f>
        <v>32.950000000000003</v>
      </c>
      <c r="M77" s="24">
        <f>L77</f>
        <v>32.950000000000003</v>
      </c>
      <c r="N77" s="24">
        <f t="shared" ref="N77:Q77" si="107">M77</f>
        <v>32.950000000000003</v>
      </c>
      <c r="O77" s="24">
        <f t="shared" si="107"/>
        <v>32.950000000000003</v>
      </c>
      <c r="P77" s="24">
        <f t="shared" si="107"/>
        <v>32.950000000000003</v>
      </c>
      <c r="Q77" s="24">
        <f t="shared" si="107"/>
        <v>32.950000000000003</v>
      </c>
      <c r="R77" s="32"/>
      <c r="S77" s="32"/>
      <c r="T77" s="32"/>
      <c r="U77" s="32"/>
      <c r="V77" s="32"/>
      <c r="W77" s="32"/>
      <c r="X77" s="32"/>
    </row>
    <row r="78" spans="1:24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2.75" customHeight="1">
      <c r="A79" s="38"/>
      <c r="B79" s="24"/>
      <c r="C79" s="24"/>
      <c r="D79" s="34"/>
      <c r="E79" s="34"/>
      <c r="F79" s="34"/>
      <c r="G79" s="34"/>
      <c r="H79" s="34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2.75" customHeight="1">
      <c r="A80" s="35" t="s">
        <v>162</v>
      </c>
      <c r="B80" s="137"/>
      <c r="C80" s="137"/>
      <c r="D80" s="158"/>
      <c r="E80" s="159"/>
      <c r="F80" s="159"/>
      <c r="G80" s="159"/>
      <c r="H80" s="159"/>
      <c r="I80" s="16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2.75" customHeight="1">
      <c r="A81" s="27" t="s">
        <v>152</v>
      </c>
      <c r="B81" s="28"/>
      <c r="C81" s="28">
        <v>15.63</v>
      </c>
      <c r="D81" s="33"/>
      <c r="E81" s="33"/>
      <c r="F81" s="33"/>
      <c r="G81" s="33"/>
      <c r="H81" s="33">
        <v>14.85</v>
      </c>
      <c r="I81" s="33"/>
      <c r="J81" s="37"/>
      <c r="K81" s="37"/>
      <c r="L81" s="32"/>
      <c r="M81" s="32"/>
      <c r="N81" s="37"/>
      <c r="O81" s="37"/>
      <c r="P81" s="32"/>
      <c r="Q81" s="32"/>
      <c r="R81" s="37"/>
      <c r="S81" s="37"/>
      <c r="T81" s="32"/>
      <c r="U81" s="32"/>
      <c r="V81" s="37"/>
      <c r="W81" s="37"/>
      <c r="X81" s="32"/>
    </row>
    <row r="82" spans="1:24" ht="12.75" customHeight="1">
      <c r="A82" s="22" t="s">
        <v>153</v>
      </c>
      <c r="B82" s="24"/>
      <c r="C82" s="24">
        <v>10</v>
      </c>
      <c r="D82" s="34"/>
      <c r="E82" s="34"/>
      <c r="F82" s="34"/>
      <c r="G82" s="34"/>
      <c r="H82" s="34">
        <v>10.11</v>
      </c>
      <c r="I82" s="34"/>
      <c r="J82" s="37"/>
      <c r="K82" s="37"/>
      <c r="L82" s="32"/>
      <c r="M82" s="32"/>
      <c r="N82" s="37"/>
      <c r="O82" s="37"/>
      <c r="P82" s="32"/>
      <c r="Q82" s="32"/>
      <c r="R82" s="37"/>
      <c r="S82" s="37"/>
      <c r="T82" s="32"/>
      <c r="U82" s="32"/>
      <c r="V82" s="37"/>
      <c r="W82" s="37"/>
      <c r="X82" s="32"/>
    </row>
    <row r="83" spans="1:24" ht="12.75" customHeight="1">
      <c r="A83" s="22" t="s">
        <v>154</v>
      </c>
      <c r="B83" s="24"/>
      <c r="C83" s="24">
        <v>36.979999999999997</v>
      </c>
      <c r="D83" s="34"/>
      <c r="E83" s="34"/>
      <c r="F83" s="34"/>
      <c r="G83" s="34"/>
      <c r="H83" s="34">
        <v>33.46</v>
      </c>
      <c r="I83" s="34"/>
      <c r="J83" s="37"/>
      <c r="K83" s="37"/>
      <c r="L83" s="32"/>
      <c r="M83" s="32"/>
      <c r="N83" s="37"/>
      <c r="O83" s="37"/>
      <c r="P83" s="32"/>
      <c r="Q83" s="32"/>
      <c r="R83" s="37"/>
      <c r="S83" s="37"/>
      <c r="T83" s="32"/>
      <c r="U83" s="32"/>
      <c r="V83" s="37"/>
      <c r="W83" s="37"/>
      <c r="X83" s="32"/>
    </row>
    <row r="84" spans="1:24" ht="12.75" customHeight="1">
      <c r="A84" s="22" t="s">
        <v>155</v>
      </c>
      <c r="B84" s="24"/>
      <c r="C84" s="24">
        <v>26.62</v>
      </c>
      <c r="D84" s="34"/>
      <c r="E84" s="34"/>
      <c r="F84" s="34"/>
      <c r="G84" s="34"/>
      <c r="H84" s="34">
        <v>27.38</v>
      </c>
      <c r="I84" s="34"/>
      <c r="J84" s="37"/>
      <c r="K84" s="37"/>
      <c r="L84" s="32"/>
      <c r="M84" s="32"/>
      <c r="N84" s="37"/>
      <c r="O84" s="37"/>
      <c r="P84" s="32"/>
      <c r="Q84" s="32"/>
      <c r="R84" s="37"/>
      <c r="S84" s="37"/>
      <c r="T84" s="32"/>
      <c r="U84" s="32"/>
      <c r="V84" s="37"/>
      <c r="W84" s="37"/>
      <c r="X84" s="32"/>
    </row>
    <row r="85" spans="1:24" ht="12.75" customHeight="1">
      <c r="A85" s="27" t="s">
        <v>156</v>
      </c>
      <c r="B85" s="28"/>
      <c r="C85" s="28">
        <v>72.3</v>
      </c>
      <c r="D85" s="33"/>
      <c r="E85" s="33"/>
      <c r="F85" s="33"/>
      <c r="G85" s="33"/>
      <c r="H85" s="33">
        <v>53.99</v>
      </c>
      <c r="I85" s="33"/>
      <c r="J85" s="37"/>
      <c r="K85" s="37"/>
      <c r="L85" s="32"/>
      <c r="M85" s="32"/>
      <c r="N85" s="37"/>
      <c r="O85" s="37"/>
      <c r="P85" s="32"/>
      <c r="Q85" s="32"/>
      <c r="R85" s="37"/>
      <c r="S85" s="37"/>
      <c r="T85" s="32"/>
      <c r="U85" s="32"/>
      <c r="V85" s="37"/>
      <c r="W85" s="37"/>
      <c r="X85" s="32"/>
    </row>
    <row r="86" spans="1:24" ht="12.75" customHeight="1">
      <c r="A86" s="22" t="s">
        <v>157</v>
      </c>
      <c r="B86" s="24"/>
      <c r="C86" s="24">
        <v>115.16</v>
      </c>
      <c r="D86" s="34"/>
      <c r="E86" s="34"/>
      <c r="F86" s="34"/>
      <c r="G86" s="34"/>
      <c r="H86" s="34">
        <v>82.24</v>
      </c>
      <c r="I86" s="34"/>
      <c r="J86" s="37"/>
      <c r="K86" s="37"/>
      <c r="L86" s="32"/>
      <c r="M86" s="32"/>
      <c r="N86" s="37"/>
      <c r="O86" s="37"/>
      <c r="P86" s="32"/>
      <c r="Q86" s="32"/>
      <c r="R86" s="37"/>
      <c r="S86" s="37"/>
      <c r="T86" s="32"/>
      <c r="U86" s="32"/>
      <c r="V86" s="37"/>
      <c r="W86" s="37"/>
      <c r="X86" s="32"/>
    </row>
    <row r="87" spans="1:24" ht="12.75" customHeight="1">
      <c r="A87" s="22" t="s">
        <v>158</v>
      </c>
      <c r="B87" s="24"/>
      <c r="C87" s="24">
        <v>38.479999999999997</v>
      </c>
      <c r="D87" s="34"/>
      <c r="E87" s="34"/>
      <c r="F87" s="34"/>
      <c r="G87" s="34"/>
      <c r="H87" s="34">
        <v>31.57</v>
      </c>
      <c r="I87" s="34"/>
      <c r="J87" s="37"/>
      <c r="K87" s="37"/>
      <c r="L87" s="32"/>
      <c r="M87" s="32"/>
      <c r="N87" s="37"/>
      <c r="O87" s="37"/>
      <c r="P87" s="32"/>
      <c r="Q87" s="32"/>
      <c r="R87" s="37"/>
      <c r="S87" s="37"/>
      <c r="T87" s="32"/>
      <c r="U87" s="32"/>
      <c r="V87" s="37"/>
      <c r="W87" s="37"/>
      <c r="X87" s="32"/>
    </row>
    <row r="88" spans="1:24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2.75" customHeight="1">
      <c r="A89" s="22"/>
      <c r="B89" s="24"/>
      <c r="C89" s="24"/>
      <c r="D89" s="34"/>
      <c r="E89" s="34"/>
      <c r="F89" s="34"/>
      <c r="G89" s="34"/>
      <c r="H89" s="36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2.75" customHeight="1">
      <c r="A90" s="35" t="s">
        <v>163</v>
      </c>
      <c r="B90" s="137"/>
      <c r="C90" s="137"/>
      <c r="D90" s="158"/>
      <c r="E90" s="159"/>
      <c r="F90" s="159"/>
      <c r="G90" s="159"/>
      <c r="H90" s="159"/>
      <c r="I90" s="160"/>
      <c r="J90" s="39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2.75" customHeight="1">
      <c r="A91" s="27" t="s">
        <v>152</v>
      </c>
      <c r="B91" s="40">
        <f t="shared" ref="B91:K91" si="108">B51-B71</f>
        <v>5.1215303983228484</v>
      </c>
      <c r="C91" s="40">
        <f t="shared" si="108"/>
        <v>6.3146868250539914</v>
      </c>
      <c r="D91" s="40">
        <f t="shared" si="108"/>
        <v>5.8648132780082971</v>
      </c>
      <c r="E91" s="40">
        <f t="shared" si="108"/>
        <v>5.18</v>
      </c>
      <c r="F91" s="40">
        <f t="shared" si="108"/>
        <v>5.6600000000000019</v>
      </c>
      <c r="G91" s="40">
        <f t="shared" si="108"/>
        <v>5.6831799163179912</v>
      </c>
      <c r="H91" s="40">
        <f t="shared" si="108"/>
        <v>5.2726817042606502</v>
      </c>
      <c r="I91" s="40">
        <f t="shared" si="108"/>
        <v>5.1493216630196965</v>
      </c>
      <c r="J91" s="40">
        <f t="shared" si="108"/>
        <v>4.8600000000000012</v>
      </c>
      <c r="K91" s="40">
        <f t="shared" si="108"/>
        <v>5.27</v>
      </c>
      <c r="L91" s="40">
        <f t="shared" ref="L91:P91" si="109">L51-L71</f>
        <v>5.5055384615384622</v>
      </c>
      <c r="M91" s="40">
        <f t="shared" si="109"/>
        <v>5.5055384615384622</v>
      </c>
      <c r="N91" s="40">
        <f t="shared" si="109"/>
        <v>5.5055384615384622</v>
      </c>
      <c r="O91" s="40">
        <f t="shared" si="109"/>
        <v>5.5055384615384622</v>
      </c>
      <c r="P91" s="40">
        <f t="shared" si="109"/>
        <v>5.5055384615384622</v>
      </c>
      <c r="Q91" s="40">
        <f t="shared" ref="Q91" si="110">Q51-Q71</f>
        <v>4.5297615384615373</v>
      </c>
      <c r="R91" s="37"/>
      <c r="S91" s="37"/>
      <c r="T91" s="32"/>
      <c r="U91" s="32"/>
      <c r="V91" s="37"/>
      <c r="W91" s="37"/>
      <c r="X91" s="32"/>
    </row>
    <row r="92" spans="1:24" ht="12.75" customHeight="1">
      <c r="A92" s="22" t="s">
        <v>153</v>
      </c>
      <c r="B92" s="36">
        <f t="shared" ref="B92:K92" si="111">B52-B72</f>
        <v>3.0658543417366921</v>
      </c>
      <c r="C92" s="36">
        <f t="shared" si="111"/>
        <v>4.4400000000000013</v>
      </c>
      <c r="D92" s="36">
        <f t="shared" si="111"/>
        <v>3.2300000000000004</v>
      </c>
      <c r="E92" s="36">
        <f t="shared" si="111"/>
        <v>3.4000000000000004</v>
      </c>
      <c r="F92" s="36">
        <f t="shared" si="111"/>
        <v>3.5700000000000003</v>
      </c>
      <c r="G92" s="36">
        <f t="shared" si="111"/>
        <v>3.7641935483870963</v>
      </c>
      <c r="H92" s="36">
        <f t="shared" si="111"/>
        <v>3.1100000000000012</v>
      </c>
      <c r="I92" s="36">
        <f t="shared" si="111"/>
        <v>3.3900000000000006</v>
      </c>
      <c r="J92" s="36">
        <f t="shared" si="111"/>
        <v>3.59</v>
      </c>
      <c r="K92" s="36">
        <f t="shared" si="111"/>
        <v>3.4799999999999986</v>
      </c>
      <c r="L92" s="36">
        <f t="shared" ref="L92:P92" si="112">L52-L72</f>
        <v>3.59</v>
      </c>
      <c r="M92" s="36">
        <f t="shared" si="112"/>
        <v>3.59</v>
      </c>
      <c r="N92" s="36">
        <f t="shared" si="112"/>
        <v>3.59</v>
      </c>
      <c r="O92" s="36">
        <f t="shared" si="112"/>
        <v>3.59</v>
      </c>
      <c r="P92" s="36">
        <f t="shared" si="112"/>
        <v>3.59</v>
      </c>
      <c r="Q92" s="36">
        <f t="shared" ref="Q92" si="113">Q52-Q72</f>
        <v>2.9284999999999997</v>
      </c>
      <c r="R92" s="37"/>
      <c r="S92" s="37"/>
      <c r="T92" s="32"/>
      <c r="U92" s="32"/>
      <c r="V92" s="37"/>
      <c r="W92" s="37"/>
      <c r="X92" s="32"/>
    </row>
    <row r="93" spans="1:24" ht="12.75" customHeight="1">
      <c r="A93" s="22" t="s">
        <v>154</v>
      </c>
      <c r="B93" s="36">
        <f t="shared" ref="B93:K93" si="114">B53-B73</f>
        <v>11.989999999999995</v>
      </c>
      <c r="C93" s="36">
        <f t="shared" si="114"/>
        <v>11.25</v>
      </c>
      <c r="D93" s="36">
        <f t="shared" si="114"/>
        <v>13.32</v>
      </c>
      <c r="E93" s="36">
        <f t="shared" si="114"/>
        <v>11.68</v>
      </c>
      <c r="F93" s="36">
        <f t="shared" si="114"/>
        <v>12.29</v>
      </c>
      <c r="G93" s="36">
        <f t="shared" si="114"/>
        <v>13.483728813559324</v>
      </c>
      <c r="H93" s="36">
        <f t="shared" si="114"/>
        <v>12.75</v>
      </c>
      <c r="I93" s="36">
        <f t="shared" si="114"/>
        <v>13.280000000000001</v>
      </c>
      <c r="J93" s="36">
        <f t="shared" si="114"/>
        <v>10.950000000000003</v>
      </c>
      <c r="K93" s="36">
        <f t="shared" si="114"/>
        <v>12.689999999999998</v>
      </c>
      <c r="L93" s="36">
        <f t="shared" ref="L93:P93" si="115">L53-L73</f>
        <v>10.950000000000003</v>
      </c>
      <c r="M93" s="36">
        <f t="shared" si="115"/>
        <v>10.950000000000003</v>
      </c>
      <c r="N93" s="36">
        <f t="shared" si="115"/>
        <v>10.950000000000003</v>
      </c>
      <c r="O93" s="36">
        <f t="shared" si="115"/>
        <v>10.950000000000003</v>
      </c>
      <c r="P93" s="36">
        <f t="shared" si="115"/>
        <v>10.950000000000003</v>
      </c>
      <c r="Q93" s="36">
        <f t="shared" ref="Q93" si="116">Q53-Q73</f>
        <v>8.6705000000000041</v>
      </c>
      <c r="R93" s="37"/>
      <c r="S93" s="37"/>
      <c r="T93" s="32"/>
      <c r="U93" s="32"/>
      <c r="V93" s="37"/>
      <c r="W93" s="37"/>
      <c r="X93" s="32"/>
    </row>
    <row r="94" spans="1:24" ht="12.75" customHeight="1">
      <c r="A94" s="22" t="s">
        <v>155</v>
      </c>
      <c r="B94" s="36">
        <f t="shared" ref="B94:K94" si="117">B54-B74</f>
        <v>10.432413793103436</v>
      </c>
      <c r="C94" s="36">
        <f t="shared" si="117"/>
        <v>11.760000000000005</v>
      </c>
      <c r="D94" s="36">
        <f t="shared" si="117"/>
        <v>13.019999999999996</v>
      </c>
      <c r="E94" s="36">
        <f t="shared" si="117"/>
        <v>9.7800000000000011</v>
      </c>
      <c r="F94" s="36">
        <f t="shared" si="117"/>
        <v>11.209999999999997</v>
      </c>
      <c r="G94" s="36">
        <f t="shared" si="117"/>
        <v>11.079574468085116</v>
      </c>
      <c r="H94" s="36">
        <f t="shared" si="117"/>
        <v>11.52</v>
      </c>
      <c r="I94" s="36">
        <f t="shared" si="117"/>
        <v>9.6900000000000013</v>
      </c>
      <c r="J94" s="36">
        <f t="shared" si="117"/>
        <v>8.8699999999999974</v>
      </c>
      <c r="K94" s="36">
        <f t="shared" si="117"/>
        <v>10.310000000000002</v>
      </c>
      <c r="L94" s="36">
        <f t="shared" ref="L94:P94" si="118">L54-L74</f>
        <v>8.8699999999999974</v>
      </c>
      <c r="M94" s="36">
        <f t="shared" si="118"/>
        <v>8.8699999999999974</v>
      </c>
      <c r="N94" s="36">
        <f t="shared" si="118"/>
        <v>8.8699999999999974</v>
      </c>
      <c r="O94" s="36">
        <f t="shared" si="118"/>
        <v>8.8699999999999974</v>
      </c>
      <c r="P94" s="36">
        <f t="shared" si="118"/>
        <v>8.8699999999999974</v>
      </c>
      <c r="Q94" s="36">
        <f t="shared" ref="Q94" si="119">Q54-Q74</f>
        <v>7.0049999999999955</v>
      </c>
      <c r="R94" s="37"/>
      <c r="S94" s="37"/>
      <c r="T94" s="32"/>
      <c r="U94" s="32"/>
      <c r="V94" s="37"/>
      <c r="W94" s="37"/>
      <c r="X94" s="32"/>
    </row>
    <row r="95" spans="1:24" ht="12.75" customHeight="1">
      <c r="A95" s="27" t="s">
        <v>156</v>
      </c>
      <c r="B95" s="40">
        <f t="shared" ref="B95:K95" si="120">B55-B75</f>
        <v>2.5156097560975468</v>
      </c>
      <c r="C95" s="40">
        <f t="shared" si="120"/>
        <v>0.51402061855671377</v>
      </c>
      <c r="D95" s="40">
        <f t="shared" si="120"/>
        <v>1.1799999999999926</v>
      </c>
      <c r="E95" s="40">
        <f t="shared" si="120"/>
        <v>7.5300000000000011</v>
      </c>
      <c r="F95" s="40">
        <f t="shared" si="120"/>
        <v>2.9599999999999937</v>
      </c>
      <c r="G95" s="40">
        <f t="shared" si="120"/>
        <v>7.1495454545454606</v>
      </c>
      <c r="H95" s="40">
        <f t="shared" si="120"/>
        <v>6.4055813953488396</v>
      </c>
      <c r="I95" s="40">
        <f t="shared" si="120"/>
        <v>4.1158064516128974</v>
      </c>
      <c r="J95" s="40">
        <f t="shared" si="120"/>
        <v>2.6000000000000014</v>
      </c>
      <c r="K95" s="40">
        <f t="shared" si="120"/>
        <v>4.8900000000000006</v>
      </c>
      <c r="L95" s="40">
        <f t="shared" ref="L95:P95" si="121">L55-L75</f>
        <v>2.6000000000000014</v>
      </c>
      <c r="M95" s="40">
        <f t="shared" si="121"/>
        <v>2.6000000000000014</v>
      </c>
      <c r="N95" s="40">
        <f t="shared" si="121"/>
        <v>2.6000000000000014</v>
      </c>
      <c r="O95" s="40">
        <f t="shared" si="121"/>
        <v>2.6000000000000014</v>
      </c>
      <c r="P95" s="40">
        <f t="shared" si="121"/>
        <v>2.6000000000000014</v>
      </c>
      <c r="Q95" s="40">
        <f t="shared" ref="Q95" si="122">Q55-Q75</f>
        <v>2.6000000000000014</v>
      </c>
      <c r="R95" s="37"/>
      <c r="S95" s="37"/>
      <c r="T95" s="32"/>
      <c r="U95" s="32"/>
      <c r="V95" s="37"/>
      <c r="W95" s="37"/>
      <c r="X95" s="32"/>
    </row>
    <row r="96" spans="1:24" ht="12.75" customHeight="1">
      <c r="A96" s="22" t="s">
        <v>157</v>
      </c>
      <c r="B96" s="36">
        <f t="shared" ref="B96:K96" si="123">B56-B76</f>
        <v>-22.000645161290336</v>
      </c>
      <c r="C96" s="36">
        <f t="shared" si="123"/>
        <v>-10.379999999999995</v>
      </c>
      <c r="D96" s="36">
        <f t="shared" si="123"/>
        <v>-11.280000000000001</v>
      </c>
      <c r="E96" s="36">
        <f t="shared" si="123"/>
        <v>3.6400000000000006</v>
      </c>
      <c r="F96" s="36">
        <f t="shared" si="123"/>
        <v>-8.789999999999992</v>
      </c>
      <c r="G96" s="36">
        <f t="shared" si="123"/>
        <v>3.7091891891892033</v>
      </c>
      <c r="H96" s="36">
        <f t="shared" si="123"/>
        <v>-0.12000000000000455</v>
      </c>
      <c r="I96" s="36">
        <f t="shared" si="123"/>
        <v>-5.9604379562043732</v>
      </c>
      <c r="J96" s="36">
        <f t="shared" si="123"/>
        <v>-4.0200000000000102</v>
      </c>
      <c r="K96" s="36">
        <f t="shared" si="123"/>
        <v>-1.1599999999999966</v>
      </c>
      <c r="L96" s="36">
        <f t="shared" ref="L96:P96" si="124">L56-L76</f>
        <v>-0.65000000000000568</v>
      </c>
      <c r="M96" s="36">
        <f t="shared" si="124"/>
        <v>-0.65000000000000568</v>
      </c>
      <c r="N96" s="36">
        <f t="shared" si="124"/>
        <v>-0.65000000000000568</v>
      </c>
      <c r="O96" s="36">
        <f t="shared" si="124"/>
        <v>-0.65000000000000568</v>
      </c>
      <c r="P96" s="36">
        <f t="shared" si="124"/>
        <v>-0.65000000000000568</v>
      </c>
      <c r="Q96" s="36">
        <f t="shared" ref="Q96" si="125">Q56-Q76</f>
        <v>-4.0500000000000114</v>
      </c>
      <c r="R96" s="37"/>
      <c r="S96" s="37"/>
      <c r="T96" s="32"/>
      <c r="U96" s="32"/>
      <c r="V96" s="37"/>
      <c r="W96" s="37"/>
      <c r="X96" s="32"/>
    </row>
    <row r="97" spans="1:24" ht="12.75" customHeight="1">
      <c r="A97" s="22" t="s">
        <v>158</v>
      </c>
      <c r="B97" s="36">
        <f t="shared" ref="B97:K97" si="126">B57-B77</f>
        <v>17.417647058823533</v>
      </c>
      <c r="C97" s="36">
        <f t="shared" si="126"/>
        <v>11.300000000000004</v>
      </c>
      <c r="D97" s="36">
        <f t="shared" si="126"/>
        <v>10.11</v>
      </c>
      <c r="E97" s="36">
        <f t="shared" si="126"/>
        <v>10.990000000000002</v>
      </c>
      <c r="F97" s="36">
        <f t="shared" si="126"/>
        <v>12.590000000000003</v>
      </c>
      <c r="G97" s="36">
        <f t="shared" si="126"/>
        <v>9.6454901960784198</v>
      </c>
      <c r="H97" s="36">
        <f t="shared" si="126"/>
        <v>12.080000000000002</v>
      </c>
      <c r="I97" s="36">
        <f t="shared" si="126"/>
        <v>10.606569343065697</v>
      </c>
      <c r="J97" s="36">
        <f t="shared" si="126"/>
        <v>7.759999999999998</v>
      </c>
      <c r="K97" s="36">
        <f t="shared" si="126"/>
        <v>9.64</v>
      </c>
      <c r="L97" s="36">
        <f t="shared" ref="L97:P97" si="127">L57-L77</f>
        <v>7.759999999999998</v>
      </c>
      <c r="M97" s="36">
        <f t="shared" si="127"/>
        <v>7.759999999999998</v>
      </c>
      <c r="N97" s="36">
        <f t="shared" si="127"/>
        <v>7.759999999999998</v>
      </c>
      <c r="O97" s="36">
        <f t="shared" si="127"/>
        <v>7.759999999999998</v>
      </c>
      <c r="P97" s="36">
        <f t="shared" si="127"/>
        <v>7.759999999999998</v>
      </c>
      <c r="Q97" s="36">
        <f t="shared" ref="Q97" si="128">Q57-Q77</f>
        <v>5.724499999999999</v>
      </c>
      <c r="R97" s="37"/>
      <c r="S97" s="37"/>
      <c r="T97" s="32"/>
      <c r="U97" s="32"/>
      <c r="V97" s="37"/>
      <c r="W97" s="37"/>
      <c r="X97" s="32"/>
    </row>
    <row r="98" spans="1:24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2.75" customHeight="1">
      <c r="A99" s="38"/>
      <c r="B99" s="24"/>
      <c r="C99" s="24"/>
      <c r="D99" s="34"/>
      <c r="E99" s="34"/>
      <c r="F99" s="34"/>
      <c r="G99" s="34"/>
      <c r="H99" s="34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2.75" customHeight="1">
      <c r="A102" s="21" t="s">
        <v>164</v>
      </c>
      <c r="B102" s="21">
        <v>1.1100000000000001</v>
      </c>
      <c r="C102" s="21">
        <v>1.07</v>
      </c>
      <c r="D102" s="21">
        <v>1.08</v>
      </c>
      <c r="E102" s="21">
        <v>1.17</v>
      </c>
      <c r="F102" s="41">
        <f t="shared" ref="F102:F110" si="129">AVERAGE(B102:E102)</f>
        <v>1.1074999999999999</v>
      </c>
      <c r="G102" s="21">
        <v>1.27</v>
      </c>
      <c r="H102" s="21">
        <v>1.29</v>
      </c>
      <c r="I102" s="21">
        <v>1.37</v>
      </c>
      <c r="J102" s="42">
        <v>1.42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2.75" customHeight="1">
      <c r="A103" s="21" t="s">
        <v>165</v>
      </c>
      <c r="B103" s="21"/>
      <c r="C103" s="21"/>
      <c r="D103" s="21"/>
      <c r="E103" s="21"/>
      <c r="F103" s="41"/>
      <c r="G103" s="21"/>
      <c r="H103" s="21"/>
      <c r="I103" s="21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2.75" customHeight="1">
      <c r="A104" s="41" t="s">
        <v>166</v>
      </c>
      <c r="B104" s="41">
        <v>143</v>
      </c>
      <c r="C104" s="41">
        <v>120</v>
      </c>
      <c r="D104" s="41">
        <v>120</v>
      </c>
      <c r="E104" s="41">
        <v>119</v>
      </c>
      <c r="F104" s="41">
        <f t="shared" si="129"/>
        <v>125.5</v>
      </c>
      <c r="G104" s="41">
        <v>117</v>
      </c>
      <c r="H104" s="41">
        <v>110</v>
      </c>
      <c r="I104" s="41">
        <v>93</v>
      </c>
      <c r="J104" s="43">
        <v>89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2.75" customHeight="1">
      <c r="A105" s="41" t="s">
        <v>224</v>
      </c>
      <c r="B105" s="41"/>
      <c r="C105" s="41"/>
      <c r="D105" s="41"/>
      <c r="E105" s="41"/>
      <c r="F105" s="41"/>
      <c r="G105" s="41"/>
      <c r="H105" s="41"/>
      <c r="I105" s="41"/>
      <c r="J105" s="43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2.75" customHeight="1">
      <c r="A106" s="41" t="s">
        <v>167</v>
      </c>
      <c r="B106" s="41">
        <v>124.35</v>
      </c>
      <c r="C106" s="41">
        <v>115.4</v>
      </c>
      <c r="D106" s="41">
        <v>113.66</v>
      </c>
      <c r="E106" s="41">
        <v>112.96</v>
      </c>
      <c r="F106" s="41">
        <f t="shared" si="129"/>
        <v>116.59249999999999</v>
      </c>
      <c r="G106" s="41">
        <v>108.45</v>
      </c>
      <c r="H106" s="41">
        <v>90.31</v>
      </c>
      <c r="I106" s="41">
        <v>86.61</v>
      </c>
      <c r="J106" s="43">
        <v>79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2.75" customHeight="1">
      <c r="A107" s="41" t="s">
        <v>168</v>
      </c>
      <c r="B107" s="41"/>
      <c r="C107" s="41"/>
      <c r="D107" s="41"/>
      <c r="E107" s="41"/>
      <c r="F107" s="41"/>
      <c r="G107" s="41"/>
      <c r="H107" s="41"/>
      <c r="I107" s="41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2.75" customHeight="1">
      <c r="A108" s="41" t="s">
        <v>169</v>
      </c>
      <c r="B108" s="44">
        <f>B104-B56</f>
        <v>35.874193548387112</v>
      </c>
      <c r="C108" s="44">
        <f t="shared" ref="C108:J108" si="130">C104-C56</f>
        <v>24.239999999999995</v>
      </c>
      <c r="D108" s="44">
        <f t="shared" si="130"/>
        <v>31.17</v>
      </c>
      <c r="E108" s="44">
        <f t="shared" si="130"/>
        <v>31.03</v>
      </c>
      <c r="F108" s="44">
        <f t="shared" si="130"/>
        <v>31.689999999999998</v>
      </c>
      <c r="G108" s="44">
        <f t="shared" si="130"/>
        <v>27.667027027027032</v>
      </c>
      <c r="H108" s="44">
        <f t="shared" si="130"/>
        <v>31.010000000000005</v>
      </c>
      <c r="I108" s="44">
        <f t="shared" si="130"/>
        <v>24.47</v>
      </c>
      <c r="J108" s="44">
        <f t="shared" si="130"/>
        <v>24.370000000000005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2.75" customHeight="1">
      <c r="A109" s="41"/>
      <c r="B109" s="45">
        <f t="shared" ref="B109:H109" si="131">B106-B56</f>
        <v>17.224193548387106</v>
      </c>
      <c r="C109" s="45">
        <f t="shared" si="131"/>
        <v>19.64</v>
      </c>
      <c r="D109" s="45">
        <f t="shared" si="131"/>
        <v>24.83</v>
      </c>
      <c r="E109" s="45">
        <f t="shared" si="131"/>
        <v>24.989999999999995</v>
      </c>
      <c r="F109" s="45">
        <f t="shared" si="131"/>
        <v>22.782499999999985</v>
      </c>
      <c r="G109" s="45">
        <f t="shared" si="131"/>
        <v>19.117027027027035</v>
      </c>
      <c r="H109" s="45">
        <f t="shared" si="131"/>
        <v>11.320000000000007</v>
      </c>
      <c r="I109" s="45">
        <f>I106-I56</f>
        <v>18.079999999999998</v>
      </c>
      <c r="J109" s="45">
        <f>I109</f>
        <v>18.079999999999998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2.75" customHeight="1">
      <c r="A110" s="41" t="s">
        <v>170</v>
      </c>
      <c r="B110" s="41">
        <v>78.180000000000007</v>
      </c>
      <c r="C110" s="41">
        <v>74.75</v>
      </c>
      <c r="D110" s="41">
        <v>75.349999999999994</v>
      </c>
      <c r="E110" s="41">
        <v>72.260000000000005</v>
      </c>
      <c r="F110" s="41">
        <f t="shared" si="129"/>
        <v>75.135000000000005</v>
      </c>
      <c r="G110" s="41">
        <v>59.59</v>
      </c>
      <c r="H110" s="41">
        <v>58.4</v>
      </c>
      <c r="I110" s="41">
        <v>58.34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2.75" customHeight="1">
      <c r="A111" s="43" t="s">
        <v>171</v>
      </c>
      <c r="B111" s="41">
        <v>78.67</v>
      </c>
      <c r="C111" s="41">
        <v>73.27</v>
      </c>
      <c r="D111" s="41">
        <v>68.510000000000005</v>
      </c>
      <c r="E111" s="41">
        <v>63.46</v>
      </c>
      <c r="F111" s="41">
        <f>AVERAGE(B111:E111)</f>
        <v>70.977499999999992</v>
      </c>
      <c r="G111" s="41">
        <v>64.92</v>
      </c>
      <c r="H111" s="41">
        <v>59.33</v>
      </c>
      <c r="I111" s="41">
        <v>60.27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2.75" customHeight="1">
      <c r="A112" s="41" t="s">
        <v>169</v>
      </c>
      <c r="B112" s="44">
        <f t="shared" ref="B112:H112" si="132">B111-B57</f>
        <v>23.896470588235296</v>
      </c>
      <c r="C112" s="44">
        <f t="shared" si="132"/>
        <v>22.319999999999993</v>
      </c>
      <c r="D112" s="44">
        <f t="shared" si="132"/>
        <v>18.480000000000004</v>
      </c>
      <c r="E112" s="44">
        <f t="shared" si="132"/>
        <v>17.07</v>
      </c>
      <c r="F112" s="44">
        <f t="shared" si="132"/>
        <v>20.517499999999991</v>
      </c>
      <c r="G112" s="44">
        <f t="shared" si="132"/>
        <v>22.207254901960795</v>
      </c>
      <c r="H112" s="44">
        <f t="shared" si="132"/>
        <v>17.339999999999996</v>
      </c>
      <c r="I112" s="44">
        <f>I111-I57</f>
        <v>21.5</v>
      </c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</sheetData>
  <mergeCells count="4">
    <mergeCell ref="D90:I90"/>
    <mergeCell ref="D70:I70"/>
    <mergeCell ref="D80:I80"/>
    <mergeCell ref="D50:I5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opLeftCell="A13" zoomScale="70" zoomScaleNormal="70" workbookViewId="0">
      <selection activeCell="V22" sqref="V22"/>
    </sheetView>
  </sheetViews>
  <sheetFormatPr defaultRowHeight="15"/>
  <cols>
    <col min="1" max="1" width="35" style="20" customWidth="1"/>
    <col min="2" max="5" width="9.140625" style="20" hidden="1" customWidth="1"/>
    <col min="6" max="6" width="9.140625" style="20" customWidth="1"/>
    <col min="7" max="10" width="9.140625" style="20" hidden="1" customWidth="1"/>
    <col min="11" max="11" width="8.28515625" style="20" customWidth="1"/>
    <col min="12" max="15" width="8.28515625" style="20" hidden="1" customWidth="1"/>
    <col min="16" max="17" width="8.28515625" style="20" customWidth="1"/>
    <col min="18" max="256" width="9.140625" style="20"/>
    <col min="257" max="257" width="35" style="20" customWidth="1"/>
    <col min="258" max="261" width="0" style="20" hidden="1" customWidth="1"/>
    <col min="262" max="262" width="9.140625" style="20" customWidth="1"/>
    <col min="263" max="266" width="0" style="20" hidden="1" customWidth="1"/>
    <col min="267" max="267" width="8.28515625" style="20" customWidth="1"/>
    <col min="268" max="271" width="0" style="20" hidden="1" customWidth="1"/>
    <col min="272" max="273" width="8.28515625" style="20" customWidth="1"/>
    <col min="274" max="512" width="9.140625" style="20"/>
    <col min="513" max="513" width="35" style="20" customWidth="1"/>
    <col min="514" max="517" width="0" style="20" hidden="1" customWidth="1"/>
    <col min="518" max="518" width="9.140625" style="20" customWidth="1"/>
    <col min="519" max="522" width="0" style="20" hidden="1" customWidth="1"/>
    <col min="523" max="523" width="8.28515625" style="20" customWidth="1"/>
    <col min="524" max="527" width="0" style="20" hidden="1" customWidth="1"/>
    <col min="528" max="529" width="8.28515625" style="20" customWidth="1"/>
    <col min="530" max="768" width="9.140625" style="20"/>
    <col min="769" max="769" width="35" style="20" customWidth="1"/>
    <col min="770" max="773" width="0" style="20" hidden="1" customWidth="1"/>
    <col min="774" max="774" width="9.140625" style="20" customWidth="1"/>
    <col min="775" max="778" width="0" style="20" hidden="1" customWidth="1"/>
    <col min="779" max="779" width="8.28515625" style="20" customWidth="1"/>
    <col min="780" max="783" width="0" style="20" hidden="1" customWidth="1"/>
    <col min="784" max="785" width="8.28515625" style="20" customWidth="1"/>
    <col min="786" max="1024" width="9.140625" style="20"/>
    <col min="1025" max="1025" width="35" style="20" customWidth="1"/>
    <col min="1026" max="1029" width="0" style="20" hidden="1" customWidth="1"/>
    <col min="1030" max="1030" width="9.140625" style="20" customWidth="1"/>
    <col min="1031" max="1034" width="0" style="20" hidden="1" customWidth="1"/>
    <col min="1035" max="1035" width="8.28515625" style="20" customWidth="1"/>
    <col min="1036" max="1039" width="0" style="20" hidden="1" customWidth="1"/>
    <col min="1040" max="1041" width="8.28515625" style="20" customWidth="1"/>
    <col min="1042" max="1280" width="9.140625" style="20"/>
    <col min="1281" max="1281" width="35" style="20" customWidth="1"/>
    <col min="1282" max="1285" width="0" style="20" hidden="1" customWidth="1"/>
    <col min="1286" max="1286" width="9.140625" style="20" customWidth="1"/>
    <col min="1287" max="1290" width="0" style="20" hidden="1" customWidth="1"/>
    <col min="1291" max="1291" width="8.28515625" style="20" customWidth="1"/>
    <col min="1292" max="1295" width="0" style="20" hidden="1" customWidth="1"/>
    <col min="1296" max="1297" width="8.28515625" style="20" customWidth="1"/>
    <col min="1298" max="1536" width="9.140625" style="20"/>
    <col min="1537" max="1537" width="35" style="20" customWidth="1"/>
    <col min="1538" max="1541" width="0" style="20" hidden="1" customWidth="1"/>
    <col min="1542" max="1542" width="9.140625" style="20" customWidth="1"/>
    <col min="1543" max="1546" width="0" style="20" hidden="1" customWidth="1"/>
    <col min="1547" max="1547" width="8.28515625" style="20" customWidth="1"/>
    <col min="1548" max="1551" width="0" style="20" hidden="1" customWidth="1"/>
    <col min="1552" max="1553" width="8.28515625" style="20" customWidth="1"/>
    <col min="1554" max="1792" width="9.140625" style="20"/>
    <col min="1793" max="1793" width="35" style="20" customWidth="1"/>
    <col min="1794" max="1797" width="0" style="20" hidden="1" customWidth="1"/>
    <col min="1798" max="1798" width="9.140625" style="20" customWidth="1"/>
    <col min="1799" max="1802" width="0" style="20" hidden="1" customWidth="1"/>
    <col min="1803" max="1803" width="8.28515625" style="20" customWidth="1"/>
    <col min="1804" max="1807" width="0" style="20" hidden="1" customWidth="1"/>
    <col min="1808" max="1809" width="8.28515625" style="20" customWidth="1"/>
    <col min="1810" max="2048" width="9.140625" style="20"/>
    <col min="2049" max="2049" width="35" style="20" customWidth="1"/>
    <col min="2050" max="2053" width="0" style="20" hidden="1" customWidth="1"/>
    <col min="2054" max="2054" width="9.140625" style="20" customWidth="1"/>
    <col min="2055" max="2058" width="0" style="20" hidden="1" customWidth="1"/>
    <col min="2059" max="2059" width="8.28515625" style="20" customWidth="1"/>
    <col min="2060" max="2063" width="0" style="20" hidden="1" customWidth="1"/>
    <col min="2064" max="2065" width="8.28515625" style="20" customWidth="1"/>
    <col min="2066" max="2304" width="9.140625" style="20"/>
    <col min="2305" max="2305" width="35" style="20" customWidth="1"/>
    <col min="2306" max="2309" width="0" style="20" hidden="1" customWidth="1"/>
    <col min="2310" max="2310" width="9.140625" style="20" customWidth="1"/>
    <col min="2311" max="2314" width="0" style="20" hidden="1" customWidth="1"/>
    <col min="2315" max="2315" width="8.28515625" style="20" customWidth="1"/>
    <col min="2316" max="2319" width="0" style="20" hidden="1" customWidth="1"/>
    <col min="2320" max="2321" width="8.28515625" style="20" customWidth="1"/>
    <col min="2322" max="2560" width="9.140625" style="20"/>
    <col min="2561" max="2561" width="35" style="20" customWidth="1"/>
    <col min="2562" max="2565" width="0" style="20" hidden="1" customWidth="1"/>
    <col min="2566" max="2566" width="9.140625" style="20" customWidth="1"/>
    <col min="2567" max="2570" width="0" style="20" hidden="1" customWidth="1"/>
    <col min="2571" max="2571" width="8.28515625" style="20" customWidth="1"/>
    <col min="2572" max="2575" width="0" style="20" hidden="1" customWidth="1"/>
    <col min="2576" max="2577" width="8.28515625" style="20" customWidth="1"/>
    <col min="2578" max="2816" width="9.140625" style="20"/>
    <col min="2817" max="2817" width="35" style="20" customWidth="1"/>
    <col min="2818" max="2821" width="0" style="20" hidden="1" customWidth="1"/>
    <col min="2822" max="2822" width="9.140625" style="20" customWidth="1"/>
    <col min="2823" max="2826" width="0" style="20" hidden="1" customWidth="1"/>
    <col min="2827" max="2827" width="8.28515625" style="20" customWidth="1"/>
    <col min="2828" max="2831" width="0" style="20" hidden="1" customWidth="1"/>
    <col min="2832" max="2833" width="8.28515625" style="20" customWidth="1"/>
    <col min="2834" max="3072" width="9.140625" style="20"/>
    <col min="3073" max="3073" width="35" style="20" customWidth="1"/>
    <col min="3074" max="3077" width="0" style="20" hidden="1" customWidth="1"/>
    <col min="3078" max="3078" width="9.140625" style="20" customWidth="1"/>
    <col min="3079" max="3082" width="0" style="20" hidden="1" customWidth="1"/>
    <col min="3083" max="3083" width="8.28515625" style="20" customWidth="1"/>
    <col min="3084" max="3087" width="0" style="20" hidden="1" customWidth="1"/>
    <col min="3088" max="3089" width="8.28515625" style="20" customWidth="1"/>
    <col min="3090" max="3328" width="9.140625" style="20"/>
    <col min="3329" max="3329" width="35" style="20" customWidth="1"/>
    <col min="3330" max="3333" width="0" style="20" hidden="1" customWidth="1"/>
    <col min="3334" max="3334" width="9.140625" style="20" customWidth="1"/>
    <col min="3335" max="3338" width="0" style="20" hidden="1" customWidth="1"/>
    <col min="3339" max="3339" width="8.28515625" style="20" customWidth="1"/>
    <col min="3340" max="3343" width="0" style="20" hidden="1" customWidth="1"/>
    <col min="3344" max="3345" width="8.28515625" style="20" customWidth="1"/>
    <col min="3346" max="3584" width="9.140625" style="20"/>
    <col min="3585" max="3585" width="35" style="20" customWidth="1"/>
    <col min="3586" max="3589" width="0" style="20" hidden="1" customWidth="1"/>
    <col min="3590" max="3590" width="9.140625" style="20" customWidth="1"/>
    <col min="3591" max="3594" width="0" style="20" hidden="1" customWidth="1"/>
    <col min="3595" max="3595" width="8.28515625" style="20" customWidth="1"/>
    <col min="3596" max="3599" width="0" style="20" hidden="1" customWidth="1"/>
    <col min="3600" max="3601" width="8.28515625" style="20" customWidth="1"/>
    <col min="3602" max="3840" width="9.140625" style="20"/>
    <col min="3841" max="3841" width="35" style="20" customWidth="1"/>
    <col min="3842" max="3845" width="0" style="20" hidden="1" customWidth="1"/>
    <col min="3846" max="3846" width="9.140625" style="20" customWidth="1"/>
    <col min="3847" max="3850" width="0" style="20" hidden="1" customWidth="1"/>
    <col min="3851" max="3851" width="8.28515625" style="20" customWidth="1"/>
    <col min="3852" max="3855" width="0" style="20" hidden="1" customWidth="1"/>
    <col min="3856" max="3857" width="8.28515625" style="20" customWidth="1"/>
    <col min="3858" max="4096" width="9.140625" style="20"/>
    <col min="4097" max="4097" width="35" style="20" customWidth="1"/>
    <col min="4098" max="4101" width="0" style="20" hidden="1" customWidth="1"/>
    <col min="4102" max="4102" width="9.140625" style="20" customWidth="1"/>
    <col min="4103" max="4106" width="0" style="20" hidden="1" customWidth="1"/>
    <col min="4107" max="4107" width="8.28515625" style="20" customWidth="1"/>
    <col min="4108" max="4111" width="0" style="20" hidden="1" customWidth="1"/>
    <col min="4112" max="4113" width="8.28515625" style="20" customWidth="1"/>
    <col min="4114" max="4352" width="9.140625" style="20"/>
    <col min="4353" max="4353" width="35" style="20" customWidth="1"/>
    <col min="4354" max="4357" width="0" style="20" hidden="1" customWidth="1"/>
    <col min="4358" max="4358" width="9.140625" style="20" customWidth="1"/>
    <col min="4359" max="4362" width="0" style="20" hidden="1" customWidth="1"/>
    <col min="4363" max="4363" width="8.28515625" style="20" customWidth="1"/>
    <col min="4364" max="4367" width="0" style="20" hidden="1" customWidth="1"/>
    <col min="4368" max="4369" width="8.28515625" style="20" customWidth="1"/>
    <col min="4370" max="4608" width="9.140625" style="20"/>
    <col min="4609" max="4609" width="35" style="20" customWidth="1"/>
    <col min="4610" max="4613" width="0" style="20" hidden="1" customWidth="1"/>
    <col min="4614" max="4614" width="9.140625" style="20" customWidth="1"/>
    <col min="4615" max="4618" width="0" style="20" hidden="1" customWidth="1"/>
    <col min="4619" max="4619" width="8.28515625" style="20" customWidth="1"/>
    <col min="4620" max="4623" width="0" style="20" hidden="1" customWidth="1"/>
    <col min="4624" max="4625" width="8.28515625" style="20" customWidth="1"/>
    <col min="4626" max="4864" width="9.140625" style="20"/>
    <col min="4865" max="4865" width="35" style="20" customWidth="1"/>
    <col min="4866" max="4869" width="0" style="20" hidden="1" customWidth="1"/>
    <col min="4870" max="4870" width="9.140625" style="20" customWidth="1"/>
    <col min="4871" max="4874" width="0" style="20" hidden="1" customWidth="1"/>
    <col min="4875" max="4875" width="8.28515625" style="20" customWidth="1"/>
    <col min="4876" max="4879" width="0" style="20" hidden="1" customWidth="1"/>
    <col min="4880" max="4881" width="8.28515625" style="20" customWidth="1"/>
    <col min="4882" max="5120" width="9.140625" style="20"/>
    <col min="5121" max="5121" width="35" style="20" customWidth="1"/>
    <col min="5122" max="5125" width="0" style="20" hidden="1" customWidth="1"/>
    <col min="5126" max="5126" width="9.140625" style="20" customWidth="1"/>
    <col min="5127" max="5130" width="0" style="20" hidden="1" customWidth="1"/>
    <col min="5131" max="5131" width="8.28515625" style="20" customWidth="1"/>
    <col min="5132" max="5135" width="0" style="20" hidden="1" customWidth="1"/>
    <col min="5136" max="5137" width="8.28515625" style="20" customWidth="1"/>
    <col min="5138" max="5376" width="9.140625" style="20"/>
    <col min="5377" max="5377" width="35" style="20" customWidth="1"/>
    <col min="5378" max="5381" width="0" style="20" hidden="1" customWidth="1"/>
    <col min="5382" max="5382" width="9.140625" style="20" customWidth="1"/>
    <col min="5383" max="5386" width="0" style="20" hidden="1" customWidth="1"/>
    <col min="5387" max="5387" width="8.28515625" style="20" customWidth="1"/>
    <col min="5388" max="5391" width="0" style="20" hidden="1" customWidth="1"/>
    <col min="5392" max="5393" width="8.28515625" style="20" customWidth="1"/>
    <col min="5394" max="5632" width="9.140625" style="20"/>
    <col min="5633" max="5633" width="35" style="20" customWidth="1"/>
    <col min="5634" max="5637" width="0" style="20" hidden="1" customWidth="1"/>
    <col min="5638" max="5638" width="9.140625" style="20" customWidth="1"/>
    <col min="5639" max="5642" width="0" style="20" hidden="1" customWidth="1"/>
    <col min="5643" max="5643" width="8.28515625" style="20" customWidth="1"/>
    <col min="5644" max="5647" width="0" style="20" hidden="1" customWidth="1"/>
    <col min="5648" max="5649" width="8.28515625" style="20" customWidth="1"/>
    <col min="5650" max="5888" width="9.140625" style="20"/>
    <col min="5889" max="5889" width="35" style="20" customWidth="1"/>
    <col min="5890" max="5893" width="0" style="20" hidden="1" customWidth="1"/>
    <col min="5894" max="5894" width="9.140625" style="20" customWidth="1"/>
    <col min="5895" max="5898" width="0" style="20" hidden="1" customWidth="1"/>
    <col min="5899" max="5899" width="8.28515625" style="20" customWidth="1"/>
    <col min="5900" max="5903" width="0" style="20" hidden="1" customWidth="1"/>
    <col min="5904" max="5905" width="8.28515625" style="20" customWidth="1"/>
    <col min="5906" max="6144" width="9.140625" style="20"/>
    <col min="6145" max="6145" width="35" style="20" customWidth="1"/>
    <col min="6146" max="6149" width="0" style="20" hidden="1" customWidth="1"/>
    <col min="6150" max="6150" width="9.140625" style="20" customWidth="1"/>
    <col min="6151" max="6154" width="0" style="20" hidden="1" customWidth="1"/>
    <col min="6155" max="6155" width="8.28515625" style="20" customWidth="1"/>
    <col min="6156" max="6159" width="0" style="20" hidden="1" customWidth="1"/>
    <col min="6160" max="6161" width="8.28515625" style="20" customWidth="1"/>
    <col min="6162" max="6400" width="9.140625" style="20"/>
    <col min="6401" max="6401" width="35" style="20" customWidth="1"/>
    <col min="6402" max="6405" width="0" style="20" hidden="1" customWidth="1"/>
    <col min="6406" max="6406" width="9.140625" style="20" customWidth="1"/>
    <col min="6407" max="6410" width="0" style="20" hidden="1" customWidth="1"/>
    <col min="6411" max="6411" width="8.28515625" style="20" customWidth="1"/>
    <col min="6412" max="6415" width="0" style="20" hidden="1" customWidth="1"/>
    <col min="6416" max="6417" width="8.28515625" style="20" customWidth="1"/>
    <col min="6418" max="6656" width="9.140625" style="20"/>
    <col min="6657" max="6657" width="35" style="20" customWidth="1"/>
    <col min="6658" max="6661" width="0" style="20" hidden="1" customWidth="1"/>
    <col min="6662" max="6662" width="9.140625" style="20" customWidth="1"/>
    <col min="6663" max="6666" width="0" style="20" hidden="1" customWidth="1"/>
    <col min="6667" max="6667" width="8.28515625" style="20" customWidth="1"/>
    <col min="6668" max="6671" width="0" style="20" hidden="1" customWidth="1"/>
    <col min="6672" max="6673" width="8.28515625" style="20" customWidth="1"/>
    <col min="6674" max="6912" width="9.140625" style="20"/>
    <col min="6913" max="6913" width="35" style="20" customWidth="1"/>
    <col min="6914" max="6917" width="0" style="20" hidden="1" customWidth="1"/>
    <col min="6918" max="6918" width="9.140625" style="20" customWidth="1"/>
    <col min="6919" max="6922" width="0" style="20" hidden="1" customWidth="1"/>
    <col min="6923" max="6923" width="8.28515625" style="20" customWidth="1"/>
    <col min="6924" max="6927" width="0" style="20" hidden="1" customWidth="1"/>
    <col min="6928" max="6929" width="8.28515625" style="20" customWidth="1"/>
    <col min="6930" max="7168" width="9.140625" style="20"/>
    <col min="7169" max="7169" width="35" style="20" customWidth="1"/>
    <col min="7170" max="7173" width="0" style="20" hidden="1" customWidth="1"/>
    <col min="7174" max="7174" width="9.140625" style="20" customWidth="1"/>
    <col min="7175" max="7178" width="0" style="20" hidden="1" customWidth="1"/>
    <col min="7179" max="7179" width="8.28515625" style="20" customWidth="1"/>
    <col min="7180" max="7183" width="0" style="20" hidden="1" customWidth="1"/>
    <col min="7184" max="7185" width="8.28515625" style="20" customWidth="1"/>
    <col min="7186" max="7424" width="9.140625" style="20"/>
    <col min="7425" max="7425" width="35" style="20" customWidth="1"/>
    <col min="7426" max="7429" width="0" style="20" hidden="1" customWidth="1"/>
    <col min="7430" max="7430" width="9.140625" style="20" customWidth="1"/>
    <col min="7431" max="7434" width="0" style="20" hidden="1" customWidth="1"/>
    <col min="7435" max="7435" width="8.28515625" style="20" customWidth="1"/>
    <col min="7436" max="7439" width="0" style="20" hidden="1" customWidth="1"/>
    <col min="7440" max="7441" width="8.28515625" style="20" customWidth="1"/>
    <col min="7442" max="7680" width="9.140625" style="20"/>
    <col min="7681" max="7681" width="35" style="20" customWidth="1"/>
    <col min="7682" max="7685" width="0" style="20" hidden="1" customWidth="1"/>
    <col min="7686" max="7686" width="9.140625" style="20" customWidth="1"/>
    <col min="7687" max="7690" width="0" style="20" hidden="1" customWidth="1"/>
    <col min="7691" max="7691" width="8.28515625" style="20" customWidth="1"/>
    <col min="7692" max="7695" width="0" style="20" hidden="1" customWidth="1"/>
    <col min="7696" max="7697" width="8.28515625" style="20" customWidth="1"/>
    <col min="7698" max="7936" width="9.140625" style="20"/>
    <col min="7937" max="7937" width="35" style="20" customWidth="1"/>
    <col min="7938" max="7941" width="0" style="20" hidden="1" customWidth="1"/>
    <col min="7942" max="7942" width="9.140625" style="20" customWidth="1"/>
    <col min="7943" max="7946" width="0" style="20" hidden="1" customWidth="1"/>
    <col min="7947" max="7947" width="8.28515625" style="20" customWidth="1"/>
    <col min="7948" max="7951" width="0" style="20" hidden="1" customWidth="1"/>
    <col min="7952" max="7953" width="8.28515625" style="20" customWidth="1"/>
    <col min="7954" max="8192" width="9.140625" style="20"/>
    <col min="8193" max="8193" width="35" style="20" customWidth="1"/>
    <col min="8194" max="8197" width="0" style="20" hidden="1" customWidth="1"/>
    <col min="8198" max="8198" width="9.140625" style="20" customWidth="1"/>
    <col min="8199" max="8202" width="0" style="20" hidden="1" customWidth="1"/>
    <col min="8203" max="8203" width="8.28515625" style="20" customWidth="1"/>
    <col min="8204" max="8207" width="0" style="20" hidden="1" customWidth="1"/>
    <col min="8208" max="8209" width="8.28515625" style="20" customWidth="1"/>
    <col min="8210" max="8448" width="9.140625" style="20"/>
    <col min="8449" max="8449" width="35" style="20" customWidth="1"/>
    <col min="8450" max="8453" width="0" style="20" hidden="1" customWidth="1"/>
    <col min="8454" max="8454" width="9.140625" style="20" customWidth="1"/>
    <col min="8455" max="8458" width="0" style="20" hidden="1" customWidth="1"/>
    <col min="8459" max="8459" width="8.28515625" style="20" customWidth="1"/>
    <col min="8460" max="8463" width="0" style="20" hidden="1" customWidth="1"/>
    <col min="8464" max="8465" width="8.28515625" style="20" customWidth="1"/>
    <col min="8466" max="8704" width="9.140625" style="20"/>
    <col min="8705" max="8705" width="35" style="20" customWidth="1"/>
    <col min="8706" max="8709" width="0" style="20" hidden="1" customWidth="1"/>
    <col min="8710" max="8710" width="9.140625" style="20" customWidth="1"/>
    <col min="8711" max="8714" width="0" style="20" hidden="1" customWidth="1"/>
    <col min="8715" max="8715" width="8.28515625" style="20" customWidth="1"/>
    <col min="8716" max="8719" width="0" style="20" hidden="1" customWidth="1"/>
    <col min="8720" max="8721" width="8.28515625" style="20" customWidth="1"/>
    <col min="8722" max="8960" width="9.140625" style="20"/>
    <col min="8961" max="8961" width="35" style="20" customWidth="1"/>
    <col min="8962" max="8965" width="0" style="20" hidden="1" customWidth="1"/>
    <col min="8966" max="8966" width="9.140625" style="20" customWidth="1"/>
    <col min="8967" max="8970" width="0" style="20" hidden="1" customWidth="1"/>
    <col min="8971" max="8971" width="8.28515625" style="20" customWidth="1"/>
    <col min="8972" max="8975" width="0" style="20" hidden="1" customWidth="1"/>
    <col min="8976" max="8977" width="8.28515625" style="20" customWidth="1"/>
    <col min="8978" max="9216" width="9.140625" style="20"/>
    <col min="9217" max="9217" width="35" style="20" customWidth="1"/>
    <col min="9218" max="9221" width="0" style="20" hidden="1" customWidth="1"/>
    <col min="9222" max="9222" width="9.140625" style="20" customWidth="1"/>
    <col min="9223" max="9226" width="0" style="20" hidden="1" customWidth="1"/>
    <col min="9227" max="9227" width="8.28515625" style="20" customWidth="1"/>
    <col min="9228" max="9231" width="0" style="20" hidden="1" customWidth="1"/>
    <col min="9232" max="9233" width="8.28515625" style="20" customWidth="1"/>
    <col min="9234" max="9472" width="9.140625" style="20"/>
    <col min="9473" max="9473" width="35" style="20" customWidth="1"/>
    <col min="9474" max="9477" width="0" style="20" hidden="1" customWidth="1"/>
    <col min="9478" max="9478" width="9.140625" style="20" customWidth="1"/>
    <col min="9479" max="9482" width="0" style="20" hidden="1" customWidth="1"/>
    <col min="9483" max="9483" width="8.28515625" style="20" customWidth="1"/>
    <col min="9484" max="9487" width="0" style="20" hidden="1" customWidth="1"/>
    <col min="9488" max="9489" width="8.28515625" style="20" customWidth="1"/>
    <col min="9490" max="9728" width="9.140625" style="20"/>
    <col min="9729" max="9729" width="35" style="20" customWidth="1"/>
    <col min="9730" max="9733" width="0" style="20" hidden="1" customWidth="1"/>
    <col min="9734" max="9734" width="9.140625" style="20" customWidth="1"/>
    <col min="9735" max="9738" width="0" style="20" hidden="1" customWidth="1"/>
    <col min="9739" max="9739" width="8.28515625" style="20" customWidth="1"/>
    <col min="9740" max="9743" width="0" style="20" hidden="1" customWidth="1"/>
    <col min="9744" max="9745" width="8.28515625" style="20" customWidth="1"/>
    <col min="9746" max="9984" width="9.140625" style="20"/>
    <col min="9985" max="9985" width="35" style="20" customWidth="1"/>
    <col min="9986" max="9989" width="0" style="20" hidden="1" customWidth="1"/>
    <col min="9990" max="9990" width="9.140625" style="20" customWidth="1"/>
    <col min="9991" max="9994" width="0" style="20" hidden="1" customWidth="1"/>
    <col min="9995" max="9995" width="8.28515625" style="20" customWidth="1"/>
    <col min="9996" max="9999" width="0" style="20" hidden="1" customWidth="1"/>
    <col min="10000" max="10001" width="8.28515625" style="20" customWidth="1"/>
    <col min="10002" max="10240" width="9.140625" style="20"/>
    <col min="10241" max="10241" width="35" style="20" customWidth="1"/>
    <col min="10242" max="10245" width="0" style="20" hidden="1" customWidth="1"/>
    <col min="10246" max="10246" width="9.140625" style="20" customWidth="1"/>
    <col min="10247" max="10250" width="0" style="20" hidden="1" customWidth="1"/>
    <col min="10251" max="10251" width="8.28515625" style="20" customWidth="1"/>
    <col min="10252" max="10255" width="0" style="20" hidden="1" customWidth="1"/>
    <col min="10256" max="10257" width="8.28515625" style="20" customWidth="1"/>
    <col min="10258" max="10496" width="9.140625" style="20"/>
    <col min="10497" max="10497" width="35" style="20" customWidth="1"/>
    <col min="10498" max="10501" width="0" style="20" hidden="1" customWidth="1"/>
    <col min="10502" max="10502" width="9.140625" style="20" customWidth="1"/>
    <col min="10503" max="10506" width="0" style="20" hidden="1" customWidth="1"/>
    <col min="10507" max="10507" width="8.28515625" style="20" customWidth="1"/>
    <col min="10508" max="10511" width="0" style="20" hidden="1" customWidth="1"/>
    <col min="10512" max="10513" width="8.28515625" style="20" customWidth="1"/>
    <col min="10514" max="10752" width="9.140625" style="20"/>
    <col min="10753" max="10753" width="35" style="20" customWidth="1"/>
    <col min="10754" max="10757" width="0" style="20" hidden="1" customWidth="1"/>
    <col min="10758" max="10758" width="9.140625" style="20" customWidth="1"/>
    <col min="10759" max="10762" width="0" style="20" hidden="1" customWidth="1"/>
    <col min="10763" max="10763" width="8.28515625" style="20" customWidth="1"/>
    <col min="10764" max="10767" width="0" style="20" hidden="1" customWidth="1"/>
    <col min="10768" max="10769" width="8.28515625" style="20" customWidth="1"/>
    <col min="10770" max="11008" width="9.140625" style="20"/>
    <col min="11009" max="11009" width="35" style="20" customWidth="1"/>
    <col min="11010" max="11013" width="0" style="20" hidden="1" customWidth="1"/>
    <col min="11014" max="11014" width="9.140625" style="20" customWidth="1"/>
    <col min="11015" max="11018" width="0" style="20" hidden="1" customWidth="1"/>
    <col min="11019" max="11019" width="8.28515625" style="20" customWidth="1"/>
    <col min="11020" max="11023" width="0" style="20" hidden="1" customWidth="1"/>
    <col min="11024" max="11025" width="8.28515625" style="20" customWidth="1"/>
    <col min="11026" max="11264" width="9.140625" style="20"/>
    <col min="11265" max="11265" width="35" style="20" customWidth="1"/>
    <col min="11266" max="11269" width="0" style="20" hidden="1" customWidth="1"/>
    <col min="11270" max="11270" width="9.140625" style="20" customWidth="1"/>
    <col min="11271" max="11274" width="0" style="20" hidden="1" customWidth="1"/>
    <col min="11275" max="11275" width="8.28515625" style="20" customWidth="1"/>
    <col min="11276" max="11279" width="0" style="20" hidden="1" customWidth="1"/>
    <col min="11280" max="11281" width="8.28515625" style="20" customWidth="1"/>
    <col min="11282" max="11520" width="9.140625" style="20"/>
    <col min="11521" max="11521" width="35" style="20" customWidth="1"/>
    <col min="11522" max="11525" width="0" style="20" hidden="1" customWidth="1"/>
    <col min="11526" max="11526" width="9.140625" style="20" customWidth="1"/>
    <col min="11527" max="11530" width="0" style="20" hidden="1" customWidth="1"/>
    <col min="11531" max="11531" width="8.28515625" style="20" customWidth="1"/>
    <col min="11532" max="11535" width="0" style="20" hidden="1" customWidth="1"/>
    <col min="11536" max="11537" width="8.28515625" style="20" customWidth="1"/>
    <col min="11538" max="11776" width="9.140625" style="20"/>
    <col min="11777" max="11777" width="35" style="20" customWidth="1"/>
    <col min="11778" max="11781" width="0" style="20" hidden="1" customWidth="1"/>
    <col min="11782" max="11782" width="9.140625" style="20" customWidth="1"/>
    <col min="11783" max="11786" width="0" style="20" hidden="1" customWidth="1"/>
    <col min="11787" max="11787" width="8.28515625" style="20" customWidth="1"/>
    <col min="11788" max="11791" width="0" style="20" hidden="1" customWidth="1"/>
    <col min="11792" max="11793" width="8.28515625" style="20" customWidth="1"/>
    <col min="11794" max="12032" width="9.140625" style="20"/>
    <col min="12033" max="12033" width="35" style="20" customWidth="1"/>
    <col min="12034" max="12037" width="0" style="20" hidden="1" customWidth="1"/>
    <col min="12038" max="12038" width="9.140625" style="20" customWidth="1"/>
    <col min="12039" max="12042" width="0" style="20" hidden="1" customWidth="1"/>
    <col min="12043" max="12043" width="8.28515625" style="20" customWidth="1"/>
    <col min="12044" max="12047" width="0" style="20" hidden="1" customWidth="1"/>
    <col min="12048" max="12049" width="8.28515625" style="20" customWidth="1"/>
    <col min="12050" max="12288" width="9.140625" style="20"/>
    <col min="12289" max="12289" width="35" style="20" customWidth="1"/>
    <col min="12290" max="12293" width="0" style="20" hidden="1" customWidth="1"/>
    <col min="12294" max="12294" width="9.140625" style="20" customWidth="1"/>
    <col min="12295" max="12298" width="0" style="20" hidden="1" customWidth="1"/>
    <col min="12299" max="12299" width="8.28515625" style="20" customWidth="1"/>
    <col min="12300" max="12303" width="0" style="20" hidden="1" customWidth="1"/>
    <col min="12304" max="12305" width="8.28515625" style="20" customWidth="1"/>
    <col min="12306" max="12544" width="9.140625" style="20"/>
    <col min="12545" max="12545" width="35" style="20" customWidth="1"/>
    <col min="12546" max="12549" width="0" style="20" hidden="1" customWidth="1"/>
    <col min="12550" max="12550" width="9.140625" style="20" customWidth="1"/>
    <col min="12551" max="12554" width="0" style="20" hidden="1" customWidth="1"/>
    <col min="12555" max="12555" width="8.28515625" style="20" customWidth="1"/>
    <col min="12556" max="12559" width="0" style="20" hidden="1" customWidth="1"/>
    <col min="12560" max="12561" width="8.28515625" style="20" customWidth="1"/>
    <col min="12562" max="12800" width="9.140625" style="20"/>
    <col min="12801" max="12801" width="35" style="20" customWidth="1"/>
    <col min="12802" max="12805" width="0" style="20" hidden="1" customWidth="1"/>
    <col min="12806" max="12806" width="9.140625" style="20" customWidth="1"/>
    <col min="12807" max="12810" width="0" style="20" hidden="1" customWidth="1"/>
    <col min="12811" max="12811" width="8.28515625" style="20" customWidth="1"/>
    <col min="12812" max="12815" width="0" style="20" hidden="1" customWidth="1"/>
    <col min="12816" max="12817" width="8.28515625" style="20" customWidth="1"/>
    <col min="12818" max="13056" width="9.140625" style="20"/>
    <col min="13057" max="13057" width="35" style="20" customWidth="1"/>
    <col min="13058" max="13061" width="0" style="20" hidden="1" customWidth="1"/>
    <col min="13062" max="13062" width="9.140625" style="20" customWidth="1"/>
    <col min="13063" max="13066" width="0" style="20" hidden="1" customWidth="1"/>
    <col min="13067" max="13067" width="8.28515625" style="20" customWidth="1"/>
    <col min="13068" max="13071" width="0" style="20" hidden="1" customWidth="1"/>
    <col min="13072" max="13073" width="8.28515625" style="20" customWidth="1"/>
    <col min="13074" max="13312" width="9.140625" style="20"/>
    <col min="13313" max="13313" width="35" style="20" customWidth="1"/>
    <col min="13314" max="13317" width="0" style="20" hidden="1" customWidth="1"/>
    <col min="13318" max="13318" width="9.140625" style="20" customWidth="1"/>
    <col min="13319" max="13322" width="0" style="20" hidden="1" customWidth="1"/>
    <col min="13323" max="13323" width="8.28515625" style="20" customWidth="1"/>
    <col min="13324" max="13327" width="0" style="20" hidden="1" customWidth="1"/>
    <col min="13328" max="13329" width="8.28515625" style="20" customWidth="1"/>
    <col min="13330" max="13568" width="9.140625" style="20"/>
    <col min="13569" max="13569" width="35" style="20" customWidth="1"/>
    <col min="13570" max="13573" width="0" style="20" hidden="1" customWidth="1"/>
    <col min="13574" max="13574" width="9.140625" style="20" customWidth="1"/>
    <col min="13575" max="13578" width="0" style="20" hidden="1" customWidth="1"/>
    <col min="13579" max="13579" width="8.28515625" style="20" customWidth="1"/>
    <col min="13580" max="13583" width="0" style="20" hidden="1" customWidth="1"/>
    <col min="13584" max="13585" width="8.28515625" style="20" customWidth="1"/>
    <col min="13586" max="13824" width="9.140625" style="20"/>
    <col min="13825" max="13825" width="35" style="20" customWidth="1"/>
    <col min="13826" max="13829" width="0" style="20" hidden="1" customWidth="1"/>
    <col min="13830" max="13830" width="9.140625" style="20" customWidth="1"/>
    <col min="13831" max="13834" width="0" style="20" hidden="1" customWidth="1"/>
    <col min="13835" max="13835" width="8.28515625" style="20" customWidth="1"/>
    <col min="13836" max="13839" width="0" style="20" hidden="1" customWidth="1"/>
    <col min="13840" max="13841" width="8.28515625" style="20" customWidth="1"/>
    <col min="13842" max="14080" width="9.140625" style="20"/>
    <col min="14081" max="14081" width="35" style="20" customWidth="1"/>
    <col min="14082" max="14085" width="0" style="20" hidden="1" customWidth="1"/>
    <col min="14086" max="14086" width="9.140625" style="20" customWidth="1"/>
    <col min="14087" max="14090" width="0" style="20" hidden="1" customWidth="1"/>
    <col min="14091" max="14091" width="8.28515625" style="20" customWidth="1"/>
    <col min="14092" max="14095" width="0" style="20" hidden="1" customWidth="1"/>
    <col min="14096" max="14097" width="8.28515625" style="20" customWidth="1"/>
    <col min="14098" max="14336" width="9.140625" style="20"/>
    <col min="14337" max="14337" width="35" style="20" customWidth="1"/>
    <col min="14338" max="14341" width="0" style="20" hidden="1" customWidth="1"/>
    <col min="14342" max="14342" width="9.140625" style="20" customWidth="1"/>
    <col min="14343" max="14346" width="0" style="20" hidden="1" customWidth="1"/>
    <col min="14347" max="14347" width="8.28515625" style="20" customWidth="1"/>
    <col min="14348" max="14351" width="0" style="20" hidden="1" customWidth="1"/>
    <col min="14352" max="14353" width="8.28515625" style="20" customWidth="1"/>
    <col min="14354" max="14592" width="9.140625" style="20"/>
    <col min="14593" max="14593" width="35" style="20" customWidth="1"/>
    <col min="14594" max="14597" width="0" style="20" hidden="1" customWidth="1"/>
    <col min="14598" max="14598" width="9.140625" style="20" customWidth="1"/>
    <col min="14599" max="14602" width="0" style="20" hidden="1" customWidth="1"/>
    <col min="14603" max="14603" width="8.28515625" style="20" customWidth="1"/>
    <col min="14604" max="14607" width="0" style="20" hidden="1" customWidth="1"/>
    <col min="14608" max="14609" width="8.28515625" style="20" customWidth="1"/>
    <col min="14610" max="14848" width="9.140625" style="20"/>
    <col min="14849" max="14849" width="35" style="20" customWidth="1"/>
    <col min="14850" max="14853" width="0" style="20" hidden="1" customWidth="1"/>
    <col min="14854" max="14854" width="9.140625" style="20" customWidth="1"/>
    <col min="14855" max="14858" width="0" style="20" hidden="1" customWidth="1"/>
    <col min="14859" max="14859" width="8.28515625" style="20" customWidth="1"/>
    <col min="14860" max="14863" width="0" style="20" hidden="1" customWidth="1"/>
    <col min="14864" max="14865" width="8.28515625" style="20" customWidth="1"/>
    <col min="14866" max="15104" width="9.140625" style="20"/>
    <col min="15105" max="15105" width="35" style="20" customWidth="1"/>
    <col min="15106" max="15109" width="0" style="20" hidden="1" customWidth="1"/>
    <col min="15110" max="15110" width="9.140625" style="20" customWidth="1"/>
    <col min="15111" max="15114" width="0" style="20" hidden="1" customWidth="1"/>
    <col min="15115" max="15115" width="8.28515625" style="20" customWidth="1"/>
    <col min="15116" max="15119" width="0" style="20" hidden="1" customWidth="1"/>
    <col min="15120" max="15121" width="8.28515625" style="20" customWidth="1"/>
    <col min="15122" max="15360" width="9.140625" style="20"/>
    <col min="15361" max="15361" width="35" style="20" customWidth="1"/>
    <col min="15362" max="15365" width="0" style="20" hidden="1" customWidth="1"/>
    <col min="15366" max="15366" width="9.140625" style="20" customWidth="1"/>
    <col min="15367" max="15370" width="0" style="20" hidden="1" customWidth="1"/>
    <col min="15371" max="15371" width="8.28515625" style="20" customWidth="1"/>
    <col min="15372" max="15375" width="0" style="20" hidden="1" customWidth="1"/>
    <col min="15376" max="15377" width="8.28515625" style="20" customWidth="1"/>
    <col min="15378" max="15616" width="9.140625" style="20"/>
    <col min="15617" max="15617" width="35" style="20" customWidth="1"/>
    <col min="15618" max="15621" width="0" style="20" hidden="1" customWidth="1"/>
    <col min="15622" max="15622" width="9.140625" style="20" customWidth="1"/>
    <col min="15623" max="15626" width="0" style="20" hidden="1" customWidth="1"/>
    <col min="15627" max="15627" width="8.28515625" style="20" customWidth="1"/>
    <col min="15628" max="15631" width="0" style="20" hidden="1" customWidth="1"/>
    <col min="15632" max="15633" width="8.28515625" style="20" customWidth="1"/>
    <col min="15634" max="15872" width="9.140625" style="20"/>
    <col min="15873" max="15873" width="35" style="20" customWidth="1"/>
    <col min="15874" max="15877" width="0" style="20" hidden="1" customWidth="1"/>
    <col min="15878" max="15878" width="9.140625" style="20" customWidth="1"/>
    <col min="15879" max="15882" width="0" style="20" hidden="1" customWidth="1"/>
    <col min="15883" max="15883" width="8.28515625" style="20" customWidth="1"/>
    <col min="15884" max="15887" width="0" style="20" hidden="1" customWidth="1"/>
    <col min="15888" max="15889" width="8.28515625" style="20" customWidth="1"/>
    <col min="15890" max="16128" width="9.140625" style="20"/>
    <col min="16129" max="16129" width="35" style="20" customWidth="1"/>
    <col min="16130" max="16133" width="0" style="20" hidden="1" customWidth="1"/>
    <col min="16134" max="16134" width="9.140625" style="20" customWidth="1"/>
    <col min="16135" max="16138" width="0" style="20" hidden="1" customWidth="1"/>
    <col min="16139" max="16139" width="8.28515625" style="20" customWidth="1"/>
    <col min="16140" max="16143" width="0" style="20" hidden="1" customWidth="1"/>
    <col min="16144" max="16145" width="8.28515625" style="20" customWidth="1"/>
    <col min="16146" max="16384" width="9.140625" style="20"/>
  </cols>
  <sheetData>
    <row r="1" spans="1:22" ht="12.75" customHeight="1">
      <c r="A1" s="46"/>
      <c r="B1" s="46" t="s">
        <v>134</v>
      </c>
      <c r="C1" s="46" t="s">
        <v>135</v>
      </c>
      <c r="D1" s="46" t="s">
        <v>136</v>
      </c>
      <c r="E1" s="46" t="s">
        <v>137</v>
      </c>
      <c r="F1" s="46">
        <v>2014</v>
      </c>
      <c r="G1" s="46" t="s">
        <v>138</v>
      </c>
      <c r="H1" s="46" t="s">
        <v>139</v>
      </c>
      <c r="I1" s="46" t="s">
        <v>140</v>
      </c>
      <c r="J1" s="46" t="s">
        <v>141</v>
      </c>
      <c r="K1" s="46">
        <v>2015</v>
      </c>
      <c r="L1" s="46" t="s">
        <v>172</v>
      </c>
      <c r="M1" s="46" t="s">
        <v>173</v>
      </c>
      <c r="N1" s="46" t="s">
        <v>174</v>
      </c>
      <c r="O1" s="46" t="s">
        <v>175</v>
      </c>
      <c r="P1" s="46">
        <v>2016</v>
      </c>
      <c r="Q1" s="46">
        <v>2017</v>
      </c>
      <c r="R1" s="46" t="s">
        <v>217</v>
      </c>
      <c r="S1" s="46" t="s">
        <v>218</v>
      </c>
      <c r="T1" s="46" t="s">
        <v>219</v>
      </c>
      <c r="U1" s="46" t="s">
        <v>220</v>
      </c>
    </row>
    <row r="2" spans="1:22" ht="12.75" customHeight="1">
      <c r="A2" s="19" t="s">
        <v>142</v>
      </c>
      <c r="B2" s="51">
        <f t="shared" ref="B2:J2" si="0">B3+B7</f>
        <v>1596.4039999999998</v>
      </c>
      <c r="C2" s="51">
        <f t="shared" si="0"/>
        <v>1741.0840000000001</v>
      </c>
      <c r="D2" s="51">
        <f t="shared" si="0"/>
        <v>1700.3</v>
      </c>
      <c r="E2" s="51">
        <f t="shared" si="0"/>
        <v>1663.174</v>
      </c>
      <c r="F2" s="51">
        <f t="shared" si="0"/>
        <v>6698.6360000000004</v>
      </c>
      <c r="G2" s="52">
        <f t="shared" si="0"/>
        <v>1513.261</v>
      </c>
      <c r="H2" s="51">
        <f t="shared" si="0"/>
        <v>1327.518</v>
      </c>
      <c r="I2" s="51">
        <f t="shared" si="0"/>
        <v>1387.4</v>
      </c>
      <c r="J2" s="51">
        <f t="shared" si="0"/>
        <v>1317.9250000000002</v>
      </c>
      <c r="K2" s="51">
        <f>K3+K7</f>
        <v>5549.9499999999989</v>
      </c>
      <c r="L2" s="51">
        <f t="shared" ref="L2:Q2" si="1">L3+L7</f>
        <v>1249.806</v>
      </c>
      <c r="M2" s="51">
        <f t="shared" si="1"/>
        <v>1250.806</v>
      </c>
      <c r="N2" s="51">
        <f t="shared" si="1"/>
        <v>1251.806</v>
      </c>
      <c r="O2" s="51">
        <f t="shared" si="1"/>
        <v>1252.806</v>
      </c>
      <c r="P2" s="51">
        <f t="shared" si="1"/>
        <v>3537.1239999999998</v>
      </c>
      <c r="Q2" s="51">
        <f t="shared" si="1"/>
        <v>3385.9027999999998</v>
      </c>
    </row>
    <row r="3" spans="1:22" ht="12.75" customHeight="1">
      <c r="A3" s="21" t="s">
        <v>143</v>
      </c>
      <c r="B3" s="53">
        <f>B4+B5+B6</f>
        <v>984.96899999999982</v>
      </c>
      <c r="C3" s="53">
        <f>C4+C5+C6</f>
        <v>1031.7809999999999</v>
      </c>
      <c r="D3" s="53">
        <v>1024</v>
      </c>
      <c r="E3" s="53">
        <f>E4+E5+E6</f>
        <v>985.77299999999991</v>
      </c>
      <c r="F3" s="53">
        <f>F4+F5+F6</f>
        <v>4025.444</v>
      </c>
      <c r="G3" s="54">
        <f>G4+G5+G6</f>
        <v>964.89399999999989</v>
      </c>
      <c r="H3" s="53">
        <f>H4+H5+H6</f>
        <v>818.404</v>
      </c>
      <c r="I3" s="53">
        <v>901.7</v>
      </c>
      <c r="J3" s="53">
        <f>J4+J5+J6</f>
        <v>831.22500000000014</v>
      </c>
      <c r="K3" s="53">
        <f>K4+K5+K6</f>
        <v>3520.0689999999995</v>
      </c>
      <c r="L3" s="53">
        <f t="shared" ref="L3:Q3" si="2">L4+L5+L6</f>
        <v>761.10599999999999</v>
      </c>
      <c r="M3" s="53">
        <f t="shared" si="2"/>
        <v>761.10599999999999</v>
      </c>
      <c r="N3" s="53">
        <f t="shared" si="2"/>
        <v>761.10599999999999</v>
      </c>
      <c r="O3" s="53">
        <f t="shared" si="2"/>
        <v>761.10599999999999</v>
      </c>
      <c r="P3" s="53">
        <f t="shared" si="2"/>
        <v>3044.424</v>
      </c>
      <c r="Q3" s="53">
        <f t="shared" si="2"/>
        <v>2892.2028</v>
      </c>
    </row>
    <row r="4" spans="1:22" ht="12.75" customHeight="1">
      <c r="A4" s="22" t="s">
        <v>144</v>
      </c>
      <c r="B4" s="55">
        <f>C62*(C41+B41)-C4</f>
        <v>466.45099999999991</v>
      </c>
      <c r="C4" s="56">
        <f t="shared" ref="C4:F6" si="3">C41*C52</f>
        <v>498.88300000000004</v>
      </c>
      <c r="D4" s="56">
        <f t="shared" si="3"/>
        <v>472.15000000000003</v>
      </c>
      <c r="E4" s="56">
        <f t="shared" si="3"/>
        <v>485.64599999999996</v>
      </c>
      <c r="F4" s="56">
        <f t="shared" si="3"/>
        <v>1923.674</v>
      </c>
      <c r="G4" s="57">
        <f>H62*(H41+G41)-H4</f>
        <v>508.51999999999992</v>
      </c>
      <c r="H4" s="56">
        <f t="shared" ref="H4:Q6" si="4">H41*H52</f>
        <v>409.488</v>
      </c>
      <c r="I4" s="56">
        <f t="shared" si="4"/>
        <v>476.41</v>
      </c>
      <c r="J4" s="56">
        <f t="shared" si="4"/>
        <v>472.31100000000004</v>
      </c>
      <c r="K4" s="56">
        <f t="shared" si="4"/>
        <v>1866.8599999999997</v>
      </c>
      <c r="L4" s="56">
        <f t="shared" si="4"/>
        <v>402.19200000000001</v>
      </c>
      <c r="M4" s="56">
        <f t="shared" si="4"/>
        <v>402.19200000000001</v>
      </c>
      <c r="N4" s="56">
        <f t="shared" si="4"/>
        <v>402.19200000000001</v>
      </c>
      <c r="O4" s="56">
        <f t="shared" si="4"/>
        <v>402.19200000000001</v>
      </c>
      <c r="P4" s="56">
        <f t="shared" si="4"/>
        <v>1608.768</v>
      </c>
      <c r="Q4" s="56">
        <f t="shared" si="4"/>
        <v>1528.3296</v>
      </c>
      <c r="R4" s="25"/>
      <c r="S4" s="25"/>
      <c r="T4" s="25"/>
      <c r="U4" s="25"/>
      <c r="V4" s="25"/>
    </row>
    <row r="5" spans="1:22" ht="12.75" customHeight="1">
      <c r="A5" s="22" t="s">
        <v>145</v>
      </c>
      <c r="B5" s="55">
        <f>C63*(C42+B42)-C5</f>
        <v>303.61399999999998</v>
      </c>
      <c r="C5" s="56">
        <f t="shared" si="3"/>
        <v>304.358</v>
      </c>
      <c r="D5" s="56">
        <f t="shared" si="3"/>
        <v>311.22000000000003</v>
      </c>
      <c r="E5" s="56">
        <f t="shared" si="3"/>
        <v>280.53899999999999</v>
      </c>
      <c r="F5" s="56">
        <f t="shared" si="3"/>
        <v>1199.75</v>
      </c>
      <c r="G5" s="57">
        <f>H63*(H42+G42)-H5</f>
        <v>277.59199999999998</v>
      </c>
      <c r="H5" s="56">
        <f t="shared" si="4"/>
        <v>239.66800000000003</v>
      </c>
      <c r="I5" s="56">
        <f t="shared" si="4"/>
        <v>251.845</v>
      </c>
      <c r="J5" s="56">
        <f t="shared" si="4"/>
        <v>209.714</v>
      </c>
      <c r="K5" s="56">
        <f t="shared" si="4"/>
        <v>979.01599999999996</v>
      </c>
      <c r="L5" s="56">
        <f t="shared" si="4"/>
        <v>209.714</v>
      </c>
      <c r="M5" s="56">
        <f t="shared" si="4"/>
        <v>209.714</v>
      </c>
      <c r="N5" s="56">
        <f t="shared" si="4"/>
        <v>209.714</v>
      </c>
      <c r="O5" s="56">
        <f t="shared" si="4"/>
        <v>209.714</v>
      </c>
      <c r="P5" s="56">
        <f t="shared" si="4"/>
        <v>838.85599999999999</v>
      </c>
      <c r="Q5" s="56">
        <f t="shared" si="4"/>
        <v>796.91320000000007</v>
      </c>
      <c r="R5" s="25"/>
      <c r="S5" s="25"/>
      <c r="T5" s="25"/>
      <c r="U5" s="25"/>
      <c r="V5" s="25"/>
    </row>
    <row r="6" spans="1:22" ht="12.75" customHeight="1">
      <c r="A6" s="22" t="s">
        <v>146</v>
      </c>
      <c r="B6" s="55">
        <f>C64*(C43+B43)-C6</f>
        <v>214.904</v>
      </c>
      <c r="C6" s="56">
        <f t="shared" si="3"/>
        <v>228.54000000000002</v>
      </c>
      <c r="D6" s="56">
        <f t="shared" si="3"/>
        <v>239.01</v>
      </c>
      <c r="E6" s="56">
        <f t="shared" si="3"/>
        <v>219.58799999999999</v>
      </c>
      <c r="F6" s="56">
        <f t="shared" si="3"/>
        <v>902.02</v>
      </c>
      <c r="G6" s="57">
        <f>H64*(H43+G43)-H6</f>
        <v>178.78200000000004</v>
      </c>
      <c r="H6" s="56">
        <f t="shared" si="4"/>
        <v>169.24799999999999</v>
      </c>
      <c r="I6" s="56">
        <f t="shared" si="4"/>
        <v>177.04900000000001</v>
      </c>
      <c r="J6" s="56">
        <f t="shared" si="4"/>
        <v>149.19999999999999</v>
      </c>
      <c r="K6" s="56">
        <f t="shared" si="4"/>
        <v>674.19299999999998</v>
      </c>
      <c r="L6" s="56">
        <f t="shared" si="4"/>
        <v>149.19999999999999</v>
      </c>
      <c r="M6" s="56">
        <f t="shared" si="4"/>
        <v>149.19999999999999</v>
      </c>
      <c r="N6" s="56">
        <f t="shared" si="4"/>
        <v>149.19999999999999</v>
      </c>
      <c r="O6" s="56">
        <f t="shared" si="4"/>
        <v>149.19999999999999</v>
      </c>
      <c r="P6" s="56">
        <f t="shared" si="4"/>
        <v>596.79999999999995</v>
      </c>
      <c r="Q6" s="56">
        <f t="shared" si="4"/>
        <v>566.95999999999992</v>
      </c>
      <c r="R6" s="25"/>
      <c r="S6" s="25"/>
      <c r="T6" s="25"/>
      <c r="U6" s="25"/>
      <c r="V6" s="25"/>
    </row>
    <row r="7" spans="1:22" ht="12.75" customHeight="1">
      <c r="A7" s="27" t="s">
        <v>147</v>
      </c>
      <c r="B7" s="58">
        <f>B9+B8</f>
        <v>611.43499999999995</v>
      </c>
      <c r="C7" s="58">
        <f>C9+C8</f>
        <v>709.30300000000011</v>
      </c>
      <c r="D7" s="59">
        <v>676.3</v>
      </c>
      <c r="E7" s="59">
        <f>E8+E9</f>
        <v>677.40099999999995</v>
      </c>
      <c r="F7" s="59">
        <f>F8+F9</f>
        <v>2673.1920000000005</v>
      </c>
      <c r="G7" s="58">
        <f>G9+G8</f>
        <v>548.36699999999996</v>
      </c>
      <c r="H7" s="58">
        <f>H9+H8</f>
        <v>509.11399999999998</v>
      </c>
      <c r="I7" s="58">
        <v>485.7</v>
      </c>
      <c r="J7" s="58">
        <v>486.7</v>
      </c>
      <c r="K7" s="58">
        <f>J7+I7+H7+G7</f>
        <v>2029.8809999999999</v>
      </c>
      <c r="L7" s="58">
        <v>488.7</v>
      </c>
      <c r="M7" s="58">
        <v>489.7</v>
      </c>
      <c r="N7" s="58">
        <v>490.7</v>
      </c>
      <c r="O7" s="58">
        <v>491.7</v>
      </c>
      <c r="P7" s="58">
        <v>492.7</v>
      </c>
      <c r="Q7" s="58">
        <v>493.7</v>
      </c>
      <c r="R7" s="25"/>
      <c r="S7" s="25"/>
      <c r="T7" s="25"/>
      <c r="U7" s="25"/>
      <c r="V7" s="25"/>
    </row>
    <row r="8" spans="1:22" ht="12.75" customHeight="1">
      <c r="A8" s="22" t="s">
        <v>148</v>
      </c>
      <c r="B8" s="55">
        <f>C66*(C45+B45)-C8</f>
        <v>332.09000000000003</v>
      </c>
      <c r="C8" s="56">
        <f t="shared" ref="C8:F9" si="5">C45*C56</f>
        <v>459.64800000000002</v>
      </c>
      <c r="D8" s="56">
        <f t="shared" si="5"/>
        <v>399.73500000000001</v>
      </c>
      <c r="E8" s="56">
        <f t="shared" si="5"/>
        <v>422.25599999999997</v>
      </c>
      <c r="F8" s="56">
        <f t="shared" si="5"/>
        <v>1613.5320000000004</v>
      </c>
      <c r="G8" s="57">
        <f>H66*(H45+G45)-H8</f>
        <v>330.53199999999998</v>
      </c>
      <c r="H8" s="56">
        <f t="shared" ref="H8:Q9" si="6">H45*H56</f>
        <v>315.95999999999998</v>
      </c>
      <c r="I8" s="56">
        <f t="shared" si="6"/>
        <v>274.12</v>
      </c>
      <c r="J8" s="56">
        <f t="shared" si="6"/>
        <v>258.52</v>
      </c>
      <c r="K8" s="56">
        <f t="shared" si="6"/>
        <v>1178.1280000000002</v>
      </c>
      <c r="L8" s="56">
        <f t="shared" si="6"/>
        <v>231.73099999999999</v>
      </c>
      <c r="M8" s="56">
        <f t="shared" si="6"/>
        <v>242.83099999999999</v>
      </c>
      <c r="N8" s="56">
        <f t="shared" si="6"/>
        <v>242.83099999999999</v>
      </c>
      <c r="O8" s="56">
        <f t="shared" si="6"/>
        <v>242.83099999999999</v>
      </c>
      <c r="P8" s="56">
        <f t="shared" si="6"/>
        <v>971.32399999999996</v>
      </c>
      <c r="Q8" s="56">
        <f t="shared" si="6"/>
        <v>971.32399999999996</v>
      </c>
      <c r="R8" s="25"/>
      <c r="S8" s="25"/>
      <c r="T8" s="25"/>
      <c r="U8" s="25"/>
      <c r="V8" s="25"/>
    </row>
    <row r="9" spans="1:22" ht="12.75" customHeight="1">
      <c r="A9" s="22" t="s">
        <v>149</v>
      </c>
      <c r="B9" s="55">
        <f>C67*(C46+B46)-C9</f>
        <v>279.34499999999997</v>
      </c>
      <c r="C9" s="56">
        <f t="shared" si="5"/>
        <v>249.65500000000003</v>
      </c>
      <c r="D9" s="56">
        <f t="shared" si="5"/>
        <v>275.16500000000002</v>
      </c>
      <c r="E9" s="56">
        <f t="shared" si="5"/>
        <v>255.14500000000001</v>
      </c>
      <c r="F9" s="56">
        <f t="shared" si="5"/>
        <v>1059.6600000000001</v>
      </c>
      <c r="G9" s="57">
        <f>H67*(H46+G46)-H9</f>
        <v>217.83499999999992</v>
      </c>
      <c r="H9" s="56">
        <f t="shared" si="6"/>
        <v>193.154</v>
      </c>
      <c r="I9" s="56">
        <f t="shared" si="6"/>
        <v>205.48100000000002</v>
      </c>
      <c r="J9" s="56">
        <f t="shared" si="6"/>
        <v>207.62099999999998</v>
      </c>
      <c r="K9" s="56">
        <f t="shared" si="6"/>
        <v>824.09999999999991</v>
      </c>
      <c r="L9" s="56">
        <f t="shared" si="6"/>
        <v>207.62099999999998</v>
      </c>
      <c r="M9" s="56">
        <f t="shared" si="6"/>
        <v>187.26599999999999</v>
      </c>
      <c r="N9" s="56">
        <f t="shared" si="6"/>
        <v>215.76300000000001</v>
      </c>
      <c r="O9" s="56">
        <f t="shared" si="6"/>
        <v>207.62099999999998</v>
      </c>
      <c r="P9" s="56">
        <f t="shared" si="6"/>
        <v>818.27099999999996</v>
      </c>
      <c r="Q9" s="56">
        <f t="shared" si="6"/>
        <v>818.27099999999996</v>
      </c>
      <c r="R9" s="25"/>
      <c r="S9" s="25"/>
      <c r="T9" s="25"/>
      <c r="U9" s="25"/>
      <c r="V9" s="25"/>
    </row>
    <row r="10" spans="1:22" ht="12.75" customHeight="1">
      <c r="A10" s="22"/>
      <c r="B10" s="55"/>
      <c r="C10" s="55"/>
      <c r="D10" s="55"/>
      <c r="E10" s="55"/>
      <c r="F10" s="55"/>
      <c r="G10" s="5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5"/>
      <c r="S10" s="25"/>
      <c r="T10" s="25"/>
      <c r="U10" s="25"/>
      <c r="V10" s="25"/>
    </row>
    <row r="11" spans="1:22" ht="12.75" customHeight="1">
      <c r="A11" s="19" t="s">
        <v>150</v>
      </c>
      <c r="B11" s="51">
        <f t="shared" ref="B11:Q11" si="7">B12+B16</f>
        <v>1331.479</v>
      </c>
      <c r="C11" s="51">
        <f t="shared" si="7"/>
        <v>1433.7529999999999</v>
      </c>
      <c r="D11" s="51">
        <f t="shared" si="7"/>
        <v>1410.4660000000001</v>
      </c>
      <c r="E11" s="51">
        <f t="shared" si="7"/>
        <v>1330.4649999999999</v>
      </c>
      <c r="F11" s="51">
        <f t="shared" si="7"/>
        <v>5502.3040000000001</v>
      </c>
      <c r="G11" s="52">
        <f t="shared" si="7"/>
        <v>1178.6889999999999</v>
      </c>
      <c r="H11" s="51">
        <f t="shared" si="7"/>
        <v>1062.05</v>
      </c>
      <c r="I11" s="51">
        <f t="shared" si="7"/>
        <v>1113.6039343065693</v>
      </c>
      <c r="J11" s="51">
        <f t="shared" si="7"/>
        <v>1059.857</v>
      </c>
      <c r="K11" s="51">
        <f t="shared" si="7"/>
        <v>4412.2060000000001</v>
      </c>
      <c r="L11" s="51">
        <f t="shared" si="7"/>
        <v>963.75849635036502</v>
      </c>
      <c r="M11" s="51">
        <f t="shared" si="7"/>
        <v>949.6767810218978</v>
      </c>
      <c r="N11" s="51">
        <f t="shared" si="7"/>
        <v>969.39118248175191</v>
      </c>
      <c r="O11" s="51">
        <f t="shared" si="7"/>
        <v>963.75849635036502</v>
      </c>
      <c r="P11" s="51">
        <f t="shared" si="7"/>
        <v>3846.5849562043795</v>
      </c>
      <c r="Q11" s="51">
        <f t="shared" si="7"/>
        <v>3846.5849562043795</v>
      </c>
    </row>
    <row r="12" spans="1:22" ht="12.75" customHeight="1">
      <c r="A12" s="21" t="s">
        <v>143</v>
      </c>
      <c r="B12" s="53">
        <f t="shared" ref="B12:Q12" si="8">B13+B14+B15</f>
        <v>740.67200000000003</v>
      </c>
      <c r="C12" s="53">
        <f t="shared" si="8"/>
        <v>729.99599999999998</v>
      </c>
      <c r="D12" s="53">
        <f t="shared" si="8"/>
        <v>740.41100000000006</v>
      </c>
      <c r="E12" s="53">
        <f t="shared" si="8"/>
        <v>730.98099999999999</v>
      </c>
      <c r="F12" s="53">
        <f t="shared" si="8"/>
        <v>2942.3140000000003</v>
      </c>
      <c r="G12" s="54">
        <f t="shared" si="8"/>
        <v>693.23799999999994</v>
      </c>
      <c r="H12" s="53">
        <f t="shared" si="8"/>
        <v>608.024</v>
      </c>
      <c r="I12" s="53">
        <f t="shared" si="8"/>
        <v>666.37599999999998</v>
      </c>
      <c r="J12" s="53">
        <f t="shared" si="8"/>
        <v>617.21199999999999</v>
      </c>
      <c r="K12" s="53">
        <f t="shared" si="8"/>
        <v>2585.5300000000002</v>
      </c>
      <c r="L12" s="53">
        <f t="shared" si="8"/>
        <v>566.12</v>
      </c>
      <c r="M12" s="53">
        <f t="shared" si="8"/>
        <v>566.12</v>
      </c>
      <c r="N12" s="53">
        <f t="shared" si="8"/>
        <v>566.12</v>
      </c>
      <c r="O12" s="53">
        <f t="shared" si="8"/>
        <v>566.12</v>
      </c>
      <c r="P12" s="53">
        <f t="shared" si="8"/>
        <v>2264.48</v>
      </c>
      <c r="Q12" s="53">
        <f t="shared" si="8"/>
        <v>2264.48</v>
      </c>
    </row>
    <row r="13" spans="1:22" ht="12.75" customHeight="1">
      <c r="A13" s="22" t="s">
        <v>144</v>
      </c>
      <c r="B13" s="55">
        <f>C82*(C41+B41)-C13</f>
        <v>357</v>
      </c>
      <c r="C13" s="56">
        <f>C41*C82</f>
        <v>341</v>
      </c>
      <c r="D13" s="56">
        <f t="shared" ref="D13:F15" si="9">D41*D72</f>
        <v>357.48500000000001</v>
      </c>
      <c r="E13" s="56">
        <f t="shared" si="9"/>
        <v>358.82599999999996</v>
      </c>
      <c r="F13" s="56">
        <f t="shared" si="9"/>
        <v>1414.5919999999999</v>
      </c>
      <c r="G13" s="57">
        <f>H82*(H41+G41)-H13</f>
        <v>368.49199999999996</v>
      </c>
      <c r="H13" s="56">
        <f t="shared" ref="H13:Q15" si="10">H41*H72</f>
        <v>314.94399999999996</v>
      </c>
      <c r="I13" s="56">
        <f t="shared" si="10"/>
        <v>356.065</v>
      </c>
      <c r="J13" s="56">
        <f t="shared" si="10"/>
        <v>344.14800000000002</v>
      </c>
      <c r="K13" s="56">
        <f t="shared" si="10"/>
        <v>1383.836</v>
      </c>
      <c r="L13" s="56">
        <f t="shared" si="10"/>
        <v>293.05599999999998</v>
      </c>
      <c r="M13" s="56">
        <f t="shared" si="10"/>
        <v>293.05599999999998</v>
      </c>
      <c r="N13" s="56">
        <f t="shared" si="10"/>
        <v>293.05599999999998</v>
      </c>
      <c r="O13" s="56">
        <f t="shared" si="10"/>
        <v>293.05599999999998</v>
      </c>
      <c r="P13" s="56">
        <f t="shared" si="10"/>
        <v>1172.2239999999999</v>
      </c>
      <c r="Q13" s="56">
        <f t="shared" si="10"/>
        <v>1172.2239999999999</v>
      </c>
      <c r="R13" s="25"/>
      <c r="S13" s="25"/>
      <c r="T13" s="25"/>
      <c r="U13" s="25"/>
      <c r="V13" s="25"/>
    </row>
    <row r="14" spans="1:22" ht="12.75" customHeight="1">
      <c r="A14" s="22" t="s">
        <v>145</v>
      </c>
      <c r="B14" s="55">
        <f>C83*(C42+B42)-C14</f>
        <v>229.27599999999998</v>
      </c>
      <c r="C14" s="56">
        <f>C42*C83</f>
        <v>229.27599999999998</v>
      </c>
      <c r="D14" s="56">
        <f t="shared" si="9"/>
        <v>224.64000000000001</v>
      </c>
      <c r="E14" s="56">
        <f t="shared" si="9"/>
        <v>209.291</v>
      </c>
      <c r="F14" s="56">
        <f t="shared" si="9"/>
        <v>892.50000000000011</v>
      </c>
      <c r="G14" s="57">
        <f>H83*(H42+G42)-H14</f>
        <v>198.03799999999998</v>
      </c>
      <c r="H14" s="56">
        <f t="shared" si="10"/>
        <v>173.36800000000002</v>
      </c>
      <c r="I14" s="56">
        <f t="shared" si="10"/>
        <v>178.80499999999998</v>
      </c>
      <c r="J14" s="56">
        <f t="shared" si="10"/>
        <v>159.34399999999999</v>
      </c>
      <c r="K14" s="56">
        <f t="shared" si="10"/>
        <v>709.98800000000006</v>
      </c>
      <c r="L14" s="56">
        <f t="shared" si="10"/>
        <v>159.34399999999999</v>
      </c>
      <c r="M14" s="56">
        <f t="shared" si="10"/>
        <v>159.34399999999999</v>
      </c>
      <c r="N14" s="56">
        <f t="shared" si="10"/>
        <v>159.34399999999999</v>
      </c>
      <c r="O14" s="56">
        <f t="shared" si="10"/>
        <v>159.34399999999999</v>
      </c>
      <c r="P14" s="56">
        <f t="shared" si="10"/>
        <v>637.37599999999998</v>
      </c>
      <c r="Q14" s="56">
        <f t="shared" si="10"/>
        <v>637.37599999999998</v>
      </c>
      <c r="R14" s="25"/>
      <c r="S14" s="25"/>
      <c r="T14" s="25"/>
      <c r="U14" s="25"/>
      <c r="V14" s="25"/>
    </row>
    <row r="15" spans="1:22" ht="12.75" customHeight="1">
      <c r="A15" s="22" t="s">
        <v>146</v>
      </c>
      <c r="B15" s="55">
        <f>C84*(C43+B43)-C15</f>
        <v>154.39600000000004</v>
      </c>
      <c r="C15" s="56">
        <f>C43*C84</f>
        <v>159.72</v>
      </c>
      <c r="D15" s="56">
        <f t="shared" si="9"/>
        <v>158.286</v>
      </c>
      <c r="E15" s="56">
        <f t="shared" si="9"/>
        <v>162.86399999999998</v>
      </c>
      <c r="F15" s="56">
        <f t="shared" si="9"/>
        <v>635.22200000000009</v>
      </c>
      <c r="G15" s="57">
        <f>H84*(H43+G43)-H15</f>
        <v>126.708</v>
      </c>
      <c r="H15" s="56">
        <f t="shared" si="10"/>
        <v>119.71199999999999</v>
      </c>
      <c r="I15" s="56">
        <f t="shared" si="10"/>
        <v>131.506</v>
      </c>
      <c r="J15" s="56">
        <f t="shared" si="10"/>
        <v>113.72</v>
      </c>
      <c r="K15" s="56">
        <f t="shared" si="10"/>
        <v>491.70600000000002</v>
      </c>
      <c r="L15" s="56">
        <f t="shared" si="10"/>
        <v>113.72</v>
      </c>
      <c r="M15" s="56">
        <f t="shared" si="10"/>
        <v>113.72</v>
      </c>
      <c r="N15" s="56">
        <f t="shared" si="10"/>
        <v>113.72</v>
      </c>
      <c r="O15" s="56">
        <f t="shared" si="10"/>
        <v>113.72</v>
      </c>
      <c r="P15" s="56">
        <f t="shared" si="10"/>
        <v>454.88</v>
      </c>
      <c r="Q15" s="56">
        <f t="shared" si="10"/>
        <v>454.88</v>
      </c>
      <c r="R15" s="25"/>
      <c r="S15" s="25"/>
      <c r="T15" s="25"/>
      <c r="U15" s="25"/>
      <c r="V15" s="25"/>
    </row>
    <row r="16" spans="1:22" ht="12.75" customHeight="1">
      <c r="A16" s="27" t="s">
        <v>147</v>
      </c>
      <c r="B16" s="58">
        <f t="shared" ref="B16:Q16" si="11">B18+B17</f>
        <v>590.80700000000002</v>
      </c>
      <c r="C16" s="58">
        <f t="shared" si="11"/>
        <v>703.75699999999995</v>
      </c>
      <c r="D16" s="58">
        <f t="shared" si="11"/>
        <v>670.05500000000006</v>
      </c>
      <c r="E16" s="58">
        <f t="shared" si="11"/>
        <v>599.48399999999992</v>
      </c>
      <c r="F16" s="58">
        <f t="shared" si="11"/>
        <v>2559.9900000000002</v>
      </c>
      <c r="G16" s="58">
        <f t="shared" si="11"/>
        <v>485.45099999999991</v>
      </c>
      <c r="H16" s="58">
        <f t="shared" si="11"/>
        <v>454.02599999999995</v>
      </c>
      <c r="I16" s="58">
        <f t="shared" si="11"/>
        <v>447.2279343065693</v>
      </c>
      <c r="J16" s="58">
        <f t="shared" si="11"/>
        <v>442.64500000000004</v>
      </c>
      <c r="K16" s="58">
        <f t="shared" si="11"/>
        <v>1826.6759999999999</v>
      </c>
      <c r="L16" s="58">
        <f t="shared" si="11"/>
        <v>397.63849635036502</v>
      </c>
      <c r="M16" s="58">
        <f t="shared" si="11"/>
        <v>383.55678102189779</v>
      </c>
      <c r="N16" s="58">
        <f t="shared" si="11"/>
        <v>403.27118248175185</v>
      </c>
      <c r="O16" s="58">
        <f t="shared" si="11"/>
        <v>397.63849635036502</v>
      </c>
      <c r="P16" s="58">
        <f t="shared" si="11"/>
        <v>1582.1049562043795</v>
      </c>
      <c r="Q16" s="58">
        <f t="shared" si="11"/>
        <v>1582.1049562043795</v>
      </c>
      <c r="R16" s="25"/>
      <c r="S16" s="25"/>
      <c r="T16" s="25"/>
      <c r="U16" s="25"/>
      <c r="V16" s="25"/>
    </row>
    <row r="17" spans="1:24" ht="12.75" customHeight="1">
      <c r="A17" s="22" t="s">
        <v>148</v>
      </c>
      <c r="B17" s="55">
        <f>C86*(C45+B45)-C17</f>
        <v>400.29200000000003</v>
      </c>
      <c r="C17" s="56">
        <f t="shared" ref="C17:F18" si="12">C76*C45</f>
        <v>509.47199999999998</v>
      </c>
      <c r="D17" s="56">
        <f t="shared" si="12"/>
        <v>450.495</v>
      </c>
      <c r="E17" s="56">
        <f t="shared" si="12"/>
        <v>404.78399999999999</v>
      </c>
      <c r="F17" s="56">
        <f t="shared" si="12"/>
        <v>1764.7200000000003</v>
      </c>
      <c r="G17" s="57">
        <f>H86*(H45+G45)-H17</f>
        <v>316.80799999999994</v>
      </c>
      <c r="H17" s="56">
        <f t="shared" ref="H17:Q18" si="13">H76*H45</f>
        <v>316.44</v>
      </c>
      <c r="I17" s="56">
        <f t="shared" si="13"/>
        <v>297.9617518248175</v>
      </c>
      <c r="J17" s="56">
        <f t="shared" si="13"/>
        <v>274.60000000000002</v>
      </c>
      <c r="K17" s="56">
        <f t="shared" si="13"/>
        <v>1196.3399999999999</v>
      </c>
      <c r="L17" s="56">
        <f t="shared" si="13"/>
        <v>254.00500000000002</v>
      </c>
      <c r="M17" s="56">
        <f t="shared" si="13"/>
        <v>254.00500000000002</v>
      </c>
      <c r="N17" s="56">
        <f t="shared" si="13"/>
        <v>254.00500000000002</v>
      </c>
      <c r="O17" s="56">
        <f t="shared" si="13"/>
        <v>254.00500000000002</v>
      </c>
      <c r="P17" s="56">
        <f t="shared" si="13"/>
        <v>1016.0200000000001</v>
      </c>
      <c r="Q17" s="56">
        <f t="shared" si="13"/>
        <v>1016.0200000000001</v>
      </c>
      <c r="R17" s="25"/>
      <c r="S17" s="25"/>
      <c r="T17" s="25"/>
      <c r="U17" s="25"/>
      <c r="V17" s="25"/>
    </row>
    <row r="18" spans="1:24" ht="12.75" customHeight="1">
      <c r="A18" s="22" t="s">
        <v>149</v>
      </c>
      <c r="B18" s="55">
        <f>C87*(C46+B46)-C18</f>
        <v>190.51499999999996</v>
      </c>
      <c r="C18" s="56">
        <f t="shared" si="12"/>
        <v>194.285</v>
      </c>
      <c r="D18" s="56">
        <f t="shared" si="12"/>
        <v>219.56</v>
      </c>
      <c r="E18" s="56">
        <f t="shared" si="12"/>
        <v>194.7</v>
      </c>
      <c r="F18" s="56">
        <f t="shared" si="12"/>
        <v>795.27</v>
      </c>
      <c r="G18" s="57">
        <f>H87*(H46+G46)-H18</f>
        <v>168.643</v>
      </c>
      <c r="H18" s="56">
        <f t="shared" si="13"/>
        <v>137.58599999999998</v>
      </c>
      <c r="I18" s="56">
        <f t="shared" si="13"/>
        <v>149.26618248175183</v>
      </c>
      <c r="J18" s="56">
        <f t="shared" si="13"/>
        <v>168.04500000000002</v>
      </c>
      <c r="K18" s="56">
        <f t="shared" si="13"/>
        <v>630.3359999999999</v>
      </c>
      <c r="L18" s="56">
        <f t="shared" si="13"/>
        <v>143.63349635036496</v>
      </c>
      <c r="M18" s="56">
        <f t="shared" si="13"/>
        <v>129.5517810218978</v>
      </c>
      <c r="N18" s="56">
        <f t="shared" si="13"/>
        <v>149.26618248175183</v>
      </c>
      <c r="O18" s="56">
        <f t="shared" si="13"/>
        <v>143.63349635036496</v>
      </c>
      <c r="P18" s="56">
        <f t="shared" si="13"/>
        <v>566.08495620437952</v>
      </c>
      <c r="Q18" s="56">
        <f t="shared" si="13"/>
        <v>566.08495620437952</v>
      </c>
      <c r="R18" s="25"/>
      <c r="S18" s="25"/>
      <c r="T18" s="25"/>
      <c r="U18" s="25"/>
      <c r="V18" s="25"/>
    </row>
    <row r="19" spans="1:24" ht="12.75" customHeight="1">
      <c r="A19" s="46" t="s">
        <v>225</v>
      </c>
      <c r="B19" s="46" t="s">
        <v>134</v>
      </c>
      <c r="C19" s="46" t="s">
        <v>135</v>
      </c>
      <c r="D19" s="46" t="s">
        <v>136</v>
      </c>
      <c r="E19" s="46" t="s">
        <v>137</v>
      </c>
      <c r="F19" s="46">
        <v>2014</v>
      </c>
      <c r="G19" s="46" t="s">
        <v>138</v>
      </c>
      <c r="H19" s="46" t="s">
        <v>139</v>
      </c>
      <c r="I19" s="46" t="s">
        <v>140</v>
      </c>
      <c r="J19" s="46" t="s">
        <v>141</v>
      </c>
      <c r="K19" s="46">
        <v>2015</v>
      </c>
      <c r="L19" s="46" t="s">
        <v>172</v>
      </c>
      <c r="M19" s="46" t="s">
        <v>173</v>
      </c>
      <c r="N19" s="46" t="s">
        <v>174</v>
      </c>
      <c r="O19" s="46" t="s">
        <v>175</v>
      </c>
      <c r="P19" s="46">
        <v>2016</v>
      </c>
      <c r="Q19" s="46">
        <v>2017</v>
      </c>
      <c r="R19" s="25"/>
      <c r="S19" s="25"/>
      <c r="T19" s="25"/>
      <c r="U19" s="25"/>
      <c r="V19" s="25"/>
    </row>
    <row r="20" spans="1:24" ht="12.75" customHeight="1">
      <c r="A20" s="29" t="s">
        <v>226</v>
      </c>
      <c r="B20" s="60">
        <f t="shared" ref="B20:P20" si="14">B22+B23+B24+B26+B27</f>
        <v>226.14900379506616</v>
      </c>
      <c r="C20" s="60">
        <f t="shared" si="14"/>
        <v>305.26200000000011</v>
      </c>
      <c r="D20" s="60">
        <f t="shared" si="14"/>
        <v>263.40199999999999</v>
      </c>
      <c r="E20" s="60">
        <f t="shared" si="14"/>
        <v>327.56399999999996</v>
      </c>
      <c r="F20" s="60">
        <f t="shared" si="14"/>
        <v>1152.8580000000002</v>
      </c>
      <c r="G20" s="60">
        <f t="shared" si="14"/>
        <v>329.15482564917863</v>
      </c>
      <c r="H20" s="60">
        <f t="shared" si="14"/>
        <v>250.9</v>
      </c>
      <c r="I20" s="60">
        <f t="shared" si="14"/>
        <v>243.40001459854022</v>
      </c>
      <c r="J20" s="60">
        <f t="shared" si="14"/>
        <v>226.87899999999996</v>
      </c>
      <c r="K20" s="60">
        <f t="shared" si="14"/>
        <v>1056.7869999999998</v>
      </c>
      <c r="L20" s="60">
        <f t="shared" si="14"/>
        <v>214.47027737226273</v>
      </c>
      <c r="M20" s="60">
        <f t="shared" si="14"/>
        <v>223.7523357664233</v>
      </c>
      <c r="N20" s="60">
        <f t="shared" si="14"/>
        <v>221.6383357664233</v>
      </c>
      <c r="O20" s="60">
        <f t="shared" si="14"/>
        <v>233.53424817518243</v>
      </c>
      <c r="P20" s="60">
        <f t="shared" si="14"/>
        <v>908.69519708029179</v>
      </c>
      <c r="Q20" s="60">
        <f>Q22+Q23+Q24+Q26+Q27</f>
        <v>756.47399708029161</v>
      </c>
      <c r="R20" s="32"/>
      <c r="S20" s="32"/>
      <c r="T20" s="32"/>
      <c r="U20" s="32"/>
      <c r="V20" s="32"/>
      <c r="W20" s="32"/>
      <c r="X20" s="32"/>
    </row>
    <row r="21" spans="1:24" ht="12.75" customHeight="1">
      <c r="A21" s="27" t="s">
        <v>227</v>
      </c>
      <c r="B21" s="58">
        <f t="shared" ref="B21:Q21" si="15">B22+B23+B24</f>
        <v>244.2969999999998</v>
      </c>
      <c r="C21" s="58">
        <f t="shared" si="15"/>
        <v>291.71400000000006</v>
      </c>
      <c r="D21" s="58">
        <f t="shared" si="15"/>
        <v>281.96899999999999</v>
      </c>
      <c r="E21" s="58">
        <f t="shared" si="15"/>
        <v>254.79199999999997</v>
      </c>
      <c r="F21" s="58">
        <f t="shared" si="15"/>
        <v>1083.1299999999999</v>
      </c>
      <c r="G21" s="58">
        <f t="shared" si="15"/>
        <v>271.65600000000001</v>
      </c>
      <c r="H21" s="58">
        <f t="shared" si="15"/>
        <v>210.38000000000002</v>
      </c>
      <c r="I21" s="58">
        <f t="shared" si="15"/>
        <v>238.92800000000005</v>
      </c>
      <c r="J21" s="58">
        <f t="shared" si="15"/>
        <v>214.01300000000001</v>
      </c>
      <c r="K21" s="58">
        <f t="shared" si="15"/>
        <v>934.53899999999976</v>
      </c>
      <c r="L21" s="58">
        <f t="shared" si="15"/>
        <v>194.98599999999999</v>
      </c>
      <c r="M21" s="58">
        <f t="shared" si="15"/>
        <v>194.98599999999999</v>
      </c>
      <c r="N21" s="58">
        <f t="shared" si="15"/>
        <v>194.98599999999999</v>
      </c>
      <c r="O21" s="58">
        <f t="shared" si="15"/>
        <v>194.98599999999999</v>
      </c>
      <c r="P21" s="58">
        <f t="shared" si="15"/>
        <v>779.94399999999996</v>
      </c>
      <c r="Q21" s="58">
        <f t="shared" si="15"/>
        <v>627.72279999999989</v>
      </c>
      <c r="R21" s="32"/>
      <c r="S21" s="32"/>
      <c r="T21" s="32"/>
      <c r="U21" s="32"/>
      <c r="V21" s="32"/>
      <c r="W21" s="32"/>
      <c r="X21" s="32"/>
    </row>
    <row r="22" spans="1:24" ht="12.75" customHeight="1">
      <c r="A22" s="22" t="s">
        <v>223</v>
      </c>
      <c r="B22" s="56">
        <f t="shared" ref="B22:Q24" si="16">B92*B41</f>
        <v>109.45099999999989</v>
      </c>
      <c r="C22" s="56">
        <f t="shared" si="16"/>
        <v>151.40400000000005</v>
      </c>
      <c r="D22" s="56">
        <f t="shared" si="16"/>
        <v>114.66500000000002</v>
      </c>
      <c r="E22" s="56">
        <f t="shared" si="16"/>
        <v>126.82000000000001</v>
      </c>
      <c r="F22" s="56">
        <f t="shared" si="16"/>
        <v>509.08199999999999</v>
      </c>
      <c r="G22" s="56">
        <f t="shared" si="16"/>
        <v>140.02799999999996</v>
      </c>
      <c r="H22" s="56">
        <f t="shared" si="16"/>
        <v>94.544000000000025</v>
      </c>
      <c r="I22" s="56">
        <f t="shared" si="16"/>
        <v>120.34500000000003</v>
      </c>
      <c r="J22" s="56">
        <f t="shared" si="16"/>
        <v>128.16300000000001</v>
      </c>
      <c r="K22" s="56">
        <f t="shared" si="16"/>
        <v>483.02399999999977</v>
      </c>
      <c r="L22" s="56">
        <f t="shared" si="16"/>
        <v>109.136</v>
      </c>
      <c r="M22" s="56">
        <f t="shared" si="16"/>
        <v>109.136</v>
      </c>
      <c r="N22" s="56">
        <f t="shared" si="16"/>
        <v>109.136</v>
      </c>
      <c r="O22" s="56">
        <f t="shared" si="16"/>
        <v>109.136</v>
      </c>
      <c r="P22" s="56">
        <f t="shared" si="16"/>
        <v>436.54399999999998</v>
      </c>
      <c r="Q22" s="56">
        <f t="shared" si="16"/>
        <v>356.10559999999992</v>
      </c>
      <c r="R22" s="32"/>
      <c r="S22" s="32"/>
      <c r="T22" s="32"/>
      <c r="U22" s="32"/>
      <c r="V22" s="32"/>
      <c r="W22" s="32"/>
      <c r="X22" s="32"/>
    </row>
    <row r="23" spans="1:24" ht="12.75" customHeight="1">
      <c r="A23" s="22" t="s">
        <v>154</v>
      </c>
      <c r="B23" s="56">
        <f t="shared" si="16"/>
        <v>74.337999999999965</v>
      </c>
      <c r="C23" s="56">
        <f t="shared" si="16"/>
        <v>69.75</v>
      </c>
      <c r="D23" s="56">
        <f t="shared" si="16"/>
        <v>86.58</v>
      </c>
      <c r="E23" s="56">
        <f t="shared" si="16"/>
        <v>71.24799999999999</v>
      </c>
      <c r="F23" s="56">
        <f t="shared" si="16"/>
        <v>307.25</v>
      </c>
      <c r="G23" s="56">
        <f t="shared" si="16"/>
        <v>79.554000000000002</v>
      </c>
      <c r="H23" s="56">
        <f t="shared" si="16"/>
        <v>66.3</v>
      </c>
      <c r="I23" s="56">
        <f t="shared" si="16"/>
        <v>73.040000000000006</v>
      </c>
      <c r="J23" s="56">
        <f t="shared" si="16"/>
        <v>50.370000000000012</v>
      </c>
      <c r="K23" s="56">
        <f t="shared" si="16"/>
        <v>269.02799999999996</v>
      </c>
      <c r="L23" s="56">
        <f t="shared" si="16"/>
        <v>50.370000000000012</v>
      </c>
      <c r="M23" s="56">
        <f t="shared" si="16"/>
        <v>50.370000000000012</v>
      </c>
      <c r="N23" s="56">
        <f t="shared" si="16"/>
        <v>50.370000000000012</v>
      </c>
      <c r="O23" s="56">
        <f t="shared" si="16"/>
        <v>50.370000000000012</v>
      </c>
      <c r="P23" s="56">
        <f t="shared" si="16"/>
        <v>201.48000000000005</v>
      </c>
      <c r="Q23" s="56">
        <f t="shared" si="16"/>
        <v>159.53720000000007</v>
      </c>
      <c r="R23" s="32"/>
      <c r="S23" s="32"/>
      <c r="T23" s="32"/>
      <c r="U23" s="32"/>
      <c r="V23" s="32"/>
      <c r="W23" s="32"/>
      <c r="X23" s="32"/>
    </row>
    <row r="24" spans="1:24" ht="12.75" customHeight="1">
      <c r="A24" s="22" t="s">
        <v>155</v>
      </c>
      <c r="B24" s="56">
        <f t="shared" si="16"/>
        <v>60.507999999999932</v>
      </c>
      <c r="C24" s="56">
        <f t="shared" si="16"/>
        <v>70.560000000000031</v>
      </c>
      <c r="D24" s="56">
        <f t="shared" si="16"/>
        <v>80.723999999999975</v>
      </c>
      <c r="E24" s="56">
        <f t="shared" si="16"/>
        <v>56.724000000000004</v>
      </c>
      <c r="F24" s="56">
        <f t="shared" si="16"/>
        <v>266.79799999999994</v>
      </c>
      <c r="G24" s="56">
        <f t="shared" si="16"/>
        <v>52.074000000000048</v>
      </c>
      <c r="H24" s="56">
        <f t="shared" si="16"/>
        <v>49.535999999999994</v>
      </c>
      <c r="I24" s="56">
        <f t="shared" si="16"/>
        <v>45.543000000000006</v>
      </c>
      <c r="J24" s="56">
        <f t="shared" si="16"/>
        <v>35.47999999999999</v>
      </c>
      <c r="K24" s="56">
        <f t="shared" si="16"/>
        <v>182.48700000000002</v>
      </c>
      <c r="L24" s="56">
        <f t="shared" si="16"/>
        <v>35.47999999999999</v>
      </c>
      <c r="M24" s="56">
        <f t="shared" si="16"/>
        <v>35.47999999999999</v>
      </c>
      <c r="N24" s="56">
        <f t="shared" si="16"/>
        <v>35.47999999999999</v>
      </c>
      <c r="O24" s="56">
        <f t="shared" si="16"/>
        <v>35.47999999999999</v>
      </c>
      <c r="P24" s="56">
        <f t="shared" si="16"/>
        <v>141.91999999999996</v>
      </c>
      <c r="Q24" s="56">
        <f t="shared" si="16"/>
        <v>112.07999999999993</v>
      </c>
      <c r="R24" s="32"/>
      <c r="S24" s="32"/>
      <c r="T24" s="32"/>
      <c r="U24" s="32"/>
      <c r="V24" s="32"/>
      <c r="W24" s="32"/>
      <c r="X24" s="32"/>
    </row>
    <row r="25" spans="1:24" ht="12.75" customHeight="1">
      <c r="A25" s="27" t="s">
        <v>156</v>
      </c>
      <c r="B25" s="58">
        <f t="shared" ref="B25:Q25" si="17">B26+B27</f>
        <v>-18.147996204933648</v>
      </c>
      <c r="C25" s="58">
        <f t="shared" si="17"/>
        <v>13.548000000000044</v>
      </c>
      <c r="D25" s="58">
        <f t="shared" si="17"/>
        <v>-18.567000000000007</v>
      </c>
      <c r="E25" s="58">
        <f t="shared" si="17"/>
        <v>72.77200000000002</v>
      </c>
      <c r="F25" s="58">
        <f t="shared" si="17"/>
        <v>69.728000000000236</v>
      </c>
      <c r="G25" s="58">
        <f t="shared" si="17"/>
        <v>57.498825649178613</v>
      </c>
      <c r="H25" s="58">
        <f t="shared" si="17"/>
        <v>40.519999999999982</v>
      </c>
      <c r="I25" s="58">
        <f t="shared" si="17"/>
        <v>4.4720145985401878</v>
      </c>
      <c r="J25" s="58">
        <f t="shared" si="17"/>
        <v>12.865999999999936</v>
      </c>
      <c r="K25" s="58">
        <f t="shared" si="17"/>
        <v>122.24800000000006</v>
      </c>
      <c r="L25" s="58">
        <f t="shared" si="17"/>
        <v>19.484277372262728</v>
      </c>
      <c r="M25" s="58">
        <f t="shared" si="17"/>
        <v>28.766335766423317</v>
      </c>
      <c r="N25" s="58">
        <f t="shared" si="17"/>
        <v>26.65233576642331</v>
      </c>
      <c r="O25" s="58">
        <f t="shared" si="17"/>
        <v>38.548248175182437</v>
      </c>
      <c r="P25" s="58">
        <f t="shared" si="17"/>
        <v>128.7511970802918</v>
      </c>
      <c r="Q25" s="58">
        <f t="shared" si="17"/>
        <v>128.7511970802918</v>
      </c>
      <c r="R25" s="32"/>
      <c r="S25" s="32"/>
      <c r="T25" s="32"/>
      <c r="U25" s="32"/>
      <c r="V25" s="32"/>
      <c r="W25" s="32"/>
      <c r="X25" s="32"/>
    </row>
    <row r="26" spans="1:24" ht="12.75" customHeight="1">
      <c r="A26" s="22" t="s">
        <v>157</v>
      </c>
      <c r="B26" s="56">
        <f t="shared" ref="B26:Q27" si="18">B96*B46</f>
        <v>-112.20329032258071</v>
      </c>
      <c r="C26" s="56">
        <f t="shared" si="18"/>
        <v>-50.861999999999981</v>
      </c>
      <c r="D26" s="56">
        <f t="shared" si="18"/>
        <v>-62.040000000000006</v>
      </c>
      <c r="E26" s="56">
        <f t="shared" si="18"/>
        <v>20.020000000000003</v>
      </c>
      <c r="F26" s="56">
        <f t="shared" si="18"/>
        <v>-184.58999999999983</v>
      </c>
      <c r="G26" s="56">
        <f t="shared" si="18"/>
        <v>18.916864864864934</v>
      </c>
      <c r="H26" s="56">
        <f t="shared" si="18"/>
        <v>-0.55200000000002092</v>
      </c>
      <c r="I26" s="56">
        <f t="shared" si="18"/>
        <v>-31.590321167883179</v>
      </c>
      <c r="J26" s="56">
        <f t="shared" si="18"/>
        <v>-20.502000000000052</v>
      </c>
      <c r="K26" s="56">
        <f t="shared" si="18"/>
        <v>-23.315999999999928</v>
      </c>
      <c r="L26" s="56">
        <f t="shared" si="18"/>
        <v>-30.702000000000051</v>
      </c>
      <c r="M26" s="56">
        <f t="shared" si="18"/>
        <v>-13.892000000000046</v>
      </c>
      <c r="N26" s="56">
        <f t="shared" si="18"/>
        <v>-16.006000000000054</v>
      </c>
      <c r="O26" s="56">
        <f t="shared" si="18"/>
        <v>-15.402000000000051</v>
      </c>
      <c r="P26" s="56">
        <f t="shared" si="18"/>
        <v>-60.702000000000197</v>
      </c>
      <c r="Q26" s="56">
        <f>Q96*Q46</f>
        <v>-60.702000000000197</v>
      </c>
      <c r="R26" s="32"/>
      <c r="S26" s="32"/>
      <c r="T26" s="32"/>
      <c r="U26" s="32"/>
      <c r="V26" s="32"/>
      <c r="W26" s="32"/>
      <c r="X26" s="32"/>
    </row>
    <row r="27" spans="1:24" ht="12.75" customHeight="1">
      <c r="A27" s="22" t="s">
        <v>158</v>
      </c>
      <c r="B27" s="56">
        <f t="shared" si="18"/>
        <v>94.055294117647065</v>
      </c>
      <c r="C27" s="56">
        <f t="shared" si="18"/>
        <v>64.410000000000025</v>
      </c>
      <c r="D27" s="56">
        <f t="shared" si="18"/>
        <v>43.472999999999999</v>
      </c>
      <c r="E27" s="56">
        <f t="shared" si="18"/>
        <v>52.75200000000001</v>
      </c>
      <c r="F27" s="56">
        <f t="shared" si="18"/>
        <v>254.31800000000007</v>
      </c>
      <c r="G27" s="56">
        <f t="shared" si="18"/>
        <v>38.581960784313679</v>
      </c>
      <c r="H27" s="56">
        <f t="shared" si="18"/>
        <v>41.072000000000003</v>
      </c>
      <c r="I27" s="56">
        <f t="shared" si="18"/>
        <v>36.062335766423367</v>
      </c>
      <c r="J27" s="56">
        <f t="shared" si="18"/>
        <v>33.367999999999988</v>
      </c>
      <c r="K27" s="56">
        <f t="shared" si="18"/>
        <v>145.56399999999999</v>
      </c>
      <c r="L27" s="56">
        <f t="shared" si="18"/>
        <v>50.186277372262779</v>
      </c>
      <c r="M27" s="56">
        <f t="shared" si="18"/>
        <v>42.658335766423363</v>
      </c>
      <c r="N27" s="56">
        <f t="shared" si="18"/>
        <v>42.658335766423363</v>
      </c>
      <c r="O27" s="56">
        <f t="shared" si="18"/>
        <v>53.950248175182487</v>
      </c>
      <c r="P27" s="56">
        <f t="shared" si="18"/>
        <v>189.453197080292</v>
      </c>
      <c r="Q27" s="56">
        <f t="shared" si="18"/>
        <v>189.453197080292</v>
      </c>
      <c r="R27" s="32"/>
      <c r="S27" s="32"/>
      <c r="T27" s="32"/>
      <c r="U27" s="32"/>
      <c r="V27" s="32"/>
      <c r="W27" s="32"/>
      <c r="X27" s="32"/>
    </row>
    <row r="28" spans="1:24" ht="12.75" customHeight="1">
      <c r="A28" s="29" t="s">
        <v>176</v>
      </c>
      <c r="B28" s="60">
        <f>-118.7-C28</f>
        <v>-59.5</v>
      </c>
      <c r="C28" s="60">
        <f>-59.2</f>
        <v>-59.2</v>
      </c>
      <c r="D28" s="60">
        <v>-57.9</v>
      </c>
      <c r="E28" s="60">
        <v>-55.5</v>
      </c>
      <c r="F28" s="60">
        <v>-227.1</v>
      </c>
      <c r="G28" s="60">
        <f>-91-H28</f>
        <v>-49.4</v>
      </c>
      <c r="H28" s="60">
        <v>-41.6</v>
      </c>
      <c r="I28" s="60">
        <v>-37.799999999999997</v>
      </c>
      <c r="J28" s="60">
        <v>-47.6</v>
      </c>
      <c r="K28" s="60">
        <v>-176.4</v>
      </c>
      <c r="L28" s="60">
        <f>-150/4</f>
        <v>-37.5</v>
      </c>
      <c r="M28" s="60">
        <f>-150/4</f>
        <v>-37.5</v>
      </c>
      <c r="N28" s="60">
        <f>-150/4</f>
        <v>-37.5</v>
      </c>
      <c r="O28" s="60">
        <f>-150/4</f>
        <v>-37.5</v>
      </c>
      <c r="P28" s="60">
        <f>L28+M28+N28+O28</f>
        <v>-150</v>
      </c>
      <c r="Q28" s="60">
        <v>-145</v>
      </c>
      <c r="R28" s="32"/>
      <c r="S28" s="32"/>
      <c r="T28" s="32"/>
      <c r="U28" s="32"/>
      <c r="V28" s="32"/>
      <c r="W28" s="32"/>
      <c r="X28" s="32"/>
    </row>
    <row r="29" spans="1:24" ht="12.75" customHeight="1">
      <c r="A29" s="29" t="s">
        <v>177</v>
      </c>
      <c r="B29" s="60">
        <f>-206.9-C29</f>
        <v>-103.30000000000001</v>
      </c>
      <c r="C29" s="60">
        <v>-103.6</v>
      </c>
      <c r="D29" s="60">
        <v>-103</v>
      </c>
      <c r="E29" s="60">
        <v>-103.7</v>
      </c>
      <c r="F29" s="60">
        <v>-414</v>
      </c>
      <c r="G29" s="60">
        <f>-225.5-H29</f>
        <v>-106.9</v>
      </c>
      <c r="H29" s="60">
        <f>-118.6</f>
        <v>-118.6</v>
      </c>
      <c r="I29" s="60">
        <f>H29</f>
        <v>-118.6</v>
      </c>
      <c r="J29" s="60">
        <v>-121.4</v>
      </c>
      <c r="K29" s="60">
        <v>-465</v>
      </c>
      <c r="L29" s="60">
        <v>-80</v>
      </c>
      <c r="M29" s="60">
        <v>-123.6</v>
      </c>
      <c r="N29" s="60">
        <v>-80</v>
      </c>
      <c r="O29" s="60">
        <v>-123.6</v>
      </c>
      <c r="P29" s="60">
        <f>O29+N29+M29+L29</f>
        <v>-407.2</v>
      </c>
      <c r="Q29" s="60">
        <v>-407</v>
      </c>
      <c r="R29" s="32"/>
      <c r="S29" s="32"/>
      <c r="T29" s="32"/>
      <c r="U29" s="32"/>
      <c r="V29" s="32"/>
      <c r="W29" s="32"/>
      <c r="X29" s="32"/>
    </row>
    <row r="30" spans="1:24" ht="12.75" customHeight="1">
      <c r="A30" s="48" t="s">
        <v>178</v>
      </c>
      <c r="B30" s="60">
        <f>-14-C30</f>
        <v>-21.2</v>
      </c>
      <c r="C30" s="60">
        <f>7.2</f>
        <v>7.2</v>
      </c>
      <c r="D30" s="60">
        <v>6.8</v>
      </c>
      <c r="E30" s="60">
        <v>-42.4</v>
      </c>
      <c r="F30" s="60">
        <v>-49.6</v>
      </c>
      <c r="G30" s="60">
        <f>-209.7-H30</f>
        <v>-103.79999999999998</v>
      </c>
      <c r="H30" s="60">
        <f>-105.9</f>
        <v>-105.9</v>
      </c>
      <c r="I30" s="60">
        <v>-116.9</v>
      </c>
      <c r="J30" s="60">
        <v>-110.2</v>
      </c>
      <c r="K30" s="60">
        <v>-436.8</v>
      </c>
      <c r="L30" s="51">
        <f>-90</f>
        <v>-90</v>
      </c>
      <c r="M30" s="51">
        <v>-85</v>
      </c>
      <c r="N30" s="51">
        <v>-80</v>
      </c>
      <c r="O30" s="51">
        <v>-75</v>
      </c>
      <c r="P30" s="60">
        <f>L30+M30+N30+O30</f>
        <v>-330</v>
      </c>
      <c r="Q30" s="60">
        <v>-270</v>
      </c>
      <c r="R30" s="32"/>
      <c r="S30" s="32"/>
      <c r="T30" s="32"/>
      <c r="U30" s="32"/>
      <c r="V30" s="32"/>
      <c r="W30" s="32"/>
      <c r="X30" s="32"/>
    </row>
    <row r="31" spans="1:24" ht="12.75" customHeight="1">
      <c r="A31" s="48" t="s">
        <v>179</v>
      </c>
      <c r="B31" s="60"/>
      <c r="C31" s="60"/>
      <c r="D31" s="60"/>
      <c r="E31" s="60"/>
      <c r="F31" s="60">
        <v>-170</v>
      </c>
      <c r="G31" s="60">
        <f>K31/4</f>
        <v>-36.25</v>
      </c>
      <c r="H31" s="60">
        <f>G31</f>
        <v>-36.25</v>
      </c>
      <c r="I31" s="60">
        <f>H31</f>
        <v>-36.25</v>
      </c>
      <c r="J31" s="60">
        <f>I31</f>
        <v>-36.25</v>
      </c>
      <c r="K31" s="60">
        <v>-145</v>
      </c>
      <c r="L31" s="51">
        <f>-130/4</f>
        <v>-32.5</v>
      </c>
      <c r="M31" s="51">
        <f>-130/4</f>
        <v>-32.5</v>
      </c>
      <c r="N31" s="51">
        <f>-130/4</f>
        <v>-32.5</v>
      </c>
      <c r="O31" s="51">
        <f>-130/4</f>
        <v>-32.5</v>
      </c>
      <c r="P31" s="60">
        <f>O31+N31+M31+L31</f>
        <v>-130</v>
      </c>
      <c r="Q31" s="60">
        <v>-130</v>
      </c>
      <c r="R31" s="32"/>
      <c r="S31" s="32"/>
      <c r="T31" s="32"/>
      <c r="U31" s="32"/>
      <c r="V31" s="32"/>
      <c r="W31" s="32"/>
      <c r="X31" s="32"/>
    </row>
    <row r="32" spans="1:24" ht="12.75" customHeight="1">
      <c r="A32" s="48" t="s">
        <v>180</v>
      </c>
      <c r="B32" s="60"/>
      <c r="C32" s="60"/>
      <c r="D32" s="60">
        <v>-89.4</v>
      </c>
      <c r="E32" s="60">
        <v>-187.3</v>
      </c>
      <c r="F32" s="60">
        <v>-276.7</v>
      </c>
      <c r="G32" s="60"/>
      <c r="H32" s="60"/>
      <c r="I32" s="60">
        <v>-89.3</v>
      </c>
      <c r="J32" s="60">
        <v>-187.4</v>
      </c>
      <c r="K32" s="60">
        <v>-277.2</v>
      </c>
      <c r="L32" s="51"/>
      <c r="M32" s="51"/>
      <c r="N32" s="51">
        <v>-89</v>
      </c>
      <c r="O32" s="51">
        <v>-187</v>
      </c>
      <c r="P32" s="60">
        <v>-285</v>
      </c>
      <c r="Q32" s="60">
        <v>0</v>
      </c>
      <c r="R32" s="32"/>
      <c r="S32" s="32"/>
      <c r="T32" s="32"/>
      <c r="U32" s="32"/>
      <c r="V32" s="32"/>
      <c r="W32" s="32"/>
      <c r="X32" s="32"/>
    </row>
    <row r="33" spans="1:24" ht="12.75" customHeight="1">
      <c r="A33" s="48" t="s">
        <v>181</v>
      </c>
      <c r="B33" s="60">
        <f t="shared" ref="B33:Q33" si="19">B20+B28+B29+B30+B31+B32</f>
        <v>42.14900379506615</v>
      </c>
      <c r="C33" s="60">
        <f t="shared" si="19"/>
        <v>149.66200000000012</v>
      </c>
      <c r="D33" s="60">
        <f t="shared" si="19"/>
        <v>19.901999999999973</v>
      </c>
      <c r="E33" s="60">
        <f t="shared" si="19"/>
        <v>-61.336000000000041</v>
      </c>
      <c r="F33" s="60">
        <f t="shared" si="19"/>
        <v>15.458000000000141</v>
      </c>
      <c r="G33" s="60">
        <f t="shared" si="19"/>
        <v>32.804825649178667</v>
      </c>
      <c r="H33" s="60">
        <f t="shared" si="19"/>
        <v>-51.449999999999989</v>
      </c>
      <c r="I33" s="60">
        <f t="shared" si="19"/>
        <v>-155.4499854014598</v>
      </c>
      <c r="J33" s="60">
        <f t="shared" si="19"/>
        <v>-275.97100000000006</v>
      </c>
      <c r="K33" s="60">
        <f t="shared" si="19"/>
        <v>-443.61300000000017</v>
      </c>
      <c r="L33" s="60">
        <f t="shared" si="19"/>
        <v>-25.529722627737272</v>
      </c>
      <c r="M33" s="60">
        <f t="shared" si="19"/>
        <v>-54.847664233576694</v>
      </c>
      <c r="N33" s="60">
        <f t="shared" si="19"/>
        <v>-97.361664233576704</v>
      </c>
      <c r="O33" s="60">
        <f t="shared" si="19"/>
        <v>-222.06575182481757</v>
      </c>
      <c r="P33" s="60">
        <f t="shared" si="19"/>
        <v>-393.5048029197082</v>
      </c>
      <c r="Q33" s="60">
        <f t="shared" si="19"/>
        <v>-195.52600291970839</v>
      </c>
      <c r="R33" s="32"/>
      <c r="S33" s="32"/>
      <c r="T33" s="32"/>
      <c r="U33" s="32"/>
      <c r="V33" s="32"/>
      <c r="W33" s="32"/>
      <c r="X33" s="32"/>
    </row>
    <row r="34" spans="1:24" ht="12.75" customHeight="1">
      <c r="A34" s="89" t="s">
        <v>211</v>
      </c>
      <c r="B34" s="90"/>
      <c r="C34" s="90"/>
      <c r="D34" s="90"/>
      <c r="E34" s="90"/>
      <c r="F34" s="90"/>
      <c r="G34" s="90"/>
      <c r="H34" s="90"/>
      <c r="I34" s="90"/>
      <c r="J34" s="90"/>
      <c r="K34" s="91">
        <v>900</v>
      </c>
      <c r="L34" s="91">
        <f>K34+L33</f>
        <v>874.47027737226267</v>
      </c>
      <c r="M34" s="91">
        <f>L34+M33</f>
        <v>819.62261313868601</v>
      </c>
      <c r="N34" s="91">
        <f>M34+N33</f>
        <v>722.26094890510933</v>
      </c>
      <c r="O34" s="91">
        <f>N34+O33</f>
        <v>500.19519708029179</v>
      </c>
      <c r="P34" s="91">
        <f>O34</f>
        <v>500.19519708029179</v>
      </c>
      <c r="Q34" s="91">
        <f>P34+Q33</f>
        <v>304.6691941605834</v>
      </c>
      <c r="R34" s="32"/>
      <c r="S34" s="32"/>
      <c r="T34" s="32"/>
      <c r="U34" s="32"/>
      <c r="V34" s="32"/>
      <c r="W34" s="32"/>
      <c r="X34" s="32"/>
    </row>
    <row r="35" spans="1:24" ht="12.75" customHeight="1">
      <c r="A35" s="49"/>
      <c r="B35" s="50"/>
      <c r="C35" s="50"/>
      <c r="D35" s="50"/>
      <c r="E35" s="50"/>
      <c r="F35" s="50"/>
      <c r="G35" s="50"/>
      <c r="H35" s="50"/>
      <c r="I35" s="50"/>
      <c r="J35" s="47"/>
      <c r="K35" s="107">
        <f>K34</f>
        <v>900</v>
      </c>
      <c r="L35" s="107">
        <f>L33</f>
        <v>-25.529722627737272</v>
      </c>
      <c r="M35" s="107">
        <f>M33</f>
        <v>-54.847664233576694</v>
      </c>
      <c r="N35" s="107">
        <f>N33</f>
        <v>-97.361664233576704</v>
      </c>
      <c r="O35" s="107">
        <f>O33</f>
        <v>-222.06575182481757</v>
      </c>
      <c r="P35" s="107">
        <f>Q33</f>
        <v>-195.52600291970839</v>
      </c>
      <c r="Q35" s="32">
        <f>Q33/4</f>
        <v>-48.881500729927097</v>
      </c>
      <c r="R35" s="32"/>
      <c r="S35" s="32"/>
      <c r="T35" s="32"/>
      <c r="U35" s="32"/>
      <c r="V35" s="32"/>
      <c r="W35" s="32"/>
      <c r="X35" s="32"/>
    </row>
    <row r="36" spans="1:24" ht="12.75" customHeight="1">
      <c r="A36" s="22"/>
      <c r="B36" s="23"/>
      <c r="C36" s="23"/>
      <c r="D36" s="23"/>
      <c r="E36" s="23"/>
      <c r="F36" s="23"/>
      <c r="G36" s="23"/>
      <c r="H36" s="24"/>
      <c r="I36" s="24"/>
      <c r="J36" s="26"/>
      <c r="K36" s="26"/>
      <c r="L36" s="26"/>
      <c r="M36" s="26"/>
      <c r="N36" s="26"/>
      <c r="O36" s="26"/>
      <c r="P36" s="26"/>
      <c r="Q36" s="25"/>
      <c r="R36" s="25"/>
      <c r="S36" s="25"/>
      <c r="T36" s="25"/>
      <c r="U36" s="25"/>
      <c r="V36" s="25"/>
    </row>
    <row r="37" spans="1:24" ht="12.75" customHeight="1">
      <c r="A37" s="22"/>
      <c r="B37" s="23"/>
      <c r="C37" s="23"/>
      <c r="D37" s="23"/>
      <c r="E37" s="23"/>
      <c r="F37" s="23"/>
      <c r="G37" s="23"/>
      <c r="H37" s="24"/>
      <c r="I37" s="24"/>
      <c r="J37" s="26"/>
      <c r="K37" s="26"/>
      <c r="L37" s="26"/>
      <c r="M37" s="26"/>
      <c r="N37" s="26"/>
      <c r="O37" s="26"/>
      <c r="P37" s="26"/>
      <c r="Q37" s="25"/>
      <c r="R37" s="25"/>
      <c r="S37" s="25"/>
      <c r="T37" s="25"/>
      <c r="U37" s="25"/>
      <c r="V37" s="25"/>
    </row>
    <row r="38" spans="1:24" ht="12.75" customHeight="1">
      <c r="A38" s="46"/>
      <c r="B38" s="46" t="s">
        <v>134</v>
      </c>
      <c r="C38" s="46" t="s">
        <v>135</v>
      </c>
      <c r="D38" s="46" t="s">
        <v>136</v>
      </c>
      <c r="E38" s="46" t="s">
        <v>137</v>
      </c>
      <c r="F38" s="46">
        <v>2014</v>
      </c>
      <c r="G38" s="46" t="s">
        <v>138</v>
      </c>
      <c r="H38" s="46" t="s">
        <v>139</v>
      </c>
      <c r="I38" s="46" t="s">
        <v>140</v>
      </c>
      <c r="J38" s="46" t="s">
        <v>141</v>
      </c>
      <c r="K38" s="46">
        <v>2015</v>
      </c>
      <c r="L38" s="46" t="s">
        <v>172</v>
      </c>
      <c r="M38" s="46" t="s">
        <v>173</v>
      </c>
      <c r="N38" s="46" t="s">
        <v>174</v>
      </c>
      <c r="O38" s="46" t="s">
        <v>175</v>
      </c>
      <c r="P38" s="46">
        <v>2016</v>
      </c>
      <c r="Q38" s="46">
        <v>2017</v>
      </c>
      <c r="R38" s="25"/>
      <c r="S38" s="25"/>
      <c r="T38" s="25"/>
      <c r="U38" s="25"/>
      <c r="V38" s="25"/>
    </row>
    <row r="39" spans="1:24" ht="12.75" customHeight="1">
      <c r="A39" s="35" t="s">
        <v>159</v>
      </c>
      <c r="B39" s="62">
        <f t="shared" ref="B39:G39" si="20">B41+B42+B43+B45+B46+B47</f>
        <v>61.300000000000004</v>
      </c>
      <c r="C39" s="62">
        <f t="shared" si="20"/>
        <v>61.7</v>
      </c>
      <c r="D39" s="62">
        <f t="shared" si="20"/>
        <v>62.5</v>
      </c>
      <c r="E39" s="62">
        <f t="shared" si="20"/>
        <v>64.3</v>
      </c>
      <c r="F39" s="62">
        <f t="shared" si="20"/>
        <v>249.8</v>
      </c>
      <c r="G39" s="62">
        <f t="shared" si="20"/>
        <v>60.6</v>
      </c>
      <c r="H39" s="62">
        <f>H41+H42+H43+H45+H46+H47</f>
        <v>51.9</v>
      </c>
      <c r="I39" s="62">
        <f>I41+I42+I43+I45+I46+I47</f>
        <v>58.4</v>
      </c>
      <c r="J39" s="62">
        <f>J41+J42+J43+J45+J46+J47</f>
        <v>57.7</v>
      </c>
      <c r="K39" s="62">
        <f>K41+K42+K43+K45+K46+K47</f>
        <v>228.59999999999994</v>
      </c>
      <c r="L39" s="62">
        <f t="shared" ref="L39:Q39" si="21">L41+L42+L43+L45+L46+L47</f>
        <v>51.800000000000004</v>
      </c>
      <c r="M39" s="62">
        <f t="shared" si="21"/>
        <v>50.7</v>
      </c>
      <c r="N39" s="62">
        <f t="shared" si="21"/>
        <v>51.4</v>
      </c>
      <c r="O39" s="62">
        <f t="shared" si="21"/>
        <v>52.1</v>
      </c>
      <c r="P39" s="62">
        <f t="shared" si="21"/>
        <v>206</v>
      </c>
      <c r="Q39" s="62">
        <f t="shared" si="21"/>
        <v>206</v>
      </c>
      <c r="R39" s="32"/>
      <c r="S39" s="32"/>
      <c r="T39" s="32"/>
      <c r="U39" s="32"/>
      <c r="V39" s="32"/>
      <c r="W39" s="32"/>
      <c r="X39" s="32"/>
    </row>
    <row r="40" spans="1:24" ht="12.75" customHeight="1">
      <c r="A40" s="21" t="s">
        <v>143</v>
      </c>
      <c r="B40" s="63">
        <f t="shared" ref="B40:Q40" si="22">B41+B42+B43</f>
        <v>47.7</v>
      </c>
      <c r="C40" s="63">
        <f t="shared" si="22"/>
        <v>46.300000000000004</v>
      </c>
      <c r="D40" s="63">
        <f t="shared" si="22"/>
        <v>48.2</v>
      </c>
      <c r="E40" s="63">
        <f t="shared" si="22"/>
        <v>49.199999999999996</v>
      </c>
      <c r="F40" s="63">
        <f t="shared" si="22"/>
        <v>191.4</v>
      </c>
      <c r="G40" s="63">
        <f t="shared" si="22"/>
        <v>47.8</v>
      </c>
      <c r="H40" s="63">
        <f t="shared" si="22"/>
        <v>39.9</v>
      </c>
      <c r="I40" s="63">
        <f t="shared" si="22"/>
        <v>45.7</v>
      </c>
      <c r="J40" s="63">
        <f t="shared" si="22"/>
        <v>44.300000000000004</v>
      </c>
      <c r="K40" s="63">
        <f t="shared" si="22"/>
        <v>177.69999999999996</v>
      </c>
      <c r="L40" s="63">
        <f t="shared" si="22"/>
        <v>39</v>
      </c>
      <c r="M40" s="63">
        <f t="shared" si="22"/>
        <v>39</v>
      </c>
      <c r="N40" s="63">
        <f t="shared" si="22"/>
        <v>39</v>
      </c>
      <c r="O40" s="63">
        <f t="shared" si="22"/>
        <v>39</v>
      </c>
      <c r="P40" s="63">
        <f t="shared" si="22"/>
        <v>156</v>
      </c>
      <c r="Q40" s="63">
        <f t="shared" si="22"/>
        <v>156</v>
      </c>
    </row>
    <row r="41" spans="1:24" ht="12.75" customHeight="1">
      <c r="A41" s="22" t="s">
        <v>144</v>
      </c>
      <c r="B41" s="64">
        <f>69.8-C41</f>
        <v>35.699999999999996</v>
      </c>
      <c r="C41" s="64">
        <v>34.1</v>
      </c>
      <c r="D41" s="64">
        <v>35.5</v>
      </c>
      <c r="E41" s="64">
        <v>37.299999999999997</v>
      </c>
      <c r="F41" s="64">
        <f>E41+D41+C41+B41</f>
        <v>142.6</v>
      </c>
      <c r="G41" s="64">
        <f>67.6-H41</f>
        <v>37.199999999999996</v>
      </c>
      <c r="H41" s="65">
        <v>30.4</v>
      </c>
      <c r="I41" s="64">
        <v>35.5</v>
      </c>
      <c r="J41" s="64">
        <v>35.700000000000003</v>
      </c>
      <c r="K41" s="64">
        <f>J41+I41+H41+G41</f>
        <v>138.79999999999998</v>
      </c>
      <c r="L41" s="64">
        <f>H41</f>
        <v>30.4</v>
      </c>
      <c r="M41" s="64">
        <f t="shared" ref="M41:O42" si="23">L41</f>
        <v>30.4</v>
      </c>
      <c r="N41" s="64">
        <f t="shared" si="23"/>
        <v>30.4</v>
      </c>
      <c r="O41" s="64">
        <f t="shared" si="23"/>
        <v>30.4</v>
      </c>
      <c r="P41" s="64">
        <f>O41+N41+M41+L41</f>
        <v>121.6</v>
      </c>
      <c r="Q41" s="64">
        <f>P41</f>
        <v>121.6</v>
      </c>
      <c r="R41" s="37"/>
      <c r="S41" s="37"/>
      <c r="T41" s="32"/>
      <c r="U41" s="32"/>
      <c r="V41" s="37"/>
      <c r="W41" s="37"/>
      <c r="X41" s="32"/>
    </row>
    <row r="42" spans="1:24" ht="12.75" customHeight="1">
      <c r="A42" s="22" t="s">
        <v>145</v>
      </c>
      <c r="B42" s="64">
        <f>12.4-C42</f>
        <v>6.2</v>
      </c>
      <c r="C42" s="64">
        <v>6.2</v>
      </c>
      <c r="D42" s="64">
        <v>6.5</v>
      </c>
      <c r="E42" s="64">
        <v>6.1</v>
      </c>
      <c r="F42" s="64">
        <f>E42+D42+C42+B42</f>
        <v>25</v>
      </c>
      <c r="G42" s="64">
        <f>11.1-H42</f>
        <v>5.8999999999999995</v>
      </c>
      <c r="H42" s="65">
        <v>5.2</v>
      </c>
      <c r="I42" s="64">
        <v>5.5</v>
      </c>
      <c r="J42" s="64">
        <v>4.5999999999999996</v>
      </c>
      <c r="K42" s="64">
        <f>J42+I42+H42+G42</f>
        <v>21.2</v>
      </c>
      <c r="L42" s="64">
        <f>J42</f>
        <v>4.5999999999999996</v>
      </c>
      <c r="M42" s="64">
        <f t="shared" si="23"/>
        <v>4.5999999999999996</v>
      </c>
      <c r="N42" s="64">
        <f t="shared" si="23"/>
        <v>4.5999999999999996</v>
      </c>
      <c r="O42" s="64">
        <f t="shared" si="23"/>
        <v>4.5999999999999996</v>
      </c>
      <c r="P42" s="64">
        <f>O42+N42+M42+L42</f>
        <v>18.399999999999999</v>
      </c>
      <c r="Q42" s="64">
        <f>P42</f>
        <v>18.399999999999999</v>
      </c>
      <c r="R42" s="37"/>
      <c r="S42" s="37"/>
      <c r="T42" s="32"/>
      <c r="U42" s="32"/>
      <c r="V42" s="37"/>
      <c r="W42" s="37"/>
      <c r="X42" s="32"/>
    </row>
    <row r="43" spans="1:24" ht="12.75" customHeight="1">
      <c r="A43" s="22" t="s">
        <v>146</v>
      </c>
      <c r="B43" s="64">
        <f>11.8-C43</f>
        <v>5.8000000000000007</v>
      </c>
      <c r="C43" s="64">
        <v>6</v>
      </c>
      <c r="D43" s="64">
        <v>6.2</v>
      </c>
      <c r="E43" s="64">
        <v>5.8</v>
      </c>
      <c r="F43" s="64">
        <f>E43+D43+C43+B43</f>
        <v>23.8</v>
      </c>
      <c r="G43" s="64">
        <f>9-H43</f>
        <v>4.7</v>
      </c>
      <c r="H43" s="65">
        <v>4.3</v>
      </c>
      <c r="I43" s="64">
        <v>4.7</v>
      </c>
      <c r="J43" s="64">
        <v>4</v>
      </c>
      <c r="K43" s="64">
        <f>J43+I43+H43+G43</f>
        <v>17.7</v>
      </c>
      <c r="L43" s="64">
        <f>J43</f>
        <v>4</v>
      </c>
      <c r="M43" s="64">
        <f>L43</f>
        <v>4</v>
      </c>
      <c r="N43" s="64">
        <f>L43</f>
        <v>4</v>
      </c>
      <c r="O43" s="64">
        <f>M43</f>
        <v>4</v>
      </c>
      <c r="P43" s="64">
        <f>O43+N43+M43+L43</f>
        <v>16</v>
      </c>
      <c r="Q43" s="64">
        <f>P43</f>
        <v>16</v>
      </c>
      <c r="R43" s="37"/>
      <c r="S43" s="37"/>
      <c r="T43" s="32"/>
      <c r="U43" s="32"/>
      <c r="V43" s="37"/>
      <c r="W43" s="37"/>
      <c r="X43" s="32"/>
    </row>
    <row r="44" spans="1:24" ht="12.75" customHeight="1">
      <c r="A44" s="27" t="s">
        <v>147</v>
      </c>
      <c r="B44" s="66">
        <f t="shared" ref="B44:Q44" si="24">B46+B45</f>
        <v>8.1999999999999993</v>
      </c>
      <c r="C44" s="66">
        <f t="shared" si="24"/>
        <v>9.6999999999999993</v>
      </c>
      <c r="D44" s="66">
        <f t="shared" si="24"/>
        <v>10</v>
      </c>
      <c r="E44" s="66">
        <f t="shared" si="24"/>
        <v>10.3</v>
      </c>
      <c r="F44" s="66">
        <f t="shared" si="24"/>
        <v>38.200000000000003</v>
      </c>
      <c r="G44" s="66">
        <f t="shared" si="24"/>
        <v>8.8000000000000007</v>
      </c>
      <c r="H44" s="66">
        <f t="shared" si="24"/>
        <v>8.6</v>
      </c>
      <c r="I44" s="66">
        <f t="shared" si="24"/>
        <v>9.3000000000000007</v>
      </c>
      <c r="J44" s="66">
        <f t="shared" si="24"/>
        <v>9.1</v>
      </c>
      <c r="K44" s="66">
        <f t="shared" si="24"/>
        <v>35.799999999999997</v>
      </c>
      <c r="L44" s="66">
        <f t="shared" si="24"/>
        <v>8.8000000000000007</v>
      </c>
      <c r="M44" s="66">
        <f t="shared" si="24"/>
        <v>8.3000000000000007</v>
      </c>
      <c r="N44" s="66">
        <f t="shared" si="24"/>
        <v>9</v>
      </c>
      <c r="O44" s="66">
        <f t="shared" si="24"/>
        <v>8.8000000000000007</v>
      </c>
      <c r="P44" s="66">
        <f t="shared" si="24"/>
        <v>34.9</v>
      </c>
      <c r="Q44" s="66">
        <f t="shared" si="24"/>
        <v>34.9</v>
      </c>
      <c r="R44" s="25"/>
      <c r="S44" s="25"/>
      <c r="T44" s="25"/>
      <c r="U44" s="25"/>
      <c r="V44" s="25"/>
    </row>
    <row r="45" spans="1:24" ht="12.75" customHeight="1">
      <c r="A45" s="22" t="s">
        <v>148</v>
      </c>
      <c r="B45" s="64">
        <f>7.9-C45</f>
        <v>3.1000000000000005</v>
      </c>
      <c r="C45" s="64">
        <v>4.8</v>
      </c>
      <c r="D45" s="64">
        <v>4.5</v>
      </c>
      <c r="E45" s="64">
        <v>4.8</v>
      </c>
      <c r="F45" s="64">
        <f>E45+D45+C45+B45</f>
        <v>17.200000000000003</v>
      </c>
      <c r="G45" s="64">
        <f>7.7-H45</f>
        <v>3.7</v>
      </c>
      <c r="H45" s="65">
        <v>4</v>
      </c>
      <c r="I45" s="64">
        <v>4</v>
      </c>
      <c r="J45" s="64">
        <v>4</v>
      </c>
      <c r="K45" s="64">
        <f>J45+I45+H45+G45</f>
        <v>15.7</v>
      </c>
      <c r="L45" s="64">
        <f>G45</f>
        <v>3.7</v>
      </c>
      <c r="M45" s="64">
        <f>L45</f>
        <v>3.7</v>
      </c>
      <c r="N45" s="64">
        <f>M45</f>
        <v>3.7</v>
      </c>
      <c r="O45" s="64">
        <f>N45</f>
        <v>3.7</v>
      </c>
      <c r="P45" s="64">
        <f>O45+N45+M45+L45</f>
        <v>14.8</v>
      </c>
      <c r="Q45" s="64">
        <f>P45</f>
        <v>14.8</v>
      </c>
      <c r="R45" s="37"/>
      <c r="S45" s="37"/>
      <c r="T45" s="32"/>
      <c r="U45" s="32"/>
      <c r="V45" s="37"/>
      <c r="W45" s="37"/>
      <c r="X45" s="32"/>
    </row>
    <row r="46" spans="1:24" ht="12.75" customHeight="1">
      <c r="A46" s="22" t="s">
        <v>149</v>
      </c>
      <c r="B46" s="64">
        <f>10-C46</f>
        <v>5.0999999999999996</v>
      </c>
      <c r="C46" s="64">
        <v>4.9000000000000004</v>
      </c>
      <c r="D46" s="64">
        <v>5.5</v>
      </c>
      <c r="E46" s="64">
        <v>5.5</v>
      </c>
      <c r="F46" s="64">
        <f>E46+D46+C46+B46</f>
        <v>21</v>
      </c>
      <c r="G46" s="64">
        <f>9.7-H46</f>
        <v>5.0999999999999996</v>
      </c>
      <c r="H46" s="65">
        <v>4.5999999999999996</v>
      </c>
      <c r="I46" s="64">
        <v>5.3</v>
      </c>
      <c r="J46" s="64">
        <v>5.0999999999999996</v>
      </c>
      <c r="K46" s="64">
        <f>J46+I46+H46+G46</f>
        <v>20.099999999999998</v>
      </c>
      <c r="L46" s="64">
        <f t="shared" ref="L46:O47" si="25">G46</f>
        <v>5.0999999999999996</v>
      </c>
      <c r="M46" s="64">
        <f t="shared" si="25"/>
        <v>4.5999999999999996</v>
      </c>
      <c r="N46" s="64">
        <f t="shared" si="25"/>
        <v>5.3</v>
      </c>
      <c r="O46" s="64">
        <f t="shared" si="25"/>
        <v>5.0999999999999996</v>
      </c>
      <c r="P46" s="64">
        <f>O46+N46+M46+L46</f>
        <v>20.099999999999998</v>
      </c>
      <c r="Q46" s="64">
        <f>P46</f>
        <v>20.099999999999998</v>
      </c>
      <c r="R46" s="37"/>
      <c r="S46" s="37"/>
      <c r="T46" s="32"/>
      <c r="U46" s="32"/>
      <c r="V46" s="37"/>
      <c r="W46" s="37"/>
      <c r="X46" s="32"/>
    </row>
    <row r="47" spans="1:24" ht="12.75" customHeight="1">
      <c r="A47" s="22" t="s">
        <v>160</v>
      </c>
      <c r="B47" s="64">
        <f>11.1-C47</f>
        <v>5.3999999999999995</v>
      </c>
      <c r="C47" s="64">
        <v>5.7</v>
      </c>
      <c r="D47" s="64">
        <v>4.3</v>
      </c>
      <c r="E47" s="64">
        <v>4.8</v>
      </c>
      <c r="F47" s="64">
        <f>E47+D47+C47+B47</f>
        <v>20.2</v>
      </c>
      <c r="G47" s="64">
        <f>7.4-H47</f>
        <v>4</v>
      </c>
      <c r="H47" s="65">
        <v>3.4</v>
      </c>
      <c r="I47" s="64">
        <v>3.4</v>
      </c>
      <c r="J47" s="64">
        <v>4.3</v>
      </c>
      <c r="K47" s="64">
        <f>J47+I47+H47+G47</f>
        <v>15.1</v>
      </c>
      <c r="L47" s="64">
        <f t="shared" si="25"/>
        <v>4</v>
      </c>
      <c r="M47" s="64">
        <f t="shared" si="25"/>
        <v>3.4</v>
      </c>
      <c r="N47" s="64">
        <f t="shared" si="25"/>
        <v>3.4</v>
      </c>
      <c r="O47" s="64">
        <f t="shared" si="25"/>
        <v>4.3</v>
      </c>
      <c r="P47" s="64">
        <f>O47+N47+M47+L47</f>
        <v>15.1</v>
      </c>
      <c r="Q47" s="64">
        <f>P47</f>
        <v>15.1</v>
      </c>
      <c r="R47" s="37"/>
      <c r="S47" s="37"/>
      <c r="T47" s="32"/>
      <c r="U47" s="32"/>
      <c r="V47" s="37"/>
      <c r="W47" s="37"/>
      <c r="X47" s="32"/>
    </row>
    <row r="48" spans="1:24" ht="12.75" customHeight="1">
      <c r="A48" s="22"/>
      <c r="B48" s="64"/>
      <c r="C48" s="64"/>
      <c r="D48" s="64"/>
      <c r="E48" s="64"/>
      <c r="F48" s="64"/>
      <c r="G48" s="64"/>
      <c r="H48" s="65"/>
      <c r="I48" s="64"/>
      <c r="J48" s="67"/>
      <c r="K48" s="68"/>
      <c r="L48" s="68"/>
      <c r="M48" s="68"/>
      <c r="N48" s="68"/>
      <c r="O48" s="68"/>
      <c r="P48" s="68"/>
      <c r="Q48" s="32"/>
      <c r="R48" s="37"/>
      <c r="S48" s="37"/>
      <c r="T48" s="32"/>
      <c r="U48" s="32"/>
      <c r="V48" s="37"/>
      <c r="W48" s="37"/>
      <c r="X48" s="32"/>
    </row>
    <row r="49" spans="1:24" ht="12.75" customHeight="1">
      <c r="A49" s="46"/>
      <c r="B49" s="46" t="s">
        <v>134</v>
      </c>
      <c r="C49" s="46" t="s">
        <v>135</v>
      </c>
      <c r="D49" s="46" t="s">
        <v>136</v>
      </c>
      <c r="E49" s="46" t="s">
        <v>137</v>
      </c>
      <c r="F49" s="46">
        <v>2014</v>
      </c>
      <c r="G49" s="46" t="s">
        <v>138</v>
      </c>
      <c r="H49" s="46" t="s">
        <v>139</v>
      </c>
      <c r="I49" s="46" t="s">
        <v>140</v>
      </c>
      <c r="J49" s="46" t="s">
        <v>141</v>
      </c>
      <c r="K49" s="46">
        <v>2015</v>
      </c>
      <c r="L49" s="46" t="s">
        <v>172</v>
      </c>
      <c r="M49" s="46" t="s">
        <v>173</v>
      </c>
      <c r="N49" s="46" t="s">
        <v>174</v>
      </c>
      <c r="O49" s="46" t="s">
        <v>175</v>
      </c>
      <c r="P49" s="46">
        <v>2016</v>
      </c>
      <c r="Q49" s="46">
        <v>2017</v>
      </c>
      <c r="R49" s="32"/>
      <c r="S49" s="32"/>
      <c r="T49" s="32"/>
      <c r="U49" s="32"/>
      <c r="V49" s="32"/>
      <c r="W49" s="32"/>
      <c r="X49" s="32"/>
    </row>
    <row r="50" spans="1:24" ht="12.75" customHeight="1">
      <c r="A50" s="108" t="s">
        <v>228</v>
      </c>
      <c r="B50" s="138"/>
      <c r="C50" s="138"/>
      <c r="D50" s="143"/>
      <c r="E50" s="143"/>
      <c r="F50" s="143"/>
      <c r="G50" s="143"/>
      <c r="H50" s="143"/>
      <c r="I50" s="143"/>
      <c r="J50" s="109"/>
      <c r="K50" s="109"/>
      <c r="L50" s="109"/>
      <c r="M50" s="109"/>
      <c r="N50" s="109"/>
      <c r="O50" s="109"/>
      <c r="P50" s="109"/>
      <c r="Q50" s="110"/>
      <c r="R50" s="32"/>
      <c r="S50" s="32"/>
      <c r="T50" s="32"/>
      <c r="U50" s="32"/>
      <c r="V50" s="32"/>
      <c r="W50" s="32"/>
      <c r="X50" s="32"/>
    </row>
    <row r="51" spans="1:24" ht="12.75" customHeight="1">
      <c r="A51" s="27" t="s">
        <v>229</v>
      </c>
      <c r="B51" s="69">
        <f>B3/B40</f>
        <v>20.649245283018864</v>
      </c>
      <c r="C51" s="69">
        <f>C3/C40</f>
        <v>22.284686825053992</v>
      </c>
      <c r="D51" s="69">
        <f>D3/D40</f>
        <v>21.244813278008298</v>
      </c>
      <c r="E51" s="69">
        <v>20.02</v>
      </c>
      <c r="F51" s="69">
        <v>21.03</v>
      </c>
      <c r="G51" s="69">
        <f>G3/G40</f>
        <v>20.186066945606694</v>
      </c>
      <c r="H51" s="69">
        <f>H3/H40</f>
        <v>20.511378446115287</v>
      </c>
      <c r="I51" s="69">
        <f>I3/I40</f>
        <v>19.730853391684903</v>
      </c>
      <c r="J51" s="69">
        <v>18.87</v>
      </c>
      <c r="K51" s="69">
        <v>19.84</v>
      </c>
      <c r="L51" s="69">
        <f t="shared" ref="L51:Q51" si="26">L3/L40</f>
        <v>19.515538461538462</v>
      </c>
      <c r="M51" s="69">
        <f t="shared" si="26"/>
        <v>19.515538461538462</v>
      </c>
      <c r="N51" s="69">
        <f t="shared" si="26"/>
        <v>19.515538461538462</v>
      </c>
      <c r="O51" s="69">
        <f t="shared" si="26"/>
        <v>19.515538461538462</v>
      </c>
      <c r="P51" s="69">
        <f t="shared" si="26"/>
        <v>19.515538461538462</v>
      </c>
      <c r="Q51" s="69">
        <f t="shared" si="26"/>
        <v>18.539761538461537</v>
      </c>
      <c r="R51" s="37"/>
      <c r="S51" s="37"/>
      <c r="T51" s="32"/>
      <c r="U51" s="32"/>
      <c r="V51" s="37"/>
      <c r="W51" s="37"/>
      <c r="X51" s="32"/>
    </row>
    <row r="52" spans="1:24" ht="12.75" customHeight="1">
      <c r="A52" s="22" t="s">
        <v>230</v>
      </c>
      <c r="B52" s="64">
        <f t="shared" ref="B52:B57" si="27">B4/B41</f>
        <v>13.065854341736694</v>
      </c>
      <c r="C52" s="64">
        <v>14.63</v>
      </c>
      <c r="D52" s="64">
        <v>13.3</v>
      </c>
      <c r="E52" s="64">
        <v>13.02</v>
      </c>
      <c r="F52" s="64">
        <v>13.49</v>
      </c>
      <c r="G52" s="64">
        <f t="shared" ref="G52:G57" si="28">G4/G41</f>
        <v>13.66989247311828</v>
      </c>
      <c r="H52" s="65">
        <v>13.47</v>
      </c>
      <c r="I52" s="64">
        <v>13.42</v>
      </c>
      <c r="J52" s="64">
        <v>13.23</v>
      </c>
      <c r="K52" s="65">
        <v>13.45</v>
      </c>
      <c r="L52" s="65">
        <f t="shared" ref="L52:L57" si="29">J52</f>
        <v>13.23</v>
      </c>
      <c r="M52" s="65">
        <f>L52</f>
        <v>13.23</v>
      </c>
      <c r="N52" s="65">
        <f>M52</f>
        <v>13.23</v>
      </c>
      <c r="O52" s="65">
        <f>N52</f>
        <v>13.23</v>
      </c>
      <c r="P52" s="65">
        <f>O52</f>
        <v>13.23</v>
      </c>
      <c r="Q52" s="65">
        <f>P52*0.95</f>
        <v>12.5685</v>
      </c>
      <c r="R52" s="37"/>
      <c r="S52" s="37"/>
      <c r="T52" s="32"/>
      <c r="U52" s="32"/>
      <c r="V52" s="37"/>
      <c r="W52" s="37"/>
      <c r="X52" s="32"/>
    </row>
    <row r="53" spans="1:24" ht="12.75" customHeight="1">
      <c r="A53" s="22" t="s">
        <v>231</v>
      </c>
      <c r="B53" s="64">
        <f t="shared" si="27"/>
        <v>48.969999999999992</v>
      </c>
      <c r="C53" s="64">
        <v>49.09</v>
      </c>
      <c r="D53" s="64">
        <v>47.88</v>
      </c>
      <c r="E53" s="64">
        <v>45.99</v>
      </c>
      <c r="F53" s="64">
        <v>47.99</v>
      </c>
      <c r="G53" s="64">
        <f t="shared" si="28"/>
        <v>47.049491525423733</v>
      </c>
      <c r="H53" s="65">
        <v>46.09</v>
      </c>
      <c r="I53" s="64">
        <v>45.79</v>
      </c>
      <c r="J53" s="64">
        <v>45.59</v>
      </c>
      <c r="K53" s="65">
        <v>46.18</v>
      </c>
      <c r="L53" s="65">
        <f t="shared" si="29"/>
        <v>45.59</v>
      </c>
      <c r="M53" s="65">
        <f t="shared" ref="M53:Q57" si="30">L53</f>
        <v>45.59</v>
      </c>
      <c r="N53" s="65">
        <f t="shared" si="30"/>
        <v>45.59</v>
      </c>
      <c r="O53" s="65">
        <f t="shared" si="30"/>
        <v>45.59</v>
      </c>
      <c r="P53" s="65">
        <f t="shared" si="30"/>
        <v>45.59</v>
      </c>
      <c r="Q53" s="65">
        <f>P53*0.95</f>
        <v>43.310500000000005</v>
      </c>
      <c r="R53" s="37"/>
      <c r="S53" s="37"/>
      <c r="T53" s="32"/>
      <c r="U53" s="32"/>
      <c r="V53" s="37"/>
      <c r="W53" s="37"/>
      <c r="X53" s="32"/>
    </row>
    <row r="54" spans="1:24" ht="12.75" customHeight="1">
      <c r="A54" s="22" t="s">
        <v>232</v>
      </c>
      <c r="B54" s="64">
        <f t="shared" si="27"/>
        <v>37.05241379310344</v>
      </c>
      <c r="C54" s="64">
        <v>38.090000000000003</v>
      </c>
      <c r="D54" s="64">
        <v>38.549999999999997</v>
      </c>
      <c r="E54" s="64">
        <v>37.86</v>
      </c>
      <c r="F54" s="64">
        <v>37.9</v>
      </c>
      <c r="G54" s="64">
        <f t="shared" si="28"/>
        <v>38.038723404255329</v>
      </c>
      <c r="H54" s="65">
        <v>39.36</v>
      </c>
      <c r="I54" s="64">
        <v>37.67</v>
      </c>
      <c r="J54" s="64">
        <v>37.299999999999997</v>
      </c>
      <c r="K54" s="65">
        <v>38.090000000000003</v>
      </c>
      <c r="L54" s="65">
        <f t="shared" si="29"/>
        <v>37.299999999999997</v>
      </c>
      <c r="M54" s="65">
        <f t="shared" si="30"/>
        <v>37.299999999999997</v>
      </c>
      <c r="N54" s="65">
        <f t="shared" si="30"/>
        <v>37.299999999999997</v>
      </c>
      <c r="O54" s="65">
        <f t="shared" si="30"/>
        <v>37.299999999999997</v>
      </c>
      <c r="P54" s="65">
        <f t="shared" si="30"/>
        <v>37.299999999999997</v>
      </c>
      <c r="Q54" s="65">
        <f>P54*0.95</f>
        <v>35.434999999999995</v>
      </c>
      <c r="R54" s="37"/>
      <c r="S54" s="37"/>
      <c r="T54" s="32"/>
      <c r="U54" s="32"/>
      <c r="V54" s="37"/>
      <c r="W54" s="37"/>
      <c r="X54" s="32"/>
    </row>
    <row r="55" spans="1:24" ht="12.75" customHeight="1">
      <c r="A55" s="27" t="s">
        <v>156</v>
      </c>
      <c r="B55" s="69">
        <f t="shared" si="27"/>
        <v>74.565243902439022</v>
      </c>
      <c r="C55" s="69">
        <f>C7/C44</f>
        <v>73.124020618556713</v>
      </c>
      <c r="D55" s="69">
        <f>D7/D44</f>
        <v>67.63</v>
      </c>
      <c r="E55" s="69">
        <v>65.97</v>
      </c>
      <c r="F55" s="69">
        <v>69.989999999999995</v>
      </c>
      <c r="G55" s="69">
        <f t="shared" si="28"/>
        <v>62.314431818181809</v>
      </c>
      <c r="H55" s="69">
        <f>H7/H44</f>
        <v>59.199302325581392</v>
      </c>
      <c r="I55" s="69">
        <f>I7/I44</f>
        <v>52.225806451612897</v>
      </c>
      <c r="J55" s="69">
        <v>51.18</v>
      </c>
      <c r="K55" s="69">
        <v>55.96</v>
      </c>
      <c r="L55" s="69">
        <f t="shared" si="29"/>
        <v>51.18</v>
      </c>
      <c r="M55" s="69">
        <f>L55</f>
        <v>51.18</v>
      </c>
      <c r="N55" s="69">
        <f t="shared" si="30"/>
        <v>51.18</v>
      </c>
      <c r="O55" s="69">
        <f t="shared" si="30"/>
        <v>51.18</v>
      </c>
      <c r="P55" s="69">
        <f t="shared" si="30"/>
        <v>51.18</v>
      </c>
      <c r="Q55" s="69">
        <f t="shared" si="30"/>
        <v>51.18</v>
      </c>
      <c r="R55" s="37"/>
      <c r="S55" s="37"/>
      <c r="T55" s="32"/>
      <c r="U55" s="32"/>
      <c r="V55" s="37"/>
      <c r="W55" s="37"/>
      <c r="X55" s="32"/>
    </row>
    <row r="56" spans="1:24" ht="12.75" customHeight="1">
      <c r="A56" s="22" t="s">
        <v>233</v>
      </c>
      <c r="B56" s="56">
        <f t="shared" si="27"/>
        <v>107.12580645161289</v>
      </c>
      <c r="C56" s="56">
        <v>95.76</v>
      </c>
      <c r="D56" s="56">
        <v>88.83</v>
      </c>
      <c r="E56" s="56">
        <v>87.97</v>
      </c>
      <c r="F56" s="56">
        <v>93.81</v>
      </c>
      <c r="G56" s="56">
        <f t="shared" si="28"/>
        <v>89.332972972972968</v>
      </c>
      <c r="H56" s="57">
        <v>78.989999999999995</v>
      </c>
      <c r="I56" s="56">
        <v>68.53</v>
      </c>
      <c r="J56" s="56">
        <v>64.63</v>
      </c>
      <c r="K56" s="56">
        <v>75.040000000000006</v>
      </c>
      <c r="L56" s="56">
        <f>J56-2</f>
        <v>62.629999999999995</v>
      </c>
      <c r="M56" s="56">
        <f>L56+3</f>
        <v>65.63</v>
      </c>
      <c r="N56" s="56">
        <f t="shared" si="30"/>
        <v>65.63</v>
      </c>
      <c r="O56" s="56">
        <f t="shared" si="30"/>
        <v>65.63</v>
      </c>
      <c r="P56" s="56">
        <f t="shared" si="30"/>
        <v>65.63</v>
      </c>
      <c r="Q56" s="56">
        <f>P56</f>
        <v>65.63</v>
      </c>
      <c r="R56" s="37"/>
      <c r="S56" s="37"/>
      <c r="T56" s="32"/>
      <c r="U56" s="32"/>
      <c r="V56" s="37"/>
      <c r="W56" s="37"/>
      <c r="X56" s="32"/>
    </row>
    <row r="57" spans="1:24" ht="12.75" customHeight="1">
      <c r="A57" s="22" t="s">
        <v>234</v>
      </c>
      <c r="B57" s="56">
        <f t="shared" si="27"/>
        <v>54.773529411764706</v>
      </c>
      <c r="C57" s="56">
        <v>50.95</v>
      </c>
      <c r="D57" s="56">
        <v>50.03</v>
      </c>
      <c r="E57" s="56">
        <v>46.39</v>
      </c>
      <c r="F57" s="56">
        <v>50.46</v>
      </c>
      <c r="G57" s="56">
        <f t="shared" si="28"/>
        <v>42.712745098039207</v>
      </c>
      <c r="H57" s="57">
        <v>41.99</v>
      </c>
      <c r="I57" s="56">
        <v>38.770000000000003</v>
      </c>
      <c r="J57" s="56">
        <v>40.71</v>
      </c>
      <c r="K57" s="56">
        <v>41</v>
      </c>
      <c r="L57" s="56">
        <f t="shared" si="29"/>
        <v>40.71</v>
      </c>
      <c r="M57" s="56">
        <f>L57</f>
        <v>40.71</v>
      </c>
      <c r="N57" s="56">
        <f t="shared" si="30"/>
        <v>40.71</v>
      </c>
      <c r="O57" s="56">
        <f t="shared" si="30"/>
        <v>40.71</v>
      </c>
      <c r="P57" s="56">
        <f t="shared" si="30"/>
        <v>40.71</v>
      </c>
      <c r="Q57" s="56">
        <f>P57</f>
        <v>40.71</v>
      </c>
      <c r="R57" s="37"/>
      <c r="S57" s="37"/>
      <c r="T57" s="32"/>
      <c r="U57" s="32"/>
      <c r="V57" s="37"/>
      <c r="W57" s="37"/>
      <c r="X57" s="32"/>
    </row>
    <row r="58" spans="1:24" ht="12.75" customHeight="1"/>
    <row r="59" spans="1:24" ht="12.75" customHeight="1">
      <c r="A59" s="38"/>
      <c r="B59" s="24"/>
      <c r="C59" s="24"/>
      <c r="D59" s="34"/>
      <c r="E59" s="34"/>
      <c r="F59" s="34"/>
      <c r="G59" s="34"/>
      <c r="H59" s="34"/>
      <c r="I59" s="34"/>
      <c r="J59" s="39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2.75" customHeight="1">
      <c r="A60" s="35" t="s">
        <v>161</v>
      </c>
      <c r="B60" s="30"/>
      <c r="C60" s="30"/>
      <c r="D60" s="31"/>
      <c r="E60" s="31"/>
      <c r="F60" s="31"/>
      <c r="G60" s="31"/>
      <c r="H60" s="31"/>
      <c r="I60" s="3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2.75" customHeight="1">
      <c r="A61" s="27" t="s">
        <v>152</v>
      </c>
      <c r="B61" s="28"/>
      <c r="C61" s="28">
        <v>21.44</v>
      </c>
      <c r="D61" s="33"/>
      <c r="E61" s="33"/>
      <c r="F61" s="33"/>
      <c r="G61" s="33"/>
      <c r="H61" s="33">
        <v>20.350000000000001</v>
      </c>
      <c r="I61" s="33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2.75" customHeight="1">
      <c r="A62" s="22" t="s">
        <v>153</v>
      </c>
      <c r="B62" s="24"/>
      <c r="C62" s="24">
        <v>13.83</v>
      </c>
      <c r="D62" s="34"/>
      <c r="E62" s="34"/>
      <c r="F62" s="34"/>
      <c r="G62" s="34"/>
      <c r="H62" s="34">
        <v>13.58</v>
      </c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2.75" customHeight="1">
      <c r="A63" s="22" t="s">
        <v>154</v>
      </c>
      <c r="B63" s="24"/>
      <c r="C63" s="24">
        <v>49.03</v>
      </c>
      <c r="D63" s="34"/>
      <c r="E63" s="34"/>
      <c r="F63" s="34"/>
      <c r="G63" s="34"/>
      <c r="H63" s="34">
        <v>46.6</v>
      </c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12.75" customHeight="1">
      <c r="A64" s="22" t="s">
        <v>155</v>
      </c>
      <c r="B64" s="24"/>
      <c r="C64" s="24">
        <v>37.58</v>
      </c>
      <c r="D64" s="34"/>
      <c r="E64" s="34"/>
      <c r="F64" s="34"/>
      <c r="G64" s="34"/>
      <c r="H64" s="34">
        <v>38.67</v>
      </c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12.75" customHeight="1">
      <c r="A65" s="27" t="s">
        <v>156</v>
      </c>
      <c r="B65" s="28"/>
      <c r="C65" s="28">
        <v>73.77</v>
      </c>
      <c r="D65" s="33"/>
      <c r="E65" s="33"/>
      <c r="F65" s="33"/>
      <c r="G65" s="33"/>
      <c r="H65" s="33">
        <v>60.77</v>
      </c>
      <c r="I65" s="33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12.75" customHeight="1">
      <c r="A66" s="22" t="s">
        <v>157</v>
      </c>
      <c r="B66" s="24"/>
      <c r="C66" s="24">
        <v>100.22</v>
      </c>
      <c r="D66" s="34"/>
      <c r="E66" s="34"/>
      <c r="F66" s="34"/>
      <c r="G66" s="34"/>
      <c r="H66" s="34">
        <v>83.96</v>
      </c>
      <c r="I66" s="34">
        <f>I107-I111</f>
        <v>68.53</v>
      </c>
      <c r="J66" s="34">
        <f>J107-J111</f>
        <v>61.56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12.75" customHeight="1">
      <c r="A67" s="22" t="s">
        <v>158</v>
      </c>
      <c r="B67" s="24"/>
      <c r="C67" s="24">
        <v>52.9</v>
      </c>
      <c r="D67" s="34"/>
      <c r="E67" s="34"/>
      <c r="F67" s="34"/>
      <c r="G67" s="34"/>
      <c r="H67" s="34">
        <v>42.37</v>
      </c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2.75" customHeight="1">
      <c r="A68" s="22"/>
      <c r="B68" s="24"/>
      <c r="C68" s="24"/>
      <c r="D68" s="34"/>
      <c r="E68" s="34"/>
      <c r="F68" s="34"/>
      <c r="G68" s="34"/>
      <c r="H68" s="34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2.75" customHeight="1">
      <c r="A69" s="131"/>
      <c r="B69" s="131" t="s">
        <v>134</v>
      </c>
      <c r="C69" s="131" t="s">
        <v>135</v>
      </c>
      <c r="D69" s="131" t="s">
        <v>136</v>
      </c>
      <c r="E69" s="131" t="s">
        <v>137</v>
      </c>
      <c r="F69" s="131">
        <v>2014</v>
      </c>
      <c r="G69" s="131" t="s">
        <v>138</v>
      </c>
      <c r="H69" s="131" t="s">
        <v>139</v>
      </c>
      <c r="I69" s="131" t="s">
        <v>140</v>
      </c>
      <c r="J69" s="131" t="s">
        <v>141</v>
      </c>
      <c r="K69" s="131">
        <v>2015</v>
      </c>
      <c r="L69" s="131" t="s">
        <v>172</v>
      </c>
      <c r="M69" s="131" t="s">
        <v>173</v>
      </c>
      <c r="N69" s="131" t="s">
        <v>174</v>
      </c>
      <c r="O69" s="131" t="s">
        <v>175</v>
      </c>
      <c r="P69" s="131">
        <v>2016</v>
      </c>
      <c r="Q69" s="131">
        <v>2017</v>
      </c>
    </row>
    <row r="70" spans="1:24" ht="12.75" customHeight="1">
      <c r="A70" s="137" t="s">
        <v>235</v>
      </c>
      <c r="B70" s="137"/>
      <c r="C70" s="137"/>
      <c r="D70" s="142"/>
      <c r="E70" s="142"/>
      <c r="F70" s="142"/>
      <c r="G70" s="142"/>
      <c r="H70" s="142"/>
      <c r="I70" s="142"/>
      <c r="J70" s="24"/>
      <c r="K70" s="24"/>
      <c r="L70" s="24"/>
      <c r="M70" s="24"/>
      <c r="N70" s="24"/>
      <c r="O70" s="24"/>
      <c r="P70" s="24"/>
      <c r="Q70" s="24"/>
      <c r="R70" s="32"/>
      <c r="S70" s="32"/>
      <c r="T70" s="32"/>
      <c r="U70" s="32"/>
      <c r="V70" s="32"/>
      <c r="W70" s="32"/>
      <c r="X70" s="32"/>
    </row>
    <row r="71" spans="1:24" ht="12.75" customHeight="1">
      <c r="A71" s="132" t="s">
        <v>152</v>
      </c>
      <c r="B71" s="28">
        <f t="shared" ref="B71:B77" si="31">B12/B40</f>
        <v>15.527714884696016</v>
      </c>
      <c r="C71" s="28">
        <v>15.97</v>
      </c>
      <c r="D71" s="28">
        <v>15.38</v>
      </c>
      <c r="E71" s="28">
        <v>14.84</v>
      </c>
      <c r="F71" s="28">
        <v>15.37</v>
      </c>
      <c r="G71" s="28">
        <f>G12/G40</f>
        <v>14.502887029288702</v>
      </c>
      <c r="H71" s="28">
        <f>H12/H40</f>
        <v>15.238696741854637</v>
      </c>
      <c r="I71" s="28">
        <f>I12/I40</f>
        <v>14.581531728665206</v>
      </c>
      <c r="J71" s="28">
        <v>14.01</v>
      </c>
      <c r="K71" s="28">
        <v>14.57</v>
      </c>
      <c r="L71" s="28">
        <f t="shared" ref="L71:L76" si="32">J71</f>
        <v>14.01</v>
      </c>
      <c r="M71" s="28">
        <f>L71</f>
        <v>14.01</v>
      </c>
      <c r="N71" s="28">
        <f t="shared" ref="N71:Q72" si="33">M71</f>
        <v>14.01</v>
      </c>
      <c r="O71" s="28">
        <f t="shared" si="33"/>
        <v>14.01</v>
      </c>
      <c r="P71" s="28">
        <f t="shared" si="33"/>
        <v>14.01</v>
      </c>
      <c r="Q71" s="28">
        <f t="shared" si="33"/>
        <v>14.01</v>
      </c>
      <c r="R71" s="32"/>
      <c r="S71" s="32"/>
      <c r="T71" s="32"/>
      <c r="U71" s="32"/>
      <c r="V71" s="32"/>
      <c r="W71" s="32"/>
      <c r="X71" s="32"/>
    </row>
    <row r="72" spans="1:24" ht="12.75" customHeight="1">
      <c r="A72" s="133" t="s">
        <v>153</v>
      </c>
      <c r="B72" s="24">
        <f t="shared" si="31"/>
        <v>10.000000000000002</v>
      </c>
      <c r="C72" s="24">
        <v>10.19</v>
      </c>
      <c r="D72" s="24">
        <v>10.07</v>
      </c>
      <c r="E72" s="24">
        <v>9.6199999999999992</v>
      </c>
      <c r="F72" s="24">
        <v>9.92</v>
      </c>
      <c r="G72" s="24">
        <f t="shared" ref="G72:G77" si="34">G13/G41</f>
        <v>9.9056989247311833</v>
      </c>
      <c r="H72" s="133">
        <v>10.36</v>
      </c>
      <c r="I72" s="24">
        <v>10.029999999999999</v>
      </c>
      <c r="J72" s="24">
        <v>9.64</v>
      </c>
      <c r="K72" s="24">
        <v>9.9700000000000006</v>
      </c>
      <c r="L72" s="24">
        <f t="shared" si="32"/>
        <v>9.64</v>
      </c>
      <c r="M72" s="24">
        <f>L72</f>
        <v>9.64</v>
      </c>
      <c r="N72" s="24">
        <f t="shared" si="33"/>
        <v>9.64</v>
      </c>
      <c r="O72" s="24">
        <f t="shared" si="33"/>
        <v>9.64</v>
      </c>
      <c r="P72" s="24">
        <f t="shared" si="33"/>
        <v>9.64</v>
      </c>
      <c r="Q72" s="24">
        <f t="shared" si="33"/>
        <v>9.64</v>
      </c>
      <c r="R72" s="32"/>
      <c r="S72" s="32"/>
      <c r="T72" s="32"/>
      <c r="U72" s="32"/>
      <c r="V72" s="32"/>
      <c r="W72" s="32"/>
      <c r="X72" s="32"/>
    </row>
    <row r="73" spans="1:24" ht="12.75" customHeight="1">
      <c r="A73" s="133" t="s">
        <v>154</v>
      </c>
      <c r="B73" s="24">
        <f t="shared" si="31"/>
        <v>36.979999999999997</v>
      </c>
      <c r="C73" s="24">
        <v>37.840000000000003</v>
      </c>
      <c r="D73" s="24">
        <v>34.56</v>
      </c>
      <c r="E73" s="24">
        <v>34.31</v>
      </c>
      <c r="F73" s="24">
        <v>35.700000000000003</v>
      </c>
      <c r="G73" s="24">
        <f t="shared" si="34"/>
        <v>33.565762711864409</v>
      </c>
      <c r="H73" s="133">
        <v>33.340000000000003</v>
      </c>
      <c r="I73" s="24">
        <v>32.51</v>
      </c>
      <c r="J73" s="24">
        <v>34.64</v>
      </c>
      <c r="K73" s="24">
        <v>33.49</v>
      </c>
      <c r="L73" s="24">
        <f t="shared" si="32"/>
        <v>34.64</v>
      </c>
      <c r="M73" s="24">
        <f t="shared" ref="M73:Q77" si="35">L73</f>
        <v>34.64</v>
      </c>
      <c r="N73" s="24">
        <f t="shared" si="35"/>
        <v>34.64</v>
      </c>
      <c r="O73" s="24">
        <f t="shared" si="35"/>
        <v>34.64</v>
      </c>
      <c r="P73" s="24">
        <f t="shared" si="35"/>
        <v>34.64</v>
      </c>
      <c r="Q73" s="24">
        <f t="shared" si="35"/>
        <v>34.64</v>
      </c>
      <c r="R73" s="32"/>
      <c r="S73" s="32"/>
      <c r="T73" s="32"/>
      <c r="U73" s="32"/>
      <c r="V73" s="32"/>
      <c r="W73" s="32"/>
      <c r="X73" s="32"/>
    </row>
    <row r="74" spans="1:24" ht="12.75" customHeight="1">
      <c r="A74" s="133" t="s">
        <v>155</v>
      </c>
      <c r="B74" s="24">
        <f t="shared" si="31"/>
        <v>26.620000000000005</v>
      </c>
      <c r="C74" s="24">
        <v>26.33</v>
      </c>
      <c r="D74" s="24">
        <v>25.53</v>
      </c>
      <c r="E74" s="24">
        <v>28.08</v>
      </c>
      <c r="F74" s="24">
        <v>26.69</v>
      </c>
      <c r="G74" s="24">
        <f t="shared" si="34"/>
        <v>26.959148936170212</v>
      </c>
      <c r="H74" s="133">
        <v>27.84</v>
      </c>
      <c r="I74" s="24">
        <v>27.98</v>
      </c>
      <c r="J74" s="24">
        <v>28.43</v>
      </c>
      <c r="K74" s="24">
        <v>27.78</v>
      </c>
      <c r="L74" s="24">
        <f t="shared" si="32"/>
        <v>28.43</v>
      </c>
      <c r="M74" s="24">
        <f t="shared" si="35"/>
        <v>28.43</v>
      </c>
      <c r="N74" s="24">
        <f t="shared" si="35"/>
        <v>28.43</v>
      </c>
      <c r="O74" s="24">
        <f t="shared" si="35"/>
        <v>28.43</v>
      </c>
      <c r="P74" s="24">
        <f t="shared" si="35"/>
        <v>28.43</v>
      </c>
      <c r="Q74" s="24">
        <f t="shared" si="35"/>
        <v>28.43</v>
      </c>
      <c r="R74" s="32"/>
      <c r="S74" s="32"/>
      <c r="T74" s="32"/>
      <c r="U74" s="32"/>
      <c r="V74" s="32"/>
      <c r="W74" s="32"/>
      <c r="X74" s="32"/>
    </row>
    <row r="75" spans="1:24" ht="12.75" customHeight="1">
      <c r="A75" s="132" t="s">
        <v>156</v>
      </c>
      <c r="B75" s="28">
        <f t="shared" si="31"/>
        <v>72.049634146341475</v>
      </c>
      <c r="C75" s="28">
        <v>72.61</v>
      </c>
      <c r="D75" s="28">
        <v>66.45</v>
      </c>
      <c r="E75" s="28">
        <v>58.44</v>
      </c>
      <c r="F75" s="28">
        <v>67.03</v>
      </c>
      <c r="G75" s="28">
        <f t="shared" si="34"/>
        <v>55.164886363636349</v>
      </c>
      <c r="H75" s="28">
        <f>H16/H44</f>
        <v>52.793720930232553</v>
      </c>
      <c r="I75" s="28">
        <v>48.11</v>
      </c>
      <c r="J75" s="28">
        <v>48.58</v>
      </c>
      <c r="K75" s="28">
        <v>51.07</v>
      </c>
      <c r="L75" s="28">
        <f t="shared" si="32"/>
        <v>48.58</v>
      </c>
      <c r="M75" s="28">
        <f>L75</f>
        <v>48.58</v>
      </c>
      <c r="N75" s="28">
        <f t="shared" si="35"/>
        <v>48.58</v>
      </c>
      <c r="O75" s="28">
        <f t="shared" si="35"/>
        <v>48.58</v>
      </c>
      <c r="P75" s="28">
        <f t="shared" si="35"/>
        <v>48.58</v>
      </c>
      <c r="Q75" s="28">
        <f t="shared" si="35"/>
        <v>48.58</v>
      </c>
      <c r="R75" s="32"/>
      <c r="S75" s="32"/>
      <c r="T75" s="32"/>
      <c r="U75" s="32"/>
      <c r="V75" s="32"/>
      <c r="W75" s="32"/>
      <c r="X75" s="32"/>
    </row>
    <row r="76" spans="1:24" ht="12.75" customHeight="1">
      <c r="A76" s="133" t="s">
        <v>157</v>
      </c>
      <c r="B76" s="144">
        <f t="shared" si="31"/>
        <v>129.12645161290322</v>
      </c>
      <c r="C76" s="144">
        <v>106.14</v>
      </c>
      <c r="D76" s="144">
        <v>100.11</v>
      </c>
      <c r="E76" s="144">
        <v>84.33</v>
      </c>
      <c r="F76" s="144">
        <v>102.6</v>
      </c>
      <c r="G76" s="144">
        <f t="shared" si="34"/>
        <v>85.623783783783765</v>
      </c>
      <c r="H76" s="145">
        <v>79.11</v>
      </c>
      <c r="I76" s="144">
        <f>H76*H102/I102</f>
        <v>74.490437956204374</v>
      </c>
      <c r="J76" s="144">
        <v>68.650000000000006</v>
      </c>
      <c r="K76" s="144">
        <v>76.2</v>
      </c>
      <c r="L76" s="144">
        <f t="shared" si="32"/>
        <v>68.650000000000006</v>
      </c>
      <c r="M76" s="144">
        <f>L76</f>
        <v>68.650000000000006</v>
      </c>
      <c r="N76" s="144">
        <f t="shared" si="35"/>
        <v>68.650000000000006</v>
      </c>
      <c r="O76" s="144">
        <f t="shared" si="35"/>
        <v>68.650000000000006</v>
      </c>
      <c r="P76" s="144">
        <f t="shared" si="35"/>
        <v>68.650000000000006</v>
      </c>
      <c r="Q76" s="144">
        <f t="shared" si="35"/>
        <v>68.650000000000006</v>
      </c>
      <c r="R76" s="32"/>
      <c r="S76" s="32"/>
      <c r="T76" s="32"/>
      <c r="U76" s="32"/>
      <c r="V76" s="32"/>
      <c r="W76" s="32"/>
      <c r="X76" s="32"/>
    </row>
    <row r="77" spans="1:24" ht="12.75" customHeight="1">
      <c r="A77" s="133" t="s">
        <v>158</v>
      </c>
      <c r="B77" s="144">
        <f t="shared" si="31"/>
        <v>37.355882352941173</v>
      </c>
      <c r="C77" s="144">
        <v>39.65</v>
      </c>
      <c r="D77" s="144">
        <v>39.92</v>
      </c>
      <c r="E77" s="144">
        <v>35.4</v>
      </c>
      <c r="F77" s="144">
        <v>37.869999999999997</v>
      </c>
      <c r="G77" s="144">
        <f t="shared" si="34"/>
        <v>33.067254901960787</v>
      </c>
      <c r="H77" s="145">
        <v>29.91</v>
      </c>
      <c r="I77" s="144">
        <f>H77*H102/I102</f>
        <v>28.163430656934306</v>
      </c>
      <c r="J77" s="144">
        <v>32.950000000000003</v>
      </c>
      <c r="K77" s="144">
        <v>31.36</v>
      </c>
      <c r="L77" s="144">
        <f>I77</f>
        <v>28.163430656934306</v>
      </c>
      <c r="M77" s="144">
        <f>L77</f>
        <v>28.163430656934306</v>
      </c>
      <c r="N77" s="144">
        <f t="shared" si="35"/>
        <v>28.163430656934306</v>
      </c>
      <c r="O77" s="144">
        <f t="shared" si="35"/>
        <v>28.163430656934306</v>
      </c>
      <c r="P77" s="144">
        <f t="shared" si="35"/>
        <v>28.163430656934306</v>
      </c>
      <c r="Q77" s="144">
        <f t="shared" si="35"/>
        <v>28.163430656934306</v>
      </c>
      <c r="R77" s="32"/>
      <c r="S77" s="32"/>
      <c r="T77" s="32"/>
      <c r="U77" s="32"/>
      <c r="V77" s="32"/>
      <c r="W77" s="32"/>
      <c r="X77" s="32"/>
    </row>
    <row r="78" spans="1:24" ht="12.75" customHeight="1"/>
    <row r="79" spans="1:24" ht="12.75" customHeight="1">
      <c r="A79" s="38"/>
      <c r="B79" s="24"/>
      <c r="C79" s="24"/>
      <c r="D79" s="34"/>
      <c r="E79" s="34"/>
      <c r="F79" s="34"/>
      <c r="G79" s="34"/>
      <c r="H79" s="34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2.75" customHeight="1">
      <c r="A80" s="35" t="s">
        <v>235</v>
      </c>
      <c r="B80" s="137"/>
      <c r="C80" s="137"/>
      <c r="D80" s="141"/>
      <c r="E80" s="141"/>
      <c r="F80" s="141"/>
      <c r="G80" s="141"/>
      <c r="H80" s="141"/>
      <c r="I80" s="14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2.75" customHeight="1">
      <c r="A81" s="27" t="s">
        <v>152</v>
      </c>
      <c r="B81" s="28"/>
      <c r="C81" s="28">
        <v>15.63</v>
      </c>
      <c r="D81" s="33"/>
      <c r="E81" s="33"/>
      <c r="F81" s="33"/>
      <c r="G81" s="33"/>
      <c r="H81" s="33">
        <v>14.85</v>
      </c>
      <c r="I81" s="33"/>
      <c r="J81" s="37"/>
      <c r="K81" s="37"/>
      <c r="L81" s="32"/>
      <c r="M81" s="32"/>
      <c r="N81" s="37"/>
      <c r="O81" s="37"/>
      <c r="P81" s="32"/>
      <c r="Q81" s="32"/>
      <c r="R81" s="37"/>
      <c r="S81" s="37"/>
      <c r="T81" s="32"/>
      <c r="U81" s="32"/>
      <c r="V81" s="37"/>
      <c r="W81" s="37"/>
      <c r="X81" s="32"/>
    </row>
    <row r="82" spans="1:24" ht="12.75" customHeight="1">
      <c r="A82" s="22" t="s">
        <v>153</v>
      </c>
      <c r="B82" s="24"/>
      <c r="C82" s="24">
        <v>10</v>
      </c>
      <c r="D82" s="34"/>
      <c r="E82" s="34"/>
      <c r="F82" s="34"/>
      <c r="G82" s="34"/>
      <c r="H82" s="34">
        <v>10.11</v>
      </c>
      <c r="I82" s="34"/>
      <c r="J82" s="37"/>
      <c r="K82" s="37"/>
      <c r="L82" s="32"/>
      <c r="M82" s="32"/>
      <c r="N82" s="37"/>
      <c r="O82" s="37"/>
      <c r="P82" s="32"/>
      <c r="Q82" s="32"/>
      <c r="R82" s="37"/>
      <c r="S82" s="37"/>
      <c r="T82" s="32"/>
      <c r="U82" s="32"/>
      <c r="V82" s="37"/>
      <c r="W82" s="37"/>
      <c r="X82" s="32"/>
    </row>
    <row r="83" spans="1:24" ht="12.75" customHeight="1">
      <c r="A83" s="22" t="s">
        <v>154</v>
      </c>
      <c r="B83" s="24"/>
      <c r="C83" s="24">
        <v>36.979999999999997</v>
      </c>
      <c r="D83" s="34"/>
      <c r="E83" s="34"/>
      <c r="F83" s="34"/>
      <c r="G83" s="34"/>
      <c r="H83" s="34">
        <v>33.46</v>
      </c>
      <c r="I83" s="34"/>
      <c r="J83" s="37"/>
      <c r="K83" s="37"/>
      <c r="L83" s="32"/>
      <c r="M83" s="32"/>
      <c r="N83" s="37"/>
      <c r="O83" s="37"/>
      <c r="P83" s="32"/>
      <c r="Q83" s="32"/>
      <c r="R83" s="37"/>
      <c r="S83" s="37"/>
      <c r="T83" s="32"/>
      <c r="U83" s="32"/>
      <c r="V83" s="37"/>
      <c r="W83" s="37"/>
      <c r="X83" s="32"/>
    </row>
    <row r="84" spans="1:24" ht="12.75" customHeight="1">
      <c r="A84" s="22" t="s">
        <v>155</v>
      </c>
      <c r="B84" s="24"/>
      <c r="C84" s="24">
        <v>26.62</v>
      </c>
      <c r="D84" s="34"/>
      <c r="E84" s="34"/>
      <c r="F84" s="34"/>
      <c r="G84" s="34"/>
      <c r="H84" s="34">
        <v>27.38</v>
      </c>
      <c r="I84" s="34"/>
      <c r="J84" s="37"/>
      <c r="K84" s="37"/>
      <c r="L84" s="32"/>
      <c r="M84" s="32"/>
      <c r="N84" s="37"/>
      <c r="O84" s="37"/>
      <c r="P84" s="32"/>
      <c r="Q84" s="32"/>
      <c r="R84" s="37"/>
      <c r="S84" s="37"/>
      <c r="T84" s="32"/>
      <c r="U84" s="32"/>
      <c r="V84" s="37"/>
      <c r="W84" s="37"/>
      <c r="X84" s="32"/>
    </row>
    <row r="85" spans="1:24" ht="12.75" customHeight="1">
      <c r="A85" s="27" t="s">
        <v>156</v>
      </c>
      <c r="B85" s="28"/>
      <c r="C85" s="28">
        <v>72.3</v>
      </c>
      <c r="D85" s="33"/>
      <c r="E85" s="33"/>
      <c r="F85" s="33"/>
      <c r="G85" s="33"/>
      <c r="H85" s="33">
        <v>53.99</v>
      </c>
      <c r="I85" s="33"/>
      <c r="J85" s="37"/>
      <c r="K85" s="37"/>
      <c r="L85" s="32"/>
      <c r="M85" s="32"/>
      <c r="N85" s="37"/>
      <c r="O85" s="37"/>
      <c r="P85" s="32"/>
      <c r="Q85" s="32"/>
      <c r="R85" s="37"/>
      <c r="S85" s="37"/>
      <c r="T85" s="32"/>
      <c r="U85" s="32"/>
      <c r="V85" s="37"/>
      <c r="W85" s="37"/>
      <c r="X85" s="32"/>
    </row>
    <row r="86" spans="1:24" ht="12.75" customHeight="1">
      <c r="A86" s="22" t="s">
        <v>157</v>
      </c>
      <c r="B86" s="24"/>
      <c r="C86" s="24">
        <v>115.16</v>
      </c>
      <c r="D86" s="34"/>
      <c r="E86" s="34"/>
      <c r="F86" s="34"/>
      <c r="G86" s="34"/>
      <c r="H86" s="34">
        <v>82.24</v>
      </c>
      <c r="I86" s="34"/>
      <c r="J86" s="37"/>
      <c r="K86" s="37"/>
      <c r="L86" s="32"/>
      <c r="M86" s="32"/>
      <c r="N86" s="37"/>
      <c r="O86" s="37"/>
      <c r="P86" s="32"/>
      <c r="Q86" s="32"/>
      <c r="R86" s="37"/>
      <c r="S86" s="37"/>
      <c r="T86" s="32"/>
      <c r="U86" s="32"/>
      <c r="V86" s="37"/>
      <c r="W86" s="37"/>
      <c r="X86" s="32"/>
    </row>
    <row r="87" spans="1:24" ht="12.75" customHeight="1">
      <c r="A87" s="22" t="s">
        <v>158</v>
      </c>
      <c r="B87" s="24"/>
      <c r="C87" s="24">
        <v>38.479999999999997</v>
      </c>
      <c r="D87" s="34"/>
      <c r="E87" s="34"/>
      <c r="F87" s="34"/>
      <c r="G87" s="34"/>
      <c r="H87" s="34">
        <v>31.57</v>
      </c>
      <c r="I87" s="34"/>
      <c r="J87" s="37"/>
      <c r="K87" s="37"/>
      <c r="L87" s="32"/>
      <c r="M87" s="32"/>
      <c r="N87" s="37"/>
      <c r="O87" s="37"/>
      <c r="P87" s="32"/>
      <c r="Q87" s="32"/>
      <c r="R87" s="37"/>
      <c r="S87" s="37"/>
      <c r="T87" s="32"/>
      <c r="U87" s="32"/>
      <c r="V87" s="37"/>
      <c r="W87" s="37"/>
      <c r="X87" s="32"/>
    </row>
    <row r="88" spans="1:24" ht="12.75" customHeight="1"/>
    <row r="89" spans="1:24" ht="12.75" customHeight="1">
      <c r="A89" s="22"/>
      <c r="B89" s="24"/>
      <c r="C89" s="24"/>
      <c r="D89" s="34"/>
      <c r="E89" s="34"/>
      <c r="F89" s="34"/>
      <c r="G89" s="34"/>
      <c r="H89" s="36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2.75" customHeight="1">
      <c r="A90" s="35" t="s">
        <v>236</v>
      </c>
      <c r="B90" s="137"/>
      <c r="C90" s="137"/>
      <c r="D90" s="141"/>
      <c r="E90" s="141"/>
      <c r="F90" s="141"/>
      <c r="G90" s="141"/>
      <c r="H90" s="141"/>
      <c r="I90" s="141"/>
      <c r="J90" s="39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2.75" customHeight="1">
      <c r="A91" s="27" t="s">
        <v>152</v>
      </c>
      <c r="B91" s="40">
        <f t="shared" ref="B91:Q97" si="36">B51-B71</f>
        <v>5.1215303983228484</v>
      </c>
      <c r="C91" s="40">
        <f t="shared" si="36"/>
        <v>6.3146868250539914</v>
      </c>
      <c r="D91" s="40">
        <f t="shared" si="36"/>
        <v>5.8648132780082971</v>
      </c>
      <c r="E91" s="40">
        <f t="shared" si="36"/>
        <v>5.18</v>
      </c>
      <c r="F91" s="40">
        <f t="shared" si="36"/>
        <v>5.6600000000000019</v>
      </c>
      <c r="G91" s="40">
        <f t="shared" si="36"/>
        <v>5.6831799163179912</v>
      </c>
      <c r="H91" s="40">
        <f t="shared" si="36"/>
        <v>5.2726817042606502</v>
      </c>
      <c r="I91" s="40">
        <f t="shared" si="36"/>
        <v>5.1493216630196965</v>
      </c>
      <c r="J91" s="40">
        <f t="shared" si="36"/>
        <v>4.8600000000000012</v>
      </c>
      <c r="K91" s="40">
        <f t="shared" si="36"/>
        <v>5.27</v>
      </c>
      <c r="L91" s="40">
        <f t="shared" si="36"/>
        <v>5.5055384615384622</v>
      </c>
      <c r="M91" s="40">
        <f t="shared" si="36"/>
        <v>5.5055384615384622</v>
      </c>
      <c r="N91" s="40">
        <f t="shared" si="36"/>
        <v>5.5055384615384622</v>
      </c>
      <c r="O91" s="40">
        <f t="shared" si="36"/>
        <v>5.5055384615384622</v>
      </c>
      <c r="P91" s="40">
        <f t="shared" si="36"/>
        <v>5.5055384615384622</v>
      </c>
      <c r="Q91" s="40">
        <f t="shared" si="36"/>
        <v>4.5297615384615373</v>
      </c>
      <c r="R91" s="37"/>
      <c r="S91" s="37"/>
      <c r="T91" s="32"/>
      <c r="U91" s="32"/>
      <c r="V91" s="37"/>
      <c r="W91" s="37"/>
      <c r="X91" s="32"/>
    </row>
    <row r="92" spans="1:24" ht="12.75" customHeight="1">
      <c r="A92" s="22" t="s">
        <v>153</v>
      </c>
      <c r="B92" s="36">
        <f t="shared" si="36"/>
        <v>3.0658543417366921</v>
      </c>
      <c r="C92" s="36">
        <f t="shared" si="36"/>
        <v>4.4400000000000013</v>
      </c>
      <c r="D92" s="36">
        <f t="shared" si="36"/>
        <v>3.2300000000000004</v>
      </c>
      <c r="E92" s="36">
        <f t="shared" si="36"/>
        <v>3.4000000000000004</v>
      </c>
      <c r="F92" s="36">
        <f t="shared" si="36"/>
        <v>3.5700000000000003</v>
      </c>
      <c r="G92" s="36">
        <f t="shared" si="36"/>
        <v>3.7641935483870963</v>
      </c>
      <c r="H92" s="36">
        <f t="shared" si="36"/>
        <v>3.1100000000000012</v>
      </c>
      <c r="I92" s="36">
        <f t="shared" si="36"/>
        <v>3.3900000000000006</v>
      </c>
      <c r="J92" s="36">
        <f t="shared" si="36"/>
        <v>3.59</v>
      </c>
      <c r="K92" s="36">
        <f t="shared" si="36"/>
        <v>3.4799999999999986</v>
      </c>
      <c r="L92" s="36">
        <f t="shared" si="36"/>
        <v>3.59</v>
      </c>
      <c r="M92" s="36">
        <f t="shared" si="36"/>
        <v>3.59</v>
      </c>
      <c r="N92" s="36">
        <f t="shared" si="36"/>
        <v>3.59</v>
      </c>
      <c r="O92" s="36">
        <f t="shared" si="36"/>
        <v>3.59</v>
      </c>
      <c r="P92" s="36">
        <f t="shared" si="36"/>
        <v>3.59</v>
      </c>
      <c r="Q92" s="36">
        <f t="shared" si="36"/>
        <v>2.9284999999999997</v>
      </c>
      <c r="R92" s="37"/>
      <c r="S92" s="37"/>
      <c r="T92" s="32"/>
      <c r="U92" s="32"/>
      <c r="V92" s="37"/>
      <c r="W92" s="37"/>
      <c r="X92" s="32"/>
    </row>
    <row r="93" spans="1:24" ht="12.75" customHeight="1">
      <c r="A93" s="22" t="s">
        <v>154</v>
      </c>
      <c r="B93" s="36">
        <f t="shared" si="36"/>
        <v>11.989999999999995</v>
      </c>
      <c r="C93" s="36">
        <f t="shared" si="36"/>
        <v>11.25</v>
      </c>
      <c r="D93" s="36">
        <f t="shared" si="36"/>
        <v>13.32</v>
      </c>
      <c r="E93" s="36">
        <f t="shared" si="36"/>
        <v>11.68</v>
      </c>
      <c r="F93" s="36">
        <f t="shared" si="36"/>
        <v>12.29</v>
      </c>
      <c r="G93" s="36">
        <f t="shared" si="36"/>
        <v>13.483728813559324</v>
      </c>
      <c r="H93" s="36">
        <f t="shared" si="36"/>
        <v>12.75</v>
      </c>
      <c r="I93" s="36">
        <f t="shared" si="36"/>
        <v>13.280000000000001</v>
      </c>
      <c r="J93" s="36">
        <f t="shared" si="36"/>
        <v>10.950000000000003</v>
      </c>
      <c r="K93" s="36">
        <f t="shared" si="36"/>
        <v>12.689999999999998</v>
      </c>
      <c r="L93" s="36">
        <f t="shared" si="36"/>
        <v>10.950000000000003</v>
      </c>
      <c r="M93" s="36">
        <f t="shared" si="36"/>
        <v>10.950000000000003</v>
      </c>
      <c r="N93" s="36">
        <f t="shared" si="36"/>
        <v>10.950000000000003</v>
      </c>
      <c r="O93" s="36">
        <f t="shared" si="36"/>
        <v>10.950000000000003</v>
      </c>
      <c r="P93" s="36">
        <f t="shared" si="36"/>
        <v>10.950000000000003</v>
      </c>
      <c r="Q93" s="36">
        <f t="shared" si="36"/>
        <v>8.6705000000000041</v>
      </c>
      <c r="R93" s="37"/>
      <c r="S93" s="37"/>
      <c r="T93" s="32"/>
      <c r="U93" s="32"/>
      <c r="V93" s="37"/>
      <c r="W93" s="37"/>
      <c r="X93" s="32"/>
    </row>
    <row r="94" spans="1:24" ht="12.75" customHeight="1">
      <c r="A94" s="22" t="s">
        <v>155</v>
      </c>
      <c r="B94" s="36">
        <f t="shared" si="36"/>
        <v>10.432413793103436</v>
      </c>
      <c r="C94" s="36">
        <f t="shared" si="36"/>
        <v>11.760000000000005</v>
      </c>
      <c r="D94" s="36">
        <f t="shared" si="36"/>
        <v>13.019999999999996</v>
      </c>
      <c r="E94" s="36">
        <f t="shared" si="36"/>
        <v>9.7800000000000011</v>
      </c>
      <c r="F94" s="36">
        <f t="shared" si="36"/>
        <v>11.209999999999997</v>
      </c>
      <c r="G94" s="36">
        <f t="shared" si="36"/>
        <v>11.079574468085116</v>
      </c>
      <c r="H94" s="36">
        <f t="shared" si="36"/>
        <v>11.52</v>
      </c>
      <c r="I94" s="36">
        <f t="shared" si="36"/>
        <v>9.6900000000000013</v>
      </c>
      <c r="J94" s="36">
        <f t="shared" si="36"/>
        <v>8.8699999999999974</v>
      </c>
      <c r="K94" s="36">
        <f t="shared" si="36"/>
        <v>10.310000000000002</v>
      </c>
      <c r="L94" s="36">
        <f t="shared" si="36"/>
        <v>8.8699999999999974</v>
      </c>
      <c r="M94" s="36">
        <f t="shared" si="36"/>
        <v>8.8699999999999974</v>
      </c>
      <c r="N94" s="36">
        <f t="shared" si="36"/>
        <v>8.8699999999999974</v>
      </c>
      <c r="O94" s="36">
        <f t="shared" si="36"/>
        <v>8.8699999999999974</v>
      </c>
      <c r="P94" s="36">
        <f t="shared" si="36"/>
        <v>8.8699999999999974</v>
      </c>
      <c r="Q94" s="36">
        <f t="shared" si="36"/>
        <v>7.0049999999999955</v>
      </c>
      <c r="R94" s="37"/>
      <c r="S94" s="37"/>
      <c r="T94" s="32"/>
      <c r="U94" s="32"/>
      <c r="V94" s="37"/>
      <c r="W94" s="37"/>
      <c r="X94" s="32"/>
    </row>
    <row r="95" spans="1:24" ht="12.75" customHeight="1">
      <c r="A95" s="27" t="s">
        <v>156</v>
      </c>
      <c r="B95" s="40">
        <f t="shared" si="36"/>
        <v>2.5156097560975468</v>
      </c>
      <c r="C95" s="40">
        <f t="shared" si="36"/>
        <v>0.51402061855671377</v>
      </c>
      <c r="D95" s="40">
        <f t="shared" si="36"/>
        <v>1.1799999999999926</v>
      </c>
      <c r="E95" s="40">
        <f t="shared" si="36"/>
        <v>7.5300000000000011</v>
      </c>
      <c r="F95" s="40">
        <f t="shared" si="36"/>
        <v>2.9599999999999937</v>
      </c>
      <c r="G95" s="40">
        <f t="shared" si="36"/>
        <v>7.1495454545454606</v>
      </c>
      <c r="H95" s="40">
        <f t="shared" si="36"/>
        <v>6.4055813953488396</v>
      </c>
      <c r="I95" s="40">
        <f t="shared" si="36"/>
        <v>4.1158064516128974</v>
      </c>
      <c r="J95" s="40">
        <f t="shared" si="36"/>
        <v>2.6000000000000014</v>
      </c>
      <c r="K95" s="40">
        <f t="shared" si="36"/>
        <v>4.8900000000000006</v>
      </c>
      <c r="L95" s="40">
        <f t="shared" si="36"/>
        <v>2.6000000000000014</v>
      </c>
      <c r="M95" s="40">
        <f t="shared" si="36"/>
        <v>2.6000000000000014</v>
      </c>
      <c r="N95" s="40">
        <f t="shared" si="36"/>
        <v>2.6000000000000014</v>
      </c>
      <c r="O95" s="40">
        <f t="shared" si="36"/>
        <v>2.6000000000000014</v>
      </c>
      <c r="P95" s="40">
        <f t="shared" si="36"/>
        <v>2.6000000000000014</v>
      </c>
      <c r="Q95" s="40">
        <f t="shared" si="36"/>
        <v>2.6000000000000014</v>
      </c>
      <c r="R95" s="37"/>
      <c r="S95" s="37"/>
      <c r="T95" s="32"/>
      <c r="U95" s="32"/>
      <c r="V95" s="37"/>
      <c r="W95" s="37"/>
      <c r="X95" s="32"/>
    </row>
    <row r="96" spans="1:24" ht="12.75" customHeight="1">
      <c r="A96" s="22" t="s">
        <v>157</v>
      </c>
      <c r="B96" s="145">
        <f t="shared" si="36"/>
        <v>-22.000645161290336</v>
      </c>
      <c r="C96" s="145">
        <f t="shared" si="36"/>
        <v>-10.379999999999995</v>
      </c>
      <c r="D96" s="145">
        <f t="shared" si="36"/>
        <v>-11.280000000000001</v>
      </c>
      <c r="E96" s="145">
        <f t="shared" si="36"/>
        <v>3.6400000000000006</v>
      </c>
      <c r="F96" s="145">
        <f t="shared" si="36"/>
        <v>-8.789999999999992</v>
      </c>
      <c r="G96" s="145">
        <f t="shared" si="36"/>
        <v>3.7091891891892033</v>
      </c>
      <c r="H96" s="145">
        <f t="shared" si="36"/>
        <v>-0.12000000000000455</v>
      </c>
      <c r="I96" s="145">
        <f t="shared" si="36"/>
        <v>-5.9604379562043732</v>
      </c>
      <c r="J96" s="145">
        <f t="shared" si="36"/>
        <v>-4.0200000000000102</v>
      </c>
      <c r="K96" s="145">
        <f t="shared" si="36"/>
        <v>-1.1599999999999966</v>
      </c>
      <c r="L96" s="145">
        <f t="shared" si="36"/>
        <v>-6.0200000000000102</v>
      </c>
      <c r="M96" s="145">
        <f t="shared" si="36"/>
        <v>-3.0200000000000102</v>
      </c>
      <c r="N96" s="145">
        <f t="shared" si="36"/>
        <v>-3.0200000000000102</v>
      </c>
      <c r="O96" s="145">
        <f t="shared" si="36"/>
        <v>-3.0200000000000102</v>
      </c>
      <c r="P96" s="145">
        <f t="shared" si="36"/>
        <v>-3.0200000000000102</v>
      </c>
      <c r="Q96" s="145">
        <f t="shared" si="36"/>
        <v>-3.0200000000000102</v>
      </c>
      <c r="R96" s="37"/>
      <c r="S96" s="37"/>
      <c r="T96" s="32"/>
      <c r="U96" s="32"/>
      <c r="V96" s="37"/>
      <c r="W96" s="37"/>
      <c r="X96" s="32"/>
    </row>
    <row r="97" spans="1:24" ht="12.75" customHeight="1">
      <c r="A97" s="22" t="s">
        <v>158</v>
      </c>
      <c r="B97" s="145">
        <f t="shared" si="36"/>
        <v>17.417647058823533</v>
      </c>
      <c r="C97" s="145">
        <f t="shared" si="36"/>
        <v>11.300000000000004</v>
      </c>
      <c r="D97" s="145">
        <f t="shared" si="36"/>
        <v>10.11</v>
      </c>
      <c r="E97" s="145">
        <f t="shared" si="36"/>
        <v>10.990000000000002</v>
      </c>
      <c r="F97" s="145">
        <f t="shared" si="36"/>
        <v>12.590000000000003</v>
      </c>
      <c r="G97" s="145">
        <f t="shared" si="36"/>
        <v>9.6454901960784198</v>
      </c>
      <c r="H97" s="145">
        <f t="shared" si="36"/>
        <v>12.080000000000002</v>
      </c>
      <c r="I97" s="145">
        <f t="shared" si="36"/>
        <v>10.606569343065697</v>
      </c>
      <c r="J97" s="145">
        <f t="shared" si="36"/>
        <v>7.759999999999998</v>
      </c>
      <c r="K97" s="145">
        <f t="shared" si="36"/>
        <v>9.64</v>
      </c>
      <c r="L97" s="145">
        <f t="shared" si="36"/>
        <v>12.546569343065695</v>
      </c>
      <c r="M97" s="145">
        <f t="shared" si="36"/>
        <v>12.546569343065695</v>
      </c>
      <c r="N97" s="145">
        <f t="shared" si="36"/>
        <v>12.546569343065695</v>
      </c>
      <c r="O97" s="145">
        <f t="shared" si="36"/>
        <v>12.546569343065695</v>
      </c>
      <c r="P97" s="145">
        <f t="shared" si="36"/>
        <v>12.546569343065695</v>
      </c>
      <c r="Q97" s="145">
        <f t="shared" si="36"/>
        <v>12.546569343065695</v>
      </c>
      <c r="R97" s="37"/>
      <c r="S97" s="37"/>
      <c r="T97" s="32"/>
      <c r="U97" s="32"/>
      <c r="V97" s="37"/>
      <c r="W97" s="37"/>
      <c r="X97" s="32"/>
    </row>
    <row r="98" spans="1:24" ht="12.75" customHeight="1"/>
    <row r="99" spans="1:24" ht="12.75" customHeight="1">
      <c r="A99" s="38"/>
      <c r="B99" s="24"/>
      <c r="C99" s="24"/>
      <c r="D99" s="34"/>
      <c r="E99" s="34"/>
      <c r="F99" s="34"/>
      <c r="G99" s="34"/>
      <c r="H99" s="34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2.75" customHeight="1"/>
    <row r="101" spans="1:24" ht="12.75" customHeight="1"/>
    <row r="102" spans="1:24" ht="12.75" customHeight="1">
      <c r="A102" s="21" t="s">
        <v>164</v>
      </c>
      <c r="B102" s="21">
        <v>1.1100000000000001</v>
      </c>
      <c r="C102" s="21">
        <v>1.07</v>
      </c>
      <c r="D102" s="21">
        <v>1.08</v>
      </c>
      <c r="E102" s="21">
        <v>1.17</v>
      </c>
      <c r="F102" s="41">
        <f t="shared" ref="F102:F115" si="37">AVERAGE(B102:E102)</f>
        <v>1.1074999999999999</v>
      </c>
      <c r="G102" s="21">
        <v>1.27</v>
      </c>
      <c r="H102" s="146">
        <v>1.29</v>
      </c>
      <c r="I102" s="21">
        <v>1.37</v>
      </c>
      <c r="J102" s="21">
        <v>1.39</v>
      </c>
      <c r="K102" s="41">
        <f>AVERAGE(G102:J102)</f>
        <v>1.33</v>
      </c>
      <c r="L102" s="21">
        <v>1.39</v>
      </c>
      <c r="M102" s="21">
        <v>1.33</v>
      </c>
      <c r="N102" s="41"/>
      <c r="O102" s="41"/>
    </row>
    <row r="103" spans="1:24" ht="12.75" customHeight="1">
      <c r="A103" s="21" t="s">
        <v>165</v>
      </c>
      <c r="B103" s="21"/>
      <c r="C103" s="21"/>
      <c r="D103" s="21"/>
      <c r="E103" s="21"/>
      <c r="F103" s="41"/>
      <c r="G103" s="21"/>
      <c r="H103" s="146"/>
      <c r="I103" s="21"/>
      <c r="J103" s="41"/>
      <c r="K103" s="41"/>
      <c r="L103" s="41"/>
      <c r="M103" s="41"/>
      <c r="N103" s="41"/>
      <c r="O103" s="41"/>
    </row>
    <row r="104" spans="1:24" ht="12.75" customHeight="1">
      <c r="A104" s="41" t="s">
        <v>166</v>
      </c>
      <c r="B104" s="41">
        <v>143</v>
      </c>
      <c r="C104" s="41">
        <v>120</v>
      </c>
      <c r="D104" s="41">
        <v>120</v>
      </c>
      <c r="E104" s="41">
        <v>119</v>
      </c>
      <c r="F104" s="41">
        <f t="shared" si="37"/>
        <v>125.5</v>
      </c>
      <c r="G104" s="41">
        <v>117</v>
      </c>
      <c r="H104" s="147">
        <v>110</v>
      </c>
      <c r="I104" s="41">
        <v>93</v>
      </c>
      <c r="J104" s="148">
        <v>89</v>
      </c>
      <c r="K104" s="41">
        <f>AVERAGE(G104:J104)</f>
        <v>102.25</v>
      </c>
      <c r="L104" s="41">
        <v>81</v>
      </c>
      <c r="M104" s="41">
        <v>84</v>
      </c>
      <c r="N104" s="41">
        <v>84</v>
      </c>
      <c r="O104" s="41">
        <v>84</v>
      </c>
    </row>
    <row r="105" spans="1:24" ht="12.75" customHeight="1">
      <c r="A105" s="41" t="s">
        <v>237</v>
      </c>
      <c r="B105" s="41">
        <v>116</v>
      </c>
      <c r="C105" s="41">
        <v>100</v>
      </c>
      <c r="D105" s="41">
        <v>100</v>
      </c>
      <c r="E105" s="41">
        <v>99</v>
      </c>
      <c r="F105" s="41">
        <f t="shared" si="37"/>
        <v>103.75</v>
      </c>
      <c r="G105" s="41">
        <v>99</v>
      </c>
      <c r="H105" s="147">
        <v>93</v>
      </c>
      <c r="I105" s="41">
        <v>73</v>
      </c>
      <c r="J105" s="148">
        <v>71</v>
      </c>
      <c r="K105" s="41">
        <f>AVERAGE(G105:J105)</f>
        <v>84</v>
      </c>
      <c r="L105" s="41">
        <v>69</v>
      </c>
      <c r="M105" s="41">
        <v>72</v>
      </c>
      <c r="N105" s="41">
        <v>72</v>
      </c>
      <c r="O105" s="41">
        <v>72</v>
      </c>
    </row>
    <row r="106" spans="1:24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24" ht="12.75" customHeight="1">
      <c r="A107" s="41" t="s">
        <v>167</v>
      </c>
      <c r="B107" s="149">
        <v>124.35</v>
      </c>
      <c r="C107" s="149">
        <v>115.4</v>
      </c>
      <c r="D107" s="149">
        <v>113.66</v>
      </c>
      <c r="E107" s="149">
        <v>112.96</v>
      </c>
      <c r="F107" s="149">
        <f t="shared" si="37"/>
        <v>116.59249999999999</v>
      </c>
      <c r="G107" s="149">
        <v>108.45</v>
      </c>
      <c r="H107" s="150">
        <v>90.31</v>
      </c>
      <c r="I107" s="149">
        <v>84.33</v>
      </c>
      <c r="J107" s="151">
        <v>77.36</v>
      </c>
      <c r="K107" s="149">
        <f>AVERAGE(G107:J107)</f>
        <v>90.112499999999997</v>
      </c>
      <c r="L107" s="149">
        <v>78.650000000000006</v>
      </c>
      <c r="M107" s="149" t="s">
        <v>238</v>
      </c>
      <c r="N107" s="149" t="s">
        <v>239</v>
      </c>
      <c r="O107" s="149" t="s">
        <v>240</v>
      </c>
    </row>
    <row r="108" spans="1:24" ht="12.75" customHeight="1">
      <c r="A108" s="41" t="s">
        <v>241</v>
      </c>
      <c r="B108" s="149">
        <v>112.45</v>
      </c>
      <c r="C108" s="149">
        <v>101.06</v>
      </c>
      <c r="D108" s="149">
        <v>95.38</v>
      </c>
      <c r="E108" s="149">
        <v>96.83</v>
      </c>
      <c r="F108" s="149">
        <f t="shared" si="37"/>
        <v>101.42999999999999</v>
      </c>
      <c r="G108" s="149">
        <v>94.41</v>
      </c>
      <c r="H108" s="150">
        <v>83.36</v>
      </c>
      <c r="I108" s="149">
        <v>76.819999999999993</v>
      </c>
      <c r="J108" s="151">
        <v>72.599999999999994</v>
      </c>
      <c r="K108" s="149">
        <f>AVERAGE(G108:J108)</f>
        <v>81.797499999999985</v>
      </c>
      <c r="L108" s="149">
        <v>73.489999999999995</v>
      </c>
      <c r="M108" s="149">
        <v>76.7</v>
      </c>
      <c r="N108" s="149">
        <v>76.7</v>
      </c>
      <c r="O108" s="149">
        <v>76.7</v>
      </c>
    </row>
    <row r="109" spans="1:24" ht="12.75" customHeight="1">
      <c r="A109" s="41" t="s">
        <v>168</v>
      </c>
      <c r="B109" s="149"/>
      <c r="C109" s="149"/>
      <c r="D109" s="149"/>
      <c r="E109" s="149"/>
      <c r="F109" s="149"/>
      <c r="G109" s="149"/>
      <c r="H109" s="150"/>
      <c r="I109" s="149"/>
      <c r="J109" s="149"/>
      <c r="K109" s="149"/>
      <c r="L109" s="149"/>
      <c r="M109" s="149"/>
      <c r="N109" s="149"/>
      <c r="O109" s="149"/>
    </row>
    <row r="110" spans="1:24" ht="12.75" customHeight="1">
      <c r="A110" s="41" t="s">
        <v>169</v>
      </c>
      <c r="B110" s="152">
        <f>B104-B56</f>
        <v>35.874193548387112</v>
      </c>
      <c r="C110" s="152">
        <f t="shared" ref="C110:I110" si="38">C104-C56</f>
        <v>24.239999999999995</v>
      </c>
      <c r="D110" s="152">
        <f t="shared" si="38"/>
        <v>31.17</v>
      </c>
      <c r="E110" s="152">
        <f t="shared" si="38"/>
        <v>31.03</v>
      </c>
      <c r="F110" s="152">
        <f t="shared" si="38"/>
        <v>31.689999999999998</v>
      </c>
      <c r="G110" s="152">
        <f t="shared" si="38"/>
        <v>27.667027027027032</v>
      </c>
      <c r="H110" s="152">
        <f t="shared" si="38"/>
        <v>31.010000000000005</v>
      </c>
      <c r="I110" s="149">
        <f t="shared" si="38"/>
        <v>24.47</v>
      </c>
      <c r="J110" s="149">
        <f>J104-J56</f>
        <v>24.370000000000005</v>
      </c>
      <c r="K110" s="149">
        <f>AVERAGE(G110:J110)</f>
        <v>26.87925675675676</v>
      </c>
      <c r="L110" s="149"/>
      <c r="M110" s="149"/>
      <c r="N110" s="149"/>
      <c r="O110" s="149"/>
    </row>
    <row r="111" spans="1:24" ht="12.75" customHeight="1">
      <c r="A111" s="41"/>
      <c r="B111" s="149">
        <f t="shared" ref="B111:G111" si="39">B107-B56</f>
        <v>17.224193548387106</v>
      </c>
      <c r="C111" s="149">
        <f t="shared" si="39"/>
        <v>19.64</v>
      </c>
      <c r="D111" s="149">
        <f t="shared" si="39"/>
        <v>24.83</v>
      </c>
      <c r="E111" s="149">
        <f t="shared" si="39"/>
        <v>24.989999999999995</v>
      </c>
      <c r="F111" s="149">
        <f t="shared" si="39"/>
        <v>22.782499999999985</v>
      </c>
      <c r="G111" s="149">
        <f t="shared" si="39"/>
        <v>19.117027027027035</v>
      </c>
      <c r="H111" s="150">
        <f>H107-H56</f>
        <v>11.320000000000007</v>
      </c>
      <c r="I111" s="149">
        <f>I107-I56</f>
        <v>15.799999999999997</v>
      </c>
      <c r="J111" s="149">
        <f>I111</f>
        <v>15.799999999999997</v>
      </c>
      <c r="K111" s="149">
        <f>AVERAGE(G111:J111)</f>
        <v>15.509256756756759</v>
      </c>
      <c r="L111" s="149"/>
      <c r="M111" s="149"/>
      <c r="N111" s="149"/>
      <c r="O111" s="149"/>
    </row>
    <row r="112" spans="1:24" ht="12.75" customHeight="1">
      <c r="A112" s="41"/>
      <c r="B112" s="149">
        <f t="shared" ref="B112:J112" si="40">B108-B76</f>
        <v>-16.676451612903222</v>
      </c>
      <c r="C112" s="149">
        <f t="shared" si="40"/>
        <v>-5.0799999999999983</v>
      </c>
      <c r="D112" s="149">
        <f t="shared" si="40"/>
        <v>-4.730000000000004</v>
      </c>
      <c r="E112" s="149">
        <f t="shared" si="40"/>
        <v>12.5</v>
      </c>
      <c r="F112" s="149">
        <f t="shared" si="40"/>
        <v>-1.1700000000000017</v>
      </c>
      <c r="G112" s="149">
        <f t="shared" si="40"/>
        <v>8.7862162162162321</v>
      </c>
      <c r="H112" s="150">
        <f t="shared" si="40"/>
        <v>4.25</v>
      </c>
      <c r="I112" s="149">
        <f t="shared" si="40"/>
        <v>2.3295620437956188</v>
      </c>
      <c r="J112" s="149">
        <f t="shared" si="40"/>
        <v>3.9499999999999886</v>
      </c>
      <c r="K112" s="149">
        <f>AVERAGE(G112:J112)</f>
        <v>4.8289445650029599</v>
      </c>
      <c r="L112" s="149"/>
      <c r="M112" s="149"/>
      <c r="N112" s="149"/>
      <c r="O112" s="149"/>
    </row>
    <row r="113" spans="1:15" ht="12.75" customHeight="1">
      <c r="A113" s="41"/>
      <c r="B113" s="149"/>
      <c r="C113" s="149"/>
      <c r="D113" s="149"/>
      <c r="E113" s="149"/>
      <c r="F113" s="149"/>
      <c r="G113" s="149"/>
      <c r="H113" s="150"/>
      <c r="I113" s="149"/>
      <c r="J113" s="149"/>
      <c r="K113" s="149"/>
      <c r="L113" s="149"/>
      <c r="M113" s="149"/>
      <c r="N113" s="149"/>
      <c r="O113" s="149"/>
    </row>
    <row r="114" spans="1:15" ht="12.75" customHeight="1">
      <c r="A114" s="41" t="s">
        <v>242</v>
      </c>
      <c r="B114" s="149">
        <v>87</v>
      </c>
      <c r="C114" s="149">
        <v>82</v>
      </c>
      <c r="D114" s="149">
        <v>76</v>
      </c>
      <c r="E114" s="149">
        <v>74</v>
      </c>
      <c r="F114" s="149">
        <f t="shared" si="37"/>
        <v>79.75</v>
      </c>
      <c r="G114" s="149">
        <v>70</v>
      </c>
      <c r="H114" s="149">
        <v>68</v>
      </c>
      <c r="I114" s="150">
        <v>68</v>
      </c>
      <c r="J114" s="149">
        <v>65</v>
      </c>
      <c r="K114" s="149">
        <f>AVERAGE(G114:J114)</f>
        <v>67.75</v>
      </c>
      <c r="L114" s="149"/>
      <c r="M114" s="149"/>
      <c r="N114" s="149"/>
      <c r="O114" s="149"/>
    </row>
    <row r="115" spans="1:15" ht="12.75" customHeight="1">
      <c r="A115" s="41" t="s">
        <v>170</v>
      </c>
      <c r="B115" s="149">
        <v>78.180000000000007</v>
      </c>
      <c r="C115" s="149">
        <v>74.75</v>
      </c>
      <c r="D115" s="149">
        <v>75.349999999999994</v>
      </c>
      <c r="E115" s="149">
        <v>71.78</v>
      </c>
      <c r="F115" s="149">
        <f t="shared" si="37"/>
        <v>75.015000000000001</v>
      </c>
      <c r="G115" s="149">
        <v>60.06</v>
      </c>
      <c r="H115" s="150">
        <v>58.3</v>
      </c>
      <c r="I115" s="149">
        <v>55.72</v>
      </c>
      <c r="J115" s="149">
        <v>49.69</v>
      </c>
      <c r="K115" s="149">
        <f>AVERAGE(G115:J115)</f>
        <v>55.942499999999995</v>
      </c>
      <c r="L115" s="149">
        <v>44.76</v>
      </c>
      <c r="M115" s="149">
        <v>43.87</v>
      </c>
      <c r="N115" s="149">
        <f>M115</f>
        <v>43.87</v>
      </c>
      <c r="O115" s="149">
        <f>N115</f>
        <v>43.87</v>
      </c>
    </row>
    <row r="116" spans="1:15" ht="12.75" customHeight="1">
      <c r="A116" s="43" t="s">
        <v>171</v>
      </c>
      <c r="B116" s="149">
        <v>78.67</v>
      </c>
      <c r="C116" s="149">
        <v>73.27</v>
      </c>
      <c r="D116" s="149">
        <v>68.510000000000005</v>
      </c>
      <c r="E116" s="149">
        <v>63.46</v>
      </c>
      <c r="F116" s="149">
        <f>AVERAGE(B116:E116)</f>
        <v>70.977499999999992</v>
      </c>
      <c r="G116" s="149">
        <v>64.92</v>
      </c>
      <c r="H116" s="150">
        <v>59.33</v>
      </c>
      <c r="I116" s="149">
        <v>59.1</v>
      </c>
      <c r="J116" s="149">
        <v>52.68</v>
      </c>
      <c r="K116" s="149">
        <f>AVERAGE(G116:J116)</f>
        <v>59.0075</v>
      </c>
      <c r="L116" s="149">
        <v>50.56</v>
      </c>
      <c r="M116" s="149">
        <v>49.66</v>
      </c>
      <c r="N116" s="149">
        <f t="shared" ref="N116:O119" si="41">M116</f>
        <v>49.66</v>
      </c>
      <c r="O116" s="149">
        <f t="shared" si="41"/>
        <v>49.66</v>
      </c>
    </row>
    <row r="117" spans="1:15" ht="12.75" customHeight="1">
      <c r="A117" s="43" t="s">
        <v>243</v>
      </c>
      <c r="B117" s="153">
        <v>66.03</v>
      </c>
      <c r="C117" s="153">
        <v>63.95</v>
      </c>
      <c r="D117" s="153">
        <v>57.91</v>
      </c>
      <c r="E117" s="154">
        <v>53.44</v>
      </c>
      <c r="F117" s="149">
        <f>AVERAGE(B117:E117)</f>
        <v>60.332500000000003</v>
      </c>
      <c r="G117" s="153">
        <v>52.51</v>
      </c>
      <c r="H117" s="153">
        <v>46.19</v>
      </c>
      <c r="I117" s="149">
        <v>43.49</v>
      </c>
      <c r="J117" s="149">
        <v>39.81</v>
      </c>
      <c r="K117" s="149">
        <f>AVERAGE(G117:J117)</f>
        <v>45.5</v>
      </c>
      <c r="L117" s="149">
        <v>39.880000000000003</v>
      </c>
      <c r="M117" s="149">
        <v>42.05</v>
      </c>
      <c r="N117" s="149">
        <f t="shared" si="41"/>
        <v>42.05</v>
      </c>
      <c r="O117" s="149">
        <f t="shared" si="41"/>
        <v>42.05</v>
      </c>
    </row>
    <row r="118" spans="1:15" ht="12.75" customHeight="1">
      <c r="A118" s="41" t="s">
        <v>244</v>
      </c>
      <c r="B118" s="44">
        <f t="shared" ref="B118:M118" si="42">B116-B57</f>
        <v>23.896470588235296</v>
      </c>
      <c r="C118" s="44">
        <f t="shared" si="42"/>
        <v>22.319999999999993</v>
      </c>
      <c r="D118" s="44">
        <f t="shared" si="42"/>
        <v>18.480000000000004</v>
      </c>
      <c r="E118" s="44">
        <f t="shared" si="42"/>
        <v>17.07</v>
      </c>
      <c r="F118" s="44">
        <f t="shared" si="42"/>
        <v>20.517499999999991</v>
      </c>
      <c r="G118" s="44">
        <f t="shared" si="42"/>
        <v>22.207254901960795</v>
      </c>
      <c r="H118" s="44">
        <f t="shared" si="42"/>
        <v>17.339999999999996</v>
      </c>
      <c r="I118" s="45">
        <f t="shared" si="42"/>
        <v>20.329999999999998</v>
      </c>
      <c r="J118" s="45">
        <f t="shared" si="42"/>
        <v>11.969999999999999</v>
      </c>
      <c r="K118" s="45">
        <f t="shared" si="42"/>
        <v>18.0075</v>
      </c>
      <c r="L118" s="45">
        <f t="shared" si="42"/>
        <v>9.8500000000000014</v>
      </c>
      <c r="M118" s="45">
        <f t="shared" si="42"/>
        <v>8.9499999999999957</v>
      </c>
      <c r="N118" s="41">
        <f t="shared" si="41"/>
        <v>8.9499999999999957</v>
      </c>
      <c r="O118" s="41">
        <f t="shared" si="41"/>
        <v>8.9499999999999957</v>
      </c>
    </row>
    <row r="119" spans="1:15">
      <c r="A119" s="41" t="s">
        <v>169</v>
      </c>
      <c r="B119" s="45">
        <f t="shared" ref="B119:L119" si="43">B117-B57</f>
        <v>11.256470588235295</v>
      </c>
      <c r="C119" s="45">
        <f t="shared" si="43"/>
        <v>13</v>
      </c>
      <c r="D119" s="45">
        <f t="shared" si="43"/>
        <v>7.8799999999999955</v>
      </c>
      <c r="E119" s="45">
        <f t="shared" si="43"/>
        <v>7.0499999999999972</v>
      </c>
      <c r="F119" s="45">
        <f t="shared" si="43"/>
        <v>9.8725000000000023</v>
      </c>
      <c r="G119" s="45">
        <f t="shared" si="43"/>
        <v>9.7972549019607911</v>
      </c>
      <c r="H119" s="45">
        <f t="shared" si="43"/>
        <v>4.1999999999999957</v>
      </c>
      <c r="I119" s="45">
        <f t="shared" si="43"/>
        <v>4.7199999999999989</v>
      </c>
      <c r="J119" s="45">
        <f t="shared" si="43"/>
        <v>-0.89999999999999858</v>
      </c>
      <c r="K119" s="45">
        <f t="shared" si="43"/>
        <v>4.5</v>
      </c>
      <c r="L119" s="45">
        <f t="shared" si="43"/>
        <v>-0.82999999999999829</v>
      </c>
      <c r="M119" s="45">
        <f>M117-M57</f>
        <v>1.3399999999999963</v>
      </c>
      <c r="N119" s="41">
        <f t="shared" si="41"/>
        <v>1.3399999999999963</v>
      </c>
      <c r="O119" s="41">
        <f t="shared" si="41"/>
        <v>1.3399999999999963</v>
      </c>
    </row>
  </sheetData>
  <mergeCells count="4">
    <mergeCell ref="D50:I50"/>
    <mergeCell ref="D70:I70"/>
    <mergeCell ref="D80:I80"/>
    <mergeCell ref="D90:I9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Mashonskiy, Maxim</dc:creator>
  <cp:lastModifiedBy>Alexander</cp:lastModifiedBy>
  <dcterms:created xsi:type="dcterms:W3CDTF">2016-02-12T14:19:15Z</dcterms:created>
  <dcterms:modified xsi:type="dcterms:W3CDTF">2016-04-08T21:43:31Z</dcterms:modified>
</cp:coreProperties>
</file>