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\Documents\MiF\Career\Pitch\Viscofan\2. Excel\"/>
    </mc:Choice>
  </mc:AlternateContent>
  <bookViews>
    <workbookView xWindow="0" yWindow="0" windowWidth="20490" windowHeight="7755"/>
  </bookViews>
  <sheets>
    <sheet name="FS" sheetId="3" r:id="rId1"/>
    <sheet name="DCF" sheetId="6" r:id="rId2"/>
    <sheet name="Metrics" sheetId="7" r:id="rId3"/>
    <sheet name="Header" sheetId="8" r:id="rId4"/>
    <sheet name="Forecasts" sheetId="5" r:id="rId5"/>
    <sheet name="Mgmt Guidance" sheetId="2" r:id="rId6"/>
    <sheet name="Data" sheetId="1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7" l="1"/>
  <c r="C55" i="7"/>
  <c r="D55" i="7"/>
  <c r="A56" i="7"/>
  <c r="B56" i="7"/>
  <c r="C56" i="7"/>
  <c r="D56" i="7"/>
  <c r="A57" i="7"/>
  <c r="B57" i="7"/>
  <c r="C57" i="7"/>
  <c r="D57" i="7"/>
  <c r="A58" i="7"/>
  <c r="B58" i="7"/>
  <c r="C58" i="7"/>
  <c r="D58" i="7"/>
  <c r="F4" i="3" l="1"/>
  <c r="N4" i="6"/>
  <c r="N7" i="6"/>
  <c r="F34" i="1"/>
  <c r="G34" i="1"/>
  <c r="E34" i="1"/>
  <c r="D23" i="7" l="1"/>
  <c r="E23" i="7"/>
  <c r="C23" i="7"/>
  <c r="E22" i="7"/>
  <c r="D22" i="7"/>
  <c r="D21" i="7"/>
  <c r="E21" i="7"/>
  <c r="C21" i="7"/>
  <c r="F35" i="5" l="1"/>
  <c r="D36" i="5" l="1"/>
  <c r="E36" i="5"/>
  <c r="C36" i="5"/>
  <c r="E34" i="5"/>
  <c r="N12" i="6"/>
  <c r="N27" i="6"/>
  <c r="B7" i="8"/>
  <c r="G24" i="5"/>
  <c r="H24" i="5"/>
  <c r="I24" i="5"/>
  <c r="I27" i="5" s="1"/>
  <c r="J24" i="5"/>
  <c r="J27" i="5" s="1"/>
  <c r="F24" i="5"/>
  <c r="G3" i="3"/>
  <c r="F9" i="5"/>
  <c r="E7" i="6"/>
  <c r="E6" i="6"/>
  <c r="E5" i="6"/>
  <c r="E3" i="6"/>
  <c r="E9" i="6" s="1"/>
  <c r="G27" i="5"/>
  <c r="H27" i="5"/>
  <c r="F27" i="5"/>
  <c r="D40" i="7"/>
  <c r="E40" i="7"/>
  <c r="C40" i="7"/>
  <c r="F23" i="7"/>
  <c r="D10" i="8"/>
  <c r="B5" i="8"/>
  <c r="D8" i="8" s="1"/>
  <c r="D12" i="8" l="1"/>
  <c r="B8" i="8"/>
  <c r="D7" i="8"/>
  <c r="N33" i="6" l="1"/>
  <c r="D3" i="8"/>
  <c r="D5" i="8"/>
  <c r="D4" i="8"/>
  <c r="N10" i="6" l="1"/>
  <c r="F36" i="7"/>
  <c r="F37" i="7"/>
  <c r="F35" i="7"/>
  <c r="D38" i="7"/>
  <c r="E38" i="7"/>
  <c r="C38" i="7"/>
  <c r="E34" i="7"/>
  <c r="D34" i="7"/>
  <c r="D29" i="7"/>
  <c r="E29" i="7"/>
  <c r="F29" i="7"/>
  <c r="G29" i="7"/>
  <c r="C29" i="7"/>
  <c r="D28" i="7"/>
  <c r="E28" i="7" s="1"/>
  <c r="F28" i="7" s="1"/>
  <c r="G28" i="7" s="1"/>
  <c r="H31" i="7" s="1"/>
  <c r="H32" i="7" s="1"/>
  <c r="D26" i="7"/>
  <c r="E26" i="7"/>
  <c r="F26" i="7"/>
  <c r="G26" i="7"/>
  <c r="C26" i="7"/>
  <c r="E25" i="7"/>
  <c r="F25" i="7"/>
  <c r="G25" i="7"/>
  <c r="D25" i="7"/>
  <c r="B18" i="7"/>
  <c r="B16" i="7"/>
  <c r="B14" i="7"/>
  <c r="D16" i="7"/>
  <c r="D18" i="7" s="1"/>
  <c r="E16" i="7"/>
  <c r="D17" i="7"/>
  <c r="E17" i="7"/>
  <c r="E18" i="7" s="1"/>
  <c r="C17" i="7"/>
  <c r="C16" i="7"/>
  <c r="D12" i="7"/>
  <c r="E12" i="7"/>
  <c r="D13" i="7"/>
  <c r="D14" i="7" s="1"/>
  <c r="E13" i="7"/>
  <c r="C13" i="7"/>
  <c r="C12" i="7"/>
  <c r="D20" i="7"/>
  <c r="E20" i="7"/>
  <c r="F20" i="7"/>
  <c r="C20" i="7"/>
  <c r="E10" i="7"/>
  <c r="D10" i="7"/>
  <c r="E9" i="7"/>
  <c r="D9" i="7"/>
  <c r="E8" i="7"/>
  <c r="D8" i="7"/>
  <c r="E7" i="7"/>
  <c r="D7" i="7"/>
  <c r="D6" i="7"/>
  <c r="E6" i="7" s="1"/>
  <c r="D2" i="7"/>
  <c r="E2" i="7"/>
  <c r="D3" i="7"/>
  <c r="E3" i="7"/>
  <c r="D4" i="7"/>
  <c r="E4" i="7"/>
  <c r="C4" i="7"/>
  <c r="C3" i="7"/>
  <c r="C2" i="7"/>
  <c r="D1" i="7"/>
  <c r="E1" i="7" s="1"/>
  <c r="N15" i="6"/>
  <c r="N32" i="6" s="1"/>
  <c r="C14" i="7" l="1"/>
  <c r="C18" i="7"/>
  <c r="E14" i="7"/>
  <c r="F8" i="7"/>
  <c r="F10" i="7"/>
  <c r="F9" i="7"/>
  <c r="F2" i="7"/>
  <c r="F7" i="7"/>
  <c r="F4" i="7"/>
  <c r="F3" i="7"/>
  <c r="G12" i="6"/>
  <c r="H12" i="6" s="1"/>
  <c r="I12" i="6" s="1"/>
  <c r="J12" i="6" s="1"/>
  <c r="F7" i="6"/>
  <c r="G1" i="6"/>
  <c r="H1" i="6" s="1"/>
  <c r="I1" i="6" s="1"/>
  <c r="J1" i="6" s="1"/>
  <c r="G35" i="5"/>
  <c r="H35" i="5"/>
  <c r="I35" i="5"/>
  <c r="J35" i="5"/>
  <c r="G31" i="5"/>
  <c r="H31" i="5" s="1"/>
  <c r="G32" i="5"/>
  <c r="H32" i="5" s="1"/>
  <c r="I32" i="5" s="1"/>
  <c r="J32" i="5" s="1"/>
  <c r="F33" i="5"/>
  <c r="F32" i="5"/>
  <c r="E35" i="5"/>
  <c r="F31" i="5"/>
  <c r="D34" i="5"/>
  <c r="D30" i="5"/>
  <c r="E30" i="5" s="1"/>
  <c r="F30" i="5" s="1"/>
  <c r="G30" i="5" s="1"/>
  <c r="H30" i="5" s="1"/>
  <c r="I30" i="5" s="1"/>
  <c r="J30" i="5" s="1"/>
  <c r="D33" i="5"/>
  <c r="E33" i="5"/>
  <c r="C33" i="5"/>
  <c r="H61" i="3"/>
  <c r="I61" i="3" s="1"/>
  <c r="J61" i="3" s="1"/>
  <c r="G61" i="3"/>
  <c r="G55" i="3"/>
  <c r="H55" i="3" s="1"/>
  <c r="F19" i="3"/>
  <c r="E28" i="5"/>
  <c r="D28" i="5"/>
  <c r="C28" i="5"/>
  <c r="F61" i="3"/>
  <c r="F55" i="3"/>
  <c r="G49" i="3"/>
  <c r="H49" i="3" s="1"/>
  <c r="I49" i="3" s="1"/>
  <c r="J49" i="3" s="1"/>
  <c r="F49" i="3"/>
  <c r="G56" i="3"/>
  <c r="H56" i="3"/>
  <c r="I56" i="3"/>
  <c r="J56" i="3"/>
  <c r="F56" i="3"/>
  <c r="G70" i="3"/>
  <c r="H70" i="3"/>
  <c r="I70" i="3"/>
  <c r="J70" i="3"/>
  <c r="F70" i="3"/>
  <c r="F74" i="3"/>
  <c r="G74" i="3"/>
  <c r="H74" i="3"/>
  <c r="I74" i="3"/>
  <c r="J74" i="3" s="1"/>
  <c r="G72" i="3"/>
  <c r="H72" i="3" s="1"/>
  <c r="I72" i="3" s="1"/>
  <c r="J72" i="3" s="1"/>
  <c r="F72" i="3"/>
  <c r="G62" i="3"/>
  <c r="H62" i="3"/>
  <c r="I62" i="3"/>
  <c r="J62" i="3"/>
  <c r="F62" i="3"/>
  <c r="G63" i="3"/>
  <c r="H63" i="3" s="1"/>
  <c r="I63" i="3" s="1"/>
  <c r="J63" i="3" s="1"/>
  <c r="F63" i="3"/>
  <c r="G65" i="3"/>
  <c r="H65" i="3"/>
  <c r="I65" i="3"/>
  <c r="J65" i="3"/>
  <c r="F65" i="3"/>
  <c r="G64" i="3"/>
  <c r="H64" i="3" s="1"/>
  <c r="I64" i="3" s="1"/>
  <c r="J64" i="3" s="1"/>
  <c r="F64" i="3"/>
  <c r="G71" i="3"/>
  <c r="H71" i="3" s="1"/>
  <c r="I71" i="3" s="1"/>
  <c r="J71" i="3" s="1"/>
  <c r="F71" i="3"/>
  <c r="F39" i="3"/>
  <c r="G39" i="3" s="1"/>
  <c r="H39" i="3" s="1"/>
  <c r="I39" i="3" s="1"/>
  <c r="J39" i="3" s="1"/>
  <c r="G28" i="3"/>
  <c r="H28" i="3"/>
  <c r="G6" i="3"/>
  <c r="G17" i="5" s="1"/>
  <c r="G53" i="3" s="1"/>
  <c r="G5" i="3"/>
  <c r="H5" i="3" s="1"/>
  <c r="F5" i="3"/>
  <c r="G10" i="3"/>
  <c r="F10" i="3"/>
  <c r="D26" i="5"/>
  <c r="E26" i="5"/>
  <c r="C26" i="5"/>
  <c r="G9" i="3"/>
  <c r="F9" i="3"/>
  <c r="D24" i="5"/>
  <c r="E24" i="5"/>
  <c r="D25" i="5"/>
  <c r="E25" i="5"/>
  <c r="C24" i="5"/>
  <c r="C25" i="5"/>
  <c r="D23" i="5"/>
  <c r="E23" i="5" s="1"/>
  <c r="F23" i="5" s="1"/>
  <c r="G23" i="5" s="1"/>
  <c r="H23" i="5" s="1"/>
  <c r="I23" i="5" s="1"/>
  <c r="J23" i="5" s="1"/>
  <c r="E12" i="3"/>
  <c r="G58" i="3"/>
  <c r="H58" i="3" s="1"/>
  <c r="I58" i="3" s="1"/>
  <c r="J58" i="3" s="1"/>
  <c r="F58" i="3"/>
  <c r="G57" i="3"/>
  <c r="H57" i="3" s="1"/>
  <c r="F57" i="3"/>
  <c r="G42" i="3"/>
  <c r="H42" i="3" s="1"/>
  <c r="I42" i="3" s="1"/>
  <c r="J42" i="3" s="1"/>
  <c r="F42" i="3"/>
  <c r="G41" i="3"/>
  <c r="H41" i="3" s="1"/>
  <c r="I41" i="3" s="1"/>
  <c r="J41" i="3" s="1"/>
  <c r="F41" i="3"/>
  <c r="G43" i="3"/>
  <c r="H43" i="3" s="1"/>
  <c r="I43" i="3" s="1"/>
  <c r="J43" i="3" s="1"/>
  <c r="F43" i="3"/>
  <c r="F19" i="5"/>
  <c r="J19" i="5"/>
  <c r="F11" i="5"/>
  <c r="G11" i="5"/>
  <c r="G9" i="5"/>
  <c r="G37" i="3" s="1"/>
  <c r="F37" i="3"/>
  <c r="D7" i="3"/>
  <c r="E7" i="3"/>
  <c r="C7" i="3"/>
  <c r="D12" i="3"/>
  <c r="D16" i="3" s="1"/>
  <c r="D25" i="3" s="1"/>
  <c r="D32" i="3" s="1"/>
  <c r="E16" i="3"/>
  <c r="E25" i="3" s="1"/>
  <c r="E32" i="3" s="1"/>
  <c r="C12" i="3"/>
  <c r="C16" i="3" s="1"/>
  <c r="C25" i="3" s="1"/>
  <c r="C32" i="3" s="1"/>
  <c r="D17" i="5"/>
  <c r="D18" i="5" s="1"/>
  <c r="D19" i="5" s="1"/>
  <c r="E17" i="5"/>
  <c r="E18" i="5" s="1"/>
  <c r="E19" i="5" s="1"/>
  <c r="D20" i="5"/>
  <c r="D21" i="5" s="1"/>
  <c r="E20" i="5"/>
  <c r="E21" i="5" s="1"/>
  <c r="C20" i="5"/>
  <c r="C21" i="5" s="1"/>
  <c r="C17" i="5"/>
  <c r="C18" i="5" s="1"/>
  <c r="C19" i="5" s="1"/>
  <c r="D14" i="5"/>
  <c r="D15" i="5" s="1"/>
  <c r="D16" i="5" s="1"/>
  <c r="E14" i="5"/>
  <c r="E15" i="5" s="1"/>
  <c r="E16" i="5" s="1"/>
  <c r="C14" i="5"/>
  <c r="C15" i="5" s="1"/>
  <c r="C16" i="5" s="1"/>
  <c r="D9" i="5"/>
  <c r="D10" i="5" s="1"/>
  <c r="D11" i="5" s="1"/>
  <c r="E9" i="5"/>
  <c r="E10" i="5" s="1"/>
  <c r="E11" i="5" s="1"/>
  <c r="D12" i="5"/>
  <c r="D13" i="5" s="1"/>
  <c r="E12" i="5"/>
  <c r="E13" i="5" s="1"/>
  <c r="C12" i="5"/>
  <c r="C13" i="5" s="1"/>
  <c r="C9" i="5"/>
  <c r="C10" i="5" s="1"/>
  <c r="C11" i="5" s="1"/>
  <c r="D8" i="5"/>
  <c r="E8" i="5" s="1"/>
  <c r="F8" i="5" s="1"/>
  <c r="G8" i="5" s="1"/>
  <c r="H8" i="5" s="1"/>
  <c r="I8" i="5" s="1"/>
  <c r="J8" i="5" s="1"/>
  <c r="E6" i="5"/>
  <c r="F2" i="5"/>
  <c r="F97" i="3" s="1"/>
  <c r="F102" i="3" s="1"/>
  <c r="H2" i="5"/>
  <c r="D3" i="5"/>
  <c r="E3" i="5"/>
  <c r="C3" i="5"/>
  <c r="D1" i="5"/>
  <c r="E1" i="5" s="1"/>
  <c r="F1" i="5" s="1"/>
  <c r="G1" i="5" s="1"/>
  <c r="H1" i="5" s="1"/>
  <c r="I1" i="5" s="1"/>
  <c r="J1" i="5" s="1"/>
  <c r="D108" i="3"/>
  <c r="E108" i="3"/>
  <c r="C108" i="3"/>
  <c r="D102" i="3"/>
  <c r="E102" i="3"/>
  <c r="C102" i="3"/>
  <c r="D86" i="3"/>
  <c r="D4" i="5" s="1"/>
  <c r="D5" i="5" s="1"/>
  <c r="E86" i="3"/>
  <c r="E4" i="5" s="1"/>
  <c r="E5" i="5" s="1"/>
  <c r="C86" i="3"/>
  <c r="C4" i="5" s="1"/>
  <c r="C5" i="5" s="1"/>
  <c r="E4" i="3"/>
  <c r="D4" i="3"/>
  <c r="F48" i="3"/>
  <c r="G48" i="3" s="1"/>
  <c r="H48" i="3" s="1"/>
  <c r="I48" i="3" s="1"/>
  <c r="J48" i="3" s="1"/>
  <c r="F47" i="3"/>
  <c r="G47" i="3" s="1"/>
  <c r="H47" i="3" s="1"/>
  <c r="I47" i="3" s="1"/>
  <c r="J47" i="3" s="1"/>
  <c r="F46" i="3"/>
  <c r="G46" i="3" s="1"/>
  <c r="F68" i="3"/>
  <c r="G68" i="3" s="1"/>
  <c r="F69" i="3"/>
  <c r="G69" i="3" s="1"/>
  <c r="H69" i="3" s="1"/>
  <c r="I69" i="3" s="1"/>
  <c r="J69" i="3" s="1"/>
  <c r="F73" i="3"/>
  <c r="G73" i="3" s="1"/>
  <c r="H73" i="3" s="1"/>
  <c r="I73" i="3" s="1"/>
  <c r="J73" i="3" s="1"/>
  <c r="C82" i="3"/>
  <c r="D59" i="3"/>
  <c r="D66" i="3" s="1"/>
  <c r="E59" i="3"/>
  <c r="E66" i="3" s="1"/>
  <c r="C59" i="3"/>
  <c r="C66" i="3" s="1"/>
  <c r="D76" i="3"/>
  <c r="E76" i="3"/>
  <c r="C76" i="3"/>
  <c r="D44" i="3"/>
  <c r="D51" i="3" s="1"/>
  <c r="E44" i="3"/>
  <c r="E51" i="3" s="1"/>
  <c r="C44" i="3"/>
  <c r="C51" i="3" s="1"/>
  <c r="C34" i="3"/>
  <c r="D34" i="3" s="1"/>
  <c r="E34" i="3" s="1"/>
  <c r="F34" i="3" s="1"/>
  <c r="G34" i="3" s="1"/>
  <c r="H34" i="3" s="1"/>
  <c r="I34" i="3" s="1"/>
  <c r="J34" i="3" s="1"/>
  <c r="D1" i="3"/>
  <c r="E1" i="3" s="1"/>
  <c r="F1" i="3" s="1"/>
  <c r="G1" i="3" s="1"/>
  <c r="H1" i="3" s="1"/>
  <c r="I1" i="3" s="1"/>
  <c r="J1" i="3" s="1"/>
  <c r="J82" i="3" s="1"/>
  <c r="E5" i="2"/>
  <c r="E10" i="2"/>
  <c r="E13" i="2"/>
  <c r="E16" i="2"/>
  <c r="E2" i="2"/>
  <c r="C4" i="2"/>
  <c r="E4" i="2" s="1"/>
  <c r="C3" i="2"/>
  <c r="E3" i="2" s="1"/>
  <c r="C2" i="2"/>
  <c r="C7" i="2"/>
  <c r="E7" i="2" s="1"/>
  <c r="C6" i="2"/>
  <c r="E6" i="2" s="1"/>
  <c r="C5" i="2"/>
  <c r="C10" i="2"/>
  <c r="C9" i="2"/>
  <c r="E9" i="2" s="1"/>
  <c r="C8" i="2"/>
  <c r="E8" i="2" s="1"/>
  <c r="C13" i="2"/>
  <c r="C12" i="2"/>
  <c r="E12" i="2" s="1"/>
  <c r="C11" i="2"/>
  <c r="E11" i="2" s="1"/>
  <c r="C14" i="2"/>
  <c r="E14" i="2" s="1"/>
  <c r="C16" i="2"/>
  <c r="C15" i="2"/>
  <c r="E15" i="2" s="1"/>
  <c r="C19" i="2"/>
  <c r="C17" i="2"/>
  <c r="C18" i="2"/>
  <c r="A5" i="2"/>
  <c r="A8" i="2" s="1"/>
  <c r="A11" i="2" s="1"/>
  <c r="A14" i="2" s="1"/>
  <c r="A17" i="2" s="1"/>
  <c r="F40" i="1"/>
  <c r="D39" i="1"/>
  <c r="E40" i="1" s="1"/>
  <c r="E39" i="1"/>
  <c r="F39" i="1"/>
  <c r="G39" i="1"/>
  <c r="G40" i="1" s="1"/>
  <c r="C39" i="1"/>
  <c r="G24" i="1"/>
  <c r="F24" i="1"/>
  <c r="E24" i="1"/>
  <c r="D24" i="1"/>
  <c r="G26" i="1"/>
  <c r="F26" i="1"/>
  <c r="E26" i="1"/>
  <c r="D26" i="1"/>
  <c r="H24" i="1"/>
  <c r="H25" i="1"/>
  <c r="H26" i="1" s="1"/>
  <c r="H23" i="1"/>
  <c r="H9" i="1"/>
  <c r="H36" i="1"/>
  <c r="H37" i="1" s="1"/>
  <c r="D37" i="1"/>
  <c r="E37" i="1"/>
  <c r="F37" i="1"/>
  <c r="G37" i="1"/>
  <c r="C37" i="1"/>
  <c r="F31" i="1"/>
  <c r="G31" i="1"/>
  <c r="E31" i="1"/>
  <c r="C28" i="1"/>
  <c r="G19" i="1"/>
  <c r="G3" i="1"/>
  <c r="G4" i="1"/>
  <c r="G5" i="1"/>
  <c r="G6" i="1"/>
  <c r="D18" i="1"/>
  <c r="C19" i="1"/>
  <c r="C18" i="1"/>
  <c r="E18" i="1"/>
  <c r="F7" i="1"/>
  <c r="D1" i="1"/>
  <c r="E1" i="1" s="1"/>
  <c r="F1" i="1" s="1"/>
  <c r="G1" i="1" s="1"/>
  <c r="H1" i="1" s="1"/>
  <c r="H28" i="1" s="1"/>
  <c r="F21" i="7" l="1"/>
  <c r="I28" i="3"/>
  <c r="J28" i="3"/>
  <c r="I31" i="5"/>
  <c r="H33" i="5"/>
  <c r="G33" i="5"/>
  <c r="F21" i="5"/>
  <c r="G21" i="5" s="1"/>
  <c r="F13" i="5"/>
  <c r="G13" i="5" s="1"/>
  <c r="H13" i="5" s="1"/>
  <c r="I13" i="5" s="1"/>
  <c r="H21" i="5"/>
  <c r="G20" i="5"/>
  <c r="G54" i="3" s="1"/>
  <c r="F15" i="5"/>
  <c r="I55" i="3"/>
  <c r="H19" i="3"/>
  <c r="G19" i="3"/>
  <c r="G28" i="1"/>
  <c r="H39" i="1"/>
  <c r="H40" i="1" s="1"/>
  <c r="F28" i="1"/>
  <c r="D40" i="1"/>
  <c r="E28" i="1"/>
  <c r="D28" i="1"/>
  <c r="G2" i="5"/>
  <c r="G97" i="3" s="1"/>
  <c r="F6" i="3"/>
  <c r="F17" i="5" s="1"/>
  <c r="F53" i="3" s="1"/>
  <c r="F20" i="5"/>
  <c r="F54" i="3" s="1"/>
  <c r="I5" i="3"/>
  <c r="G7" i="3"/>
  <c r="G12" i="3"/>
  <c r="G3" i="6" s="1"/>
  <c r="I57" i="3"/>
  <c r="H19" i="5"/>
  <c r="G19" i="5"/>
  <c r="I19" i="5"/>
  <c r="C84" i="3"/>
  <c r="E84" i="3"/>
  <c r="E95" i="3" s="1"/>
  <c r="E112" i="3" s="1"/>
  <c r="C95" i="3"/>
  <c r="C112" i="3" s="1"/>
  <c r="F3" i="5"/>
  <c r="H97" i="3"/>
  <c r="F5" i="5"/>
  <c r="F4" i="5" s="1"/>
  <c r="H82" i="3"/>
  <c r="E82" i="3"/>
  <c r="H68" i="3"/>
  <c r="H46" i="3"/>
  <c r="C78" i="3"/>
  <c r="C80" i="3" s="1"/>
  <c r="E78" i="3"/>
  <c r="E80" i="3" s="1"/>
  <c r="I82" i="3"/>
  <c r="D82" i="3"/>
  <c r="D78" i="3"/>
  <c r="D80" i="3" s="1"/>
  <c r="F82" i="3"/>
  <c r="G82" i="3"/>
  <c r="C28" i="3"/>
  <c r="E28" i="3"/>
  <c r="G102" i="3" l="1"/>
  <c r="G7" i="6"/>
  <c r="H102" i="3"/>
  <c r="H7" i="6"/>
  <c r="J31" i="5"/>
  <c r="J33" i="5" s="1"/>
  <c r="I33" i="5"/>
  <c r="F12" i="5"/>
  <c r="F38" i="3" s="1"/>
  <c r="F92" i="3" s="1"/>
  <c r="G12" i="5"/>
  <c r="G38" i="3" s="1"/>
  <c r="G92" i="3" s="1"/>
  <c r="F86" i="3"/>
  <c r="F14" i="3"/>
  <c r="F16" i="5"/>
  <c r="G15" i="5"/>
  <c r="J13" i="5"/>
  <c r="F14" i="5"/>
  <c r="F40" i="3" s="1"/>
  <c r="F93" i="3" s="1"/>
  <c r="G59" i="3"/>
  <c r="G66" i="3" s="1"/>
  <c r="I21" i="5"/>
  <c r="J55" i="3"/>
  <c r="J19" i="3" s="1"/>
  <c r="I19" i="3"/>
  <c r="F7" i="3"/>
  <c r="F12" i="3"/>
  <c r="F3" i="6" s="1"/>
  <c r="J5" i="3"/>
  <c r="J57" i="3"/>
  <c r="H11" i="5"/>
  <c r="D84" i="3"/>
  <c r="D28" i="3"/>
  <c r="F6" i="5"/>
  <c r="G5" i="5"/>
  <c r="I68" i="3"/>
  <c r="I46" i="3"/>
  <c r="F94" i="3" l="1"/>
  <c r="F91" i="3" s="1"/>
  <c r="F6" i="6" s="1"/>
  <c r="F16" i="3"/>
  <c r="F25" i="3" s="1"/>
  <c r="F27" i="3" s="1"/>
  <c r="J21" i="5"/>
  <c r="H15" i="5"/>
  <c r="G16" i="5"/>
  <c r="G14" i="5"/>
  <c r="G40" i="3" s="1"/>
  <c r="I11" i="5"/>
  <c r="F50" i="3"/>
  <c r="G4" i="5"/>
  <c r="H5" i="5"/>
  <c r="J46" i="3"/>
  <c r="J68" i="3"/>
  <c r="F59" i="3" l="1"/>
  <c r="F66" i="3" s="1"/>
  <c r="G94" i="3"/>
  <c r="F32" i="3"/>
  <c r="F5" i="6"/>
  <c r="G86" i="3"/>
  <c r="G14" i="3"/>
  <c r="G16" i="3" s="1"/>
  <c r="G25" i="3" s="1"/>
  <c r="G27" i="3" s="1"/>
  <c r="G93" i="3"/>
  <c r="I15" i="5"/>
  <c r="H16" i="5"/>
  <c r="J11" i="5"/>
  <c r="H4" i="5"/>
  <c r="I5" i="5"/>
  <c r="G6" i="5"/>
  <c r="D95" i="3"/>
  <c r="D112" i="3" s="1"/>
  <c r="F84" i="3" l="1"/>
  <c r="F95" i="3" s="1"/>
  <c r="F112" i="3" s="1"/>
  <c r="F36" i="3" s="1"/>
  <c r="F44" i="3" s="1"/>
  <c r="F51" i="3" s="1"/>
  <c r="F106" i="3"/>
  <c r="F108" i="3" s="1"/>
  <c r="G91" i="3"/>
  <c r="G6" i="6" s="1"/>
  <c r="F75" i="3"/>
  <c r="F76" i="3" s="1"/>
  <c r="F78" i="3" s="1"/>
  <c r="F9" i="6"/>
  <c r="F10" i="6" s="1"/>
  <c r="G32" i="3"/>
  <c r="G5" i="6"/>
  <c r="G9" i="6" s="1"/>
  <c r="G10" i="6" s="1"/>
  <c r="H86" i="3"/>
  <c r="H14" i="3"/>
  <c r="I16" i="5"/>
  <c r="J15" i="5"/>
  <c r="H6" i="5"/>
  <c r="G50" i="3"/>
  <c r="G84" i="3" l="1"/>
  <c r="G95" i="3" s="1"/>
  <c r="G106" i="3"/>
  <c r="G108" i="3" s="1"/>
  <c r="J16" i="5"/>
  <c r="F80" i="3"/>
  <c r="H50" i="3"/>
  <c r="G75" i="3" l="1"/>
  <c r="G76" i="3" s="1"/>
  <c r="G78" i="3" s="1"/>
  <c r="G80" i="3" s="1"/>
  <c r="G112" i="3"/>
  <c r="G36" i="3" s="1"/>
  <c r="G44" i="3" s="1"/>
  <c r="G51" i="3" s="1"/>
  <c r="H3" i="3"/>
  <c r="I3" i="3" s="1"/>
  <c r="I9" i="3" s="1"/>
  <c r="I4" i="5" l="1"/>
  <c r="I86" i="3" s="1"/>
  <c r="I2" i="5"/>
  <c r="I97" i="3" s="1"/>
  <c r="I102" i="3" s="1"/>
  <c r="H9" i="5"/>
  <c r="H37" i="3" s="1"/>
  <c r="H12" i="5"/>
  <c r="H38" i="3" s="1"/>
  <c r="H20" i="5"/>
  <c r="H54" i="3" s="1"/>
  <c r="H9" i="3"/>
  <c r="H6" i="3"/>
  <c r="I7" i="6"/>
  <c r="I6" i="3"/>
  <c r="I10" i="3"/>
  <c r="I9" i="5"/>
  <c r="I37" i="3" s="1"/>
  <c r="J4" i="5"/>
  <c r="I20" i="5"/>
  <c r="I54" i="3" s="1"/>
  <c r="I12" i="5"/>
  <c r="I38" i="3" s="1"/>
  <c r="J2" i="5"/>
  <c r="J97" i="3" s="1"/>
  <c r="J3" i="3"/>
  <c r="H10" i="3"/>
  <c r="I6" i="5" l="1"/>
  <c r="J6" i="5" s="1"/>
  <c r="J50" i="3" s="1"/>
  <c r="I14" i="3"/>
  <c r="H12" i="3"/>
  <c r="H92" i="3"/>
  <c r="I12" i="3"/>
  <c r="I3" i="6" s="1"/>
  <c r="H17" i="5"/>
  <c r="H53" i="3" s="1"/>
  <c r="H14" i="5"/>
  <c r="H40" i="3" s="1"/>
  <c r="H93" i="3" s="1"/>
  <c r="H7" i="3"/>
  <c r="I7" i="3"/>
  <c r="I92" i="3"/>
  <c r="H16" i="3"/>
  <c r="H25" i="3" s="1"/>
  <c r="H3" i="6"/>
  <c r="J7" i="6"/>
  <c r="J102" i="3"/>
  <c r="J14" i="3"/>
  <c r="J86" i="3"/>
  <c r="J10" i="3"/>
  <c r="J9" i="5"/>
  <c r="J37" i="3" s="1"/>
  <c r="J12" i="5"/>
  <c r="J38" i="3" s="1"/>
  <c r="J9" i="3"/>
  <c r="J20" i="5"/>
  <c r="J54" i="3" s="1"/>
  <c r="J6" i="3"/>
  <c r="I14" i="5"/>
  <c r="I40" i="3" s="1"/>
  <c r="I17" i="5"/>
  <c r="I53" i="3" s="1"/>
  <c r="I50" i="3" l="1"/>
  <c r="I16" i="3"/>
  <c r="I25" i="3" s="1"/>
  <c r="I27" i="3" s="1"/>
  <c r="I5" i="6" s="1"/>
  <c r="H59" i="3"/>
  <c r="H66" i="3" s="1"/>
  <c r="H94" i="3"/>
  <c r="H91" i="3" s="1"/>
  <c r="H6" i="6" s="1"/>
  <c r="J92" i="3"/>
  <c r="J14" i="5"/>
  <c r="J40" i="3" s="1"/>
  <c r="J93" i="3" s="1"/>
  <c r="J17" i="5"/>
  <c r="J53" i="3" s="1"/>
  <c r="J12" i="3"/>
  <c r="J7" i="3"/>
  <c r="H27" i="3"/>
  <c r="H5" i="6" s="1"/>
  <c r="I94" i="3"/>
  <c r="I59" i="3"/>
  <c r="I66" i="3" s="1"/>
  <c r="I93" i="3"/>
  <c r="I91" i="3" l="1"/>
  <c r="I6" i="6" s="1"/>
  <c r="I9" i="6" s="1"/>
  <c r="I10" i="6" s="1"/>
  <c r="H9" i="6"/>
  <c r="H10" i="6" s="1"/>
  <c r="H32" i="3"/>
  <c r="H106" i="3" s="1"/>
  <c r="H108" i="3" s="1"/>
  <c r="J16" i="3"/>
  <c r="J25" i="3" s="1"/>
  <c r="J3" i="6"/>
  <c r="J94" i="3"/>
  <c r="J91" i="3" s="1"/>
  <c r="J6" i="6" s="1"/>
  <c r="J59" i="3"/>
  <c r="J66" i="3" s="1"/>
  <c r="H75" i="3"/>
  <c r="I32" i="3"/>
  <c r="I84" i="3" l="1"/>
  <c r="I95" i="3" s="1"/>
  <c r="I112" i="3" s="1"/>
  <c r="I36" i="3" s="1"/>
  <c r="I106" i="3"/>
  <c r="I108" i="3" s="1"/>
  <c r="H84" i="3"/>
  <c r="H95" i="3" s="1"/>
  <c r="H112" i="3" s="1"/>
  <c r="H36" i="3" s="1"/>
  <c r="H44" i="3" s="1"/>
  <c r="H51" i="3" s="1"/>
  <c r="I75" i="3"/>
  <c r="H76" i="3"/>
  <c r="H78" i="3" s="1"/>
  <c r="J27" i="3"/>
  <c r="J5" i="6" s="1"/>
  <c r="J9" i="6" s="1"/>
  <c r="J10" i="6" l="1"/>
  <c r="N21" i="6" s="1"/>
  <c r="N18" i="6"/>
  <c r="N20" i="6" s="1"/>
  <c r="I76" i="3"/>
  <c r="I78" i="3" s="1"/>
  <c r="J32" i="3"/>
  <c r="I44" i="3"/>
  <c r="I51" i="3" s="1"/>
  <c r="H80" i="3"/>
  <c r="J84" i="3" l="1"/>
  <c r="J95" i="3" s="1"/>
  <c r="J106" i="3"/>
  <c r="J108" i="3" s="1"/>
  <c r="I80" i="3"/>
  <c r="J75" i="3"/>
  <c r="J76" i="3" s="1"/>
  <c r="J78" i="3" s="1"/>
  <c r="N22" i="6"/>
  <c r="N26" i="6" s="1"/>
  <c r="N28" i="6" s="1"/>
  <c r="N30" i="6" s="1"/>
  <c r="R29" i="6" s="1"/>
  <c r="J112" i="3" l="1"/>
  <c r="J36" i="3" s="1"/>
  <c r="J44" i="3" s="1"/>
  <c r="J51" i="3" s="1"/>
  <c r="J80" i="3" s="1"/>
  <c r="N24" i="6"/>
</calcChain>
</file>

<file path=xl/comments1.xml><?xml version="1.0" encoding="utf-8"?>
<comments xmlns="http://schemas.openxmlformats.org/spreadsheetml/2006/main">
  <authors>
    <author>Peter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75-80MM</t>
        </r>
      </text>
    </comment>
  </commentList>
</comments>
</file>

<file path=xl/comments2.xml><?xml version="1.0" encoding="utf-8"?>
<comments xmlns="http://schemas.openxmlformats.org/spreadsheetml/2006/main">
  <authors>
    <author>Peter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Custom + natural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Industrially cooked sausages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11-12% of market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Large sausages and slicing meats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24%-25%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11-12% of market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755MM-770MM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3%-5%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222-227MM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127-133MM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75-80MM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Uruguay plant</t>
        </r>
      </text>
    </comment>
  </commentList>
</comments>
</file>

<file path=xl/sharedStrings.xml><?xml version="1.0" encoding="utf-8"?>
<sst xmlns="http://schemas.openxmlformats.org/spreadsheetml/2006/main" count="296" uniqueCount="219">
  <si>
    <t>Market size</t>
  </si>
  <si>
    <t>Euro</t>
  </si>
  <si>
    <t>Cellulose</t>
  </si>
  <si>
    <t>Fibrous</t>
  </si>
  <si>
    <t>Collagen</t>
  </si>
  <si>
    <t>Plastic</t>
  </si>
  <si>
    <t>Other</t>
  </si>
  <si>
    <t>Market share</t>
  </si>
  <si>
    <t>% of total</t>
  </si>
  <si>
    <t>% of custom</t>
  </si>
  <si>
    <t>Long term growth</t>
  </si>
  <si>
    <t>Revenue</t>
  </si>
  <si>
    <t>Casing sales</t>
  </si>
  <si>
    <t>Energy sales</t>
  </si>
  <si>
    <t>Global meat consumption</t>
  </si>
  <si>
    <t>Spain</t>
  </si>
  <si>
    <t>Europe and Asia</t>
  </si>
  <si>
    <t>North America</t>
  </si>
  <si>
    <t>South America</t>
  </si>
  <si>
    <t>CAPEX</t>
  </si>
  <si>
    <t>Other Europe and Asia</t>
  </si>
  <si>
    <t>% revenue</t>
  </si>
  <si>
    <t>EBITDA</t>
  </si>
  <si>
    <t>% Growth</t>
  </si>
  <si>
    <t>Net income</t>
  </si>
  <si>
    <t>Operating cash flow</t>
  </si>
  <si>
    <t>Delta</t>
  </si>
  <si>
    <t>Line Item</t>
  </si>
  <si>
    <t>Cons. Result</t>
  </si>
  <si>
    <t>Income statement</t>
  </si>
  <si>
    <t>D&amp;A</t>
  </si>
  <si>
    <t>EBIT</t>
  </si>
  <si>
    <t>Financial income</t>
  </si>
  <si>
    <t>Financial expenses</t>
  </si>
  <si>
    <t>Exchange differences</t>
  </si>
  <si>
    <t>EBT</t>
  </si>
  <si>
    <t>Taxes</t>
  </si>
  <si>
    <t>Profit after taxes from interrupted operations</t>
  </si>
  <si>
    <t>Effective tax rate</t>
  </si>
  <si>
    <t>Balance sheet</t>
  </si>
  <si>
    <t>Cash and cash equivalents</t>
  </si>
  <si>
    <t>Inventories</t>
  </si>
  <si>
    <t>Non-current assets held for sale</t>
  </si>
  <si>
    <t>Other financial current assets</t>
  </si>
  <si>
    <t>Other current assets</t>
  </si>
  <si>
    <t>Total current assets</t>
  </si>
  <si>
    <t>Goodwill</t>
  </si>
  <si>
    <t>Others intangible asset</t>
  </si>
  <si>
    <t>Non-current financial assets</t>
  </si>
  <si>
    <t>Deferred tax assets</t>
  </si>
  <si>
    <t>PPE</t>
  </si>
  <si>
    <t>Total assets</t>
  </si>
  <si>
    <t>Current tax assets</t>
  </si>
  <si>
    <t>Trade debtors receivables</t>
  </si>
  <si>
    <t>Other debtors receivables</t>
  </si>
  <si>
    <t>Trade Accounts Payable and Other Accounts Payable</t>
  </si>
  <si>
    <t>Payables to Public Administration</t>
  </si>
  <si>
    <t>Loans</t>
  </si>
  <si>
    <t>Income Tax Payable</t>
  </si>
  <si>
    <t>Provisions</t>
  </si>
  <si>
    <t>Liabilities Held for Sale-discontinued Operations</t>
  </si>
  <si>
    <t>-</t>
  </si>
  <si>
    <t>Total current liabilities</t>
  </si>
  <si>
    <t>Financial Liabilities</t>
  </si>
  <si>
    <t>Capital Subsidies</t>
  </si>
  <si>
    <t>Deferred Tax Liabilities</t>
  </si>
  <si>
    <t>Minority Interest</t>
  </si>
  <si>
    <t>Total liabilities</t>
  </si>
  <si>
    <t>Common Stock - Par Value</t>
  </si>
  <si>
    <t>Additional Paid in Capital</t>
  </si>
  <si>
    <t>Interim Dividend</t>
  </si>
  <si>
    <t>Profit/loss for the Period</t>
  </si>
  <si>
    <t>Currency Translation Difference</t>
  </si>
  <si>
    <t>Hedging Transactions</t>
  </si>
  <si>
    <t>Adjustments Due to Changes in Value</t>
  </si>
  <si>
    <t>Total equity</t>
  </si>
  <si>
    <t>Total liabilities and equity</t>
  </si>
  <si>
    <t>CHECK</t>
  </si>
  <si>
    <t>Statement of cash flows</t>
  </si>
  <si>
    <t>Working capital</t>
  </si>
  <si>
    <t>Change in AR</t>
  </si>
  <si>
    <t>Change in inventory</t>
  </si>
  <si>
    <t>Change in AP</t>
  </si>
  <si>
    <t>Others adjustments in results(net)</t>
  </si>
  <si>
    <t>Proceeds/(payments) from operating activities</t>
  </si>
  <si>
    <t>Cash flows from operating activities</t>
  </si>
  <si>
    <t>Cash flows from investing activities</t>
  </si>
  <si>
    <t>Capex</t>
  </si>
  <si>
    <t>Sale of PPE</t>
  </si>
  <si>
    <t>Sale of subsid.</t>
  </si>
  <si>
    <t>Investment in short term sec.</t>
  </si>
  <si>
    <t>Debt issuances</t>
  </si>
  <si>
    <t>Debt repayments</t>
  </si>
  <si>
    <t>Dividends</t>
  </si>
  <si>
    <t>Common dividends</t>
  </si>
  <si>
    <t>Cash flows from financing activities</t>
  </si>
  <si>
    <t>Forex adj.</t>
  </si>
  <si>
    <t>Net change in cash</t>
  </si>
  <si>
    <t>PPE Schedule</t>
  </si>
  <si>
    <t>Depreciation</t>
  </si>
  <si>
    <t>days payable</t>
  </si>
  <si>
    <t>% COGS</t>
  </si>
  <si>
    <t>Cost Of Goods Sold</t>
  </si>
  <si>
    <t>Selling General &amp; Admin Exp.</t>
  </si>
  <si>
    <t>Other Operating Expense/(Income)</t>
  </si>
  <si>
    <t>Other Non-Operating Inc. (Exp.)</t>
  </si>
  <si>
    <t>Asset Writedown</t>
  </si>
  <si>
    <t>Other revenue</t>
  </si>
  <si>
    <t>Gross profit</t>
  </si>
  <si>
    <t>Inventory days</t>
  </si>
  <si>
    <t>days recievable</t>
  </si>
  <si>
    <t>Margins</t>
  </si>
  <si>
    <t>SG&amp;A</t>
  </si>
  <si>
    <t>COGS</t>
  </si>
  <si>
    <t>Other Operating Expenses</t>
  </si>
  <si>
    <t>Retained earnings</t>
  </si>
  <si>
    <t>Consumption of meat</t>
  </si>
  <si>
    <t>Interest expense</t>
  </si>
  <si>
    <t>Dividend</t>
  </si>
  <si>
    <t>Normal</t>
  </si>
  <si>
    <t>Special</t>
  </si>
  <si>
    <t>Total</t>
  </si>
  <si>
    <t>Shareoutstanding</t>
  </si>
  <si>
    <t>Growth</t>
  </si>
  <si>
    <t>DCF</t>
  </si>
  <si>
    <t>Less taxes</t>
  </si>
  <si>
    <t>Less increases in working capital</t>
  </si>
  <si>
    <t>Less CAPEX</t>
  </si>
  <si>
    <t>UFCF</t>
  </si>
  <si>
    <t>PV UFCF</t>
  </si>
  <si>
    <t>Period</t>
  </si>
  <si>
    <t>Rf</t>
  </si>
  <si>
    <t>MRP</t>
  </si>
  <si>
    <t>Terminal growth</t>
  </si>
  <si>
    <t>Terminal value</t>
  </si>
  <si>
    <t>Cost of equity</t>
  </si>
  <si>
    <t>Cost of debt</t>
  </si>
  <si>
    <t>After tax cost of debt</t>
  </si>
  <si>
    <t>Equity weight</t>
  </si>
  <si>
    <t>Debt weight</t>
  </si>
  <si>
    <t>PV of terminal value</t>
  </si>
  <si>
    <t>Sum of PV cashflows</t>
  </si>
  <si>
    <t>Enterprise value</t>
  </si>
  <si>
    <t>Terminal value % EV</t>
  </si>
  <si>
    <t>Equity value</t>
  </si>
  <si>
    <t>Implied share price</t>
  </si>
  <si>
    <t>Net debt</t>
  </si>
  <si>
    <t>WACC</t>
  </si>
  <si>
    <t>Average</t>
  </si>
  <si>
    <t>Returns</t>
  </si>
  <si>
    <t>ROIC</t>
  </si>
  <si>
    <t>ROIIC</t>
  </si>
  <si>
    <t>NOPAT</t>
  </si>
  <si>
    <t>Debt</t>
  </si>
  <si>
    <t>Equity</t>
  </si>
  <si>
    <t>Capital</t>
  </si>
  <si>
    <t>nm</t>
  </si>
  <si>
    <t>% of custom market</t>
  </si>
  <si>
    <t>Market drivers</t>
  </si>
  <si>
    <t>Global meat consumption growth</t>
  </si>
  <si>
    <t>Implied demand growth</t>
  </si>
  <si>
    <t>Population growth</t>
  </si>
  <si>
    <t>Acquisitions</t>
  </si>
  <si>
    <t>Geography breakdown</t>
  </si>
  <si>
    <t>%</t>
  </si>
  <si>
    <t>Implied FCF multiple</t>
  </si>
  <si>
    <t>*Reflects sale of vegetable business</t>
  </si>
  <si>
    <t>Current Valuation</t>
  </si>
  <si>
    <t>Stock Price</t>
  </si>
  <si>
    <t>EV / LTM Sales</t>
  </si>
  <si>
    <t>Shares Outstanding</t>
  </si>
  <si>
    <t>EV / LTM EBIT</t>
  </si>
  <si>
    <t>Market Cap</t>
  </si>
  <si>
    <t>EV / NTM EBIT</t>
  </si>
  <si>
    <t>P / LTM Earnings</t>
  </si>
  <si>
    <t>Enterprise Value</t>
  </si>
  <si>
    <t>P / NTM Earnings</t>
  </si>
  <si>
    <t>Share Performance</t>
  </si>
  <si>
    <t>52 Week High</t>
  </si>
  <si>
    <t>EPS (LTM)</t>
  </si>
  <si>
    <t>52 Week Low</t>
  </si>
  <si>
    <t>EPS (NTM)</t>
  </si>
  <si>
    <t>Avg. Volume</t>
  </si>
  <si>
    <t>Dividend Yield</t>
  </si>
  <si>
    <t>Viscofan</t>
  </si>
  <si>
    <t>(EUR, MM) Apr-21-2016</t>
  </si>
  <si>
    <t>Multiples*</t>
  </si>
  <si>
    <t>*Consensus estimates used for NTM</t>
  </si>
  <si>
    <t>ROE</t>
  </si>
  <si>
    <t>Management team is on page 22</t>
  </si>
  <si>
    <t>CEO increases position by 69.77% in march 2016</t>
  </si>
  <si>
    <t>Tenure</t>
  </si>
  <si>
    <t>Payout ratio</t>
  </si>
  <si>
    <t>Average payout ratio of 50%</t>
  </si>
  <si>
    <t>Low debt</t>
  </si>
  <si>
    <t>Operational focus</t>
  </si>
  <si>
    <t>Viscofan SA (BME: VIS)</t>
  </si>
  <si>
    <t>Current FCF multiple</t>
  </si>
  <si>
    <t>http://www.fao.org/docrep/005/y4252e/y4252e05b.htm</t>
  </si>
  <si>
    <t>Natural</t>
  </si>
  <si>
    <t>Africa</t>
  </si>
  <si>
    <t>Asia</t>
  </si>
  <si>
    <t>Latam</t>
  </si>
  <si>
    <t>Europe</t>
  </si>
  <si>
    <t>Long term meat demand per capita</t>
  </si>
  <si>
    <t>Gross</t>
  </si>
  <si>
    <r>
      <t xml:space="preserve">Margins </t>
    </r>
    <r>
      <rPr>
        <sz val="10"/>
        <color theme="1"/>
        <rFont val="Calibri"/>
        <family val="2"/>
        <scheme val="minor"/>
      </rPr>
      <t>(LTM)</t>
    </r>
  </si>
  <si>
    <t>Devro</t>
  </si>
  <si>
    <t>Shenguan</t>
  </si>
  <si>
    <t xml:space="preserve">Viskase </t>
  </si>
  <si>
    <r>
      <rPr>
        <b/>
        <sz val="10"/>
        <color theme="1"/>
        <rFont val="Calibri"/>
        <family val="2"/>
        <scheme val="minor"/>
      </rPr>
      <t>Growth</t>
    </r>
    <r>
      <rPr>
        <sz val="10"/>
        <color theme="1"/>
        <rFont val="Calibri"/>
        <family val="2"/>
        <scheme val="minor"/>
      </rPr>
      <t xml:space="preserve"> (LTM)</t>
    </r>
  </si>
  <si>
    <t>Debt/Capital</t>
  </si>
  <si>
    <t>Upside</t>
  </si>
  <si>
    <t>Guidance</t>
  </si>
  <si>
    <t>Sum</t>
  </si>
  <si>
    <t>Un levered beta</t>
  </si>
  <si>
    <t>Levered beta</t>
  </si>
  <si>
    <t>Less Cash (Q1 2016)</t>
  </si>
  <si>
    <t>Plus Debt (Q1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</si>
</sst>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164" formatCode="#,##0.0_);\(#,##0.0\);@_)"/>
    <numFmt numFmtId="165" formatCode="0.0%_);\(0.0%\);@_)"/>
    <numFmt numFmtId="166" formatCode="0.000%"/>
    <numFmt numFmtId="167" formatCode="####&quot;E&quot;"/>
    <numFmt numFmtId="168" formatCode="#,##0_);\(#,##0\);@_)"/>
    <numFmt numFmtId="169" formatCode="#,##0.00_);\(#,##0.00\);@_)"/>
    <numFmt numFmtId="170" formatCode="#,##0.000_);\(#,##0.000\);@_)"/>
    <numFmt numFmtId="171" formatCode="#,##0.0000000000000"/>
    <numFmt numFmtId="172" formatCode="0.0\x_);\(0.0\x\);@_)"/>
    <numFmt numFmtId="173" formatCode="####&quot;*&quot;"/>
    <numFmt numFmtId="174" formatCode="[$-F800]dddd\,\ mmmm\ dd\,\ yyyy"/>
    <numFmt numFmtId="175" formatCode="##.#&quot;MM&quot;"/>
    <numFmt numFmtId="176" formatCode="0##.##&quot;MM&quot;"/>
    <numFmt numFmtId="177" formatCode="0%_);\(0%\);@_)"/>
    <numFmt numFmtId="178" formatCode="[$€-2]\ #,##0.00;\-[$€-2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5" fontId="3" fillId="0" borderId="0" xfId="0" applyNumberFormat="1" applyFont="1"/>
    <xf numFmtId="166" fontId="2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16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1"/>
    </xf>
    <xf numFmtId="168" fontId="2" fillId="0" borderId="0" xfId="0" applyNumberFormat="1" applyFont="1"/>
    <xf numFmtId="167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7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2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/>
    <xf numFmtId="0" fontId="10" fillId="2" borderId="0" xfId="0" applyFont="1" applyFill="1"/>
    <xf numFmtId="167" fontId="10" fillId="2" borderId="0" xfId="0" applyNumberFormat="1" applyFont="1" applyFill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168" fontId="8" fillId="0" borderId="0" xfId="0" applyNumberFormat="1" applyFont="1"/>
    <xf numFmtId="164" fontId="2" fillId="0" borderId="1" xfId="0" applyNumberFormat="1" applyFont="1" applyBorder="1"/>
    <xf numFmtId="168" fontId="2" fillId="0" borderId="1" xfId="0" applyNumberFormat="1" applyFont="1" applyBorder="1"/>
    <xf numFmtId="168" fontId="2" fillId="0" borderId="3" xfId="0" applyNumberFormat="1" applyFont="1" applyBorder="1"/>
    <xf numFmtId="168" fontId="9" fillId="0" borderId="0" xfId="0" applyNumberFormat="1" applyFont="1"/>
    <xf numFmtId="169" fontId="2" fillId="0" borderId="1" xfId="0" applyNumberFormat="1" applyFont="1" applyBorder="1"/>
    <xf numFmtId="165" fontId="8" fillId="0" borderId="0" xfId="0" applyNumberFormat="1" applyFont="1"/>
    <xf numFmtId="171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68" fontId="9" fillId="0" borderId="1" xfId="0" applyNumberFormat="1" applyFont="1" applyBorder="1"/>
    <xf numFmtId="172" fontId="2" fillId="0" borderId="0" xfId="0" applyNumberFormat="1" applyFont="1"/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/>
    <xf numFmtId="16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10" fillId="0" borderId="1" xfId="0" applyFont="1" applyBorder="1"/>
    <xf numFmtId="165" fontId="11" fillId="0" borderId="1" xfId="0" applyNumberFormat="1" applyFont="1" applyBorder="1"/>
    <xf numFmtId="164" fontId="10" fillId="0" borderId="1" xfId="0" applyNumberFormat="1" applyFont="1" applyBorder="1"/>
    <xf numFmtId="173" fontId="10" fillId="2" borderId="0" xfId="0" applyNumberFormat="1" applyFont="1" applyFill="1" applyAlignment="1">
      <alignment horizontal="center"/>
    </xf>
    <xf numFmtId="164" fontId="8" fillId="0" borderId="1" xfId="0" applyNumberFormat="1" applyFont="1" applyBorder="1"/>
    <xf numFmtId="165" fontId="7" fillId="0" borderId="1" xfId="0" applyNumberFormat="1" applyFont="1" applyBorder="1"/>
    <xf numFmtId="0" fontId="2" fillId="0" borderId="0" xfId="0" applyFont="1" applyBorder="1"/>
    <xf numFmtId="169" fontId="2" fillId="0" borderId="0" xfId="0" applyNumberFormat="1" applyFont="1" applyBorder="1"/>
    <xf numFmtId="172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9" fillId="2" borderId="0" xfId="0" applyFont="1" applyFill="1"/>
    <xf numFmtId="174" fontId="9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178" fontId="2" fillId="0" borderId="0" xfId="1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164" fontId="3" fillId="0" borderId="0" xfId="0" applyNumberFormat="1" applyFont="1"/>
    <xf numFmtId="172" fontId="2" fillId="0" borderId="1" xfId="0" applyNumberFormat="1" applyFont="1" applyBorder="1"/>
    <xf numFmtId="0" fontId="14" fillId="0" borderId="0" xfId="2" applyFont="1"/>
    <xf numFmtId="177" fontId="3" fillId="0" borderId="0" xfId="0" applyNumberFormat="1" applyFont="1"/>
    <xf numFmtId="177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0" fillId="0" borderId="0" xfId="0" applyFont="1" applyBorder="1"/>
    <xf numFmtId="177" fontId="3" fillId="0" borderId="0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10" fillId="2" borderId="8" xfId="0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2" fillId="2" borderId="8" xfId="0" applyFont="1" applyFill="1" applyBorder="1"/>
    <xf numFmtId="164" fontId="2" fillId="0" borderId="0" xfId="0" applyNumberFormat="1" applyFont="1" applyBorder="1"/>
    <xf numFmtId="177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9" fontId="10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fao.org/docrep/005/y4252e/y4252e05b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showGridLines="0" tabSelected="1" workbookViewId="0"/>
  </sheetViews>
  <sheetFormatPr defaultRowHeight="12.75" x14ac:dyDescent="0.2"/>
  <cols>
    <col min="1" max="16384" width="9.140625" style="1"/>
  </cols>
  <sheetData>
    <row r="1" spans="1:15" s="22" customFormat="1" x14ac:dyDescent="0.2">
      <c r="A1" s="25" t="s">
        <v>29</v>
      </c>
      <c r="B1" s="25"/>
      <c r="C1" s="23">
        <v>2013</v>
      </c>
      <c r="D1" s="23">
        <f>C1+1</f>
        <v>2014</v>
      </c>
      <c r="E1" s="23">
        <f>D1+1</f>
        <v>2015</v>
      </c>
      <c r="F1" s="26">
        <f t="shared" ref="F1:J1" si="0">E1+1</f>
        <v>2016</v>
      </c>
      <c r="G1" s="26">
        <f t="shared" si="0"/>
        <v>2017</v>
      </c>
      <c r="H1" s="26">
        <f t="shared" si="0"/>
        <v>2018</v>
      </c>
      <c r="I1" s="26">
        <f t="shared" si="0"/>
        <v>2019</v>
      </c>
      <c r="J1" s="26">
        <f t="shared" si="0"/>
        <v>2020</v>
      </c>
    </row>
    <row r="2" spans="1:15" s="27" customFormat="1" x14ac:dyDescent="0.2">
      <c r="F2" s="18"/>
    </row>
    <row r="3" spans="1:15" x14ac:dyDescent="0.2">
      <c r="A3" s="1" t="s">
        <v>11</v>
      </c>
      <c r="C3" s="29">
        <v>660.20100000000002</v>
      </c>
      <c r="D3" s="29">
        <v>687.06299999999999</v>
      </c>
      <c r="E3" s="29">
        <v>740.77</v>
      </c>
      <c r="F3" s="15">
        <v>760.21</v>
      </c>
      <c r="G3" s="15">
        <f>F3*(1+G4)</f>
        <v>790.61840000000007</v>
      </c>
      <c r="H3" s="15">
        <f t="shared" ref="H3:J3" si="1">G3*(1+H4)</f>
        <v>814.33695200000011</v>
      </c>
      <c r="I3" s="15">
        <f t="shared" si="1"/>
        <v>834.69537580000008</v>
      </c>
      <c r="J3" s="15">
        <f t="shared" si="1"/>
        <v>855.56276019500001</v>
      </c>
    </row>
    <row r="4" spans="1:15" x14ac:dyDescent="0.2">
      <c r="A4" s="14" t="s">
        <v>23</v>
      </c>
      <c r="C4" s="29"/>
      <c r="D4" s="9">
        <f>D3/C3-1</f>
        <v>4.0687608773691597E-2</v>
      </c>
      <c r="E4" s="9">
        <f t="shared" ref="E4" si="2">E3/D3-1</f>
        <v>7.8168959760604118E-2</v>
      </c>
      <c r="F4" s="9">
        <f>F3/E3-1</f>
        <v>2.624296340294574E-2</v>
      </c>
      <c r="G4" s="10">
        <v>0.04</v>
      </c>
      <c r="H4" s="10">
        <v>0.03</v>
      </c>
      <c r="I4" s="10">
        <v>2.5000000000000001E-2</v>
      </c>
      <c r="J4" s="10">
        <v>2.5000000000000001E-2</v>
      </c>
      <c r="O4" s="38"/>
    </row>
    <row r="5" spans="1:15" x14ac:dyDescent="0.2">
      <c r="A5" s="1" t="s">
        <v>107</v>
      </c>
      <c r="C5" s="29">
        <v>3.0579999999999998</v>
      </c>
      <c r="D5" s="29">
        <v>4.2859999999999996</v>
      </c>
      <c r="E5" s="29">
        <v>4.9160000000000004</v>
      </c>
      <c r="F5" s="29">
        <f>E5</f>
        <v>4.9160000000000004</v>
      </c>
      <c r="G5" s="29">
        <f t="shared" ref="G5:J5" si="3">F5</f>
        <v>4.9160000000000004</v>
      </c>
      <c r="H5" s="29">
        <f t="shared" si="3"/>
        <v>4.9160000000000004</v>
      </c>
      <c r="I5" s="29">
        <f t="shared" si="3"/>
        <v>4.9160000000000004</v>
      </c>
      <c r="J5" s="29">
        <f t="shared" si="3"/>
        <v>4.9160000000000004</v>
      </c>
      <c r="O5" s="38"/>
    </row>
    <row r="6" spans="1:15" x14ac:dyDescent="0.2">
      <c r="A6" s="1" t="s">
        <v>102</v>
      </c>
      <c r="C6" s="29">
        <v>-219.53100000000001</v>
      </c>
      <c r="D6" s="29">
        <v>-214.488</v>
      </c>
      <c r="E6" s="29">
        <v>-230.53200000000001</v>
      </c>
      <c r="F6" s="29">
        <f>Forecasts!F24*FS!F3</f>
        <v>-239.46615</v>
      </c>
      <c r="G6" s="29">
        <f>Forecasts!G24*FS!G3</f>
        <v>-249.04479600000002</v>
      </c>
      <c r="H6" s="29">
        <f>Forecasts!H24*FS!H3</f>
        <v>-256.51613988000003</v>
      </c>
      <c r="I6" s="29">
        <f>Forecasts!I24*FS!I3</f>
        <v>-262.92904337700003</v>
      </c>
      <c r="J6" s="29">
        <f>Forecasts!J24*FS!J3</f>
        <v>-269.50226946142499</v>
      </c>
    </row>
    <row r="7" spans="1:15" s="27" customFormat="1" x14ac:dyDescent="0.2">
      <c r="A7" s="27" t="s">
        <v>108</v>
      </c>
      <c r="C7" s="39">
        <f>C3+C5+C6</f>
        <v>443.72800000000001</v>
      </c>
      <c r="D7" s="39">
        <f t="shared" ref="D7:J7" si="4">D3+D5+D6</f>
        <v>476.86099999999993</v>
      </c>
      <c r="E7" s="39">
        <f t="shared" si="4"/>
        <v>515.154</v>
      </c>
      <c r="F7" s="39">
        <f t="shared" si="4"/>
        <v>525.65985000000012</v>
      </c>
      <c r="G7" s="39">
        <f t="shared" si="4"/>
        <v>546.4896040000001</v>
      </c>
      <c r="H7" s="39">
        <f t="shared" si="4"/>
        <v>562.7368121200002</v>
      </c>
      <c r="I7" s="39">
        <f t="shared" si="4"/>
        <v>576.68233242300016</v>
      </c>
      <c r="J7" s="39">
        <f t="shared" si="4"/>
        <v>590.97649073357502</v>
      </c>
    </row>
    <row r="8" spans="1:15" x14ac:dyDescent="0.2">
      <c r="A8" s="14"/>
      <c r="C8" s="29"/>
      <c r="D8" s="9"/>
      <c r="E8" s="9"/>
      <c r="F8" s="9"/>
      <c r="G8" s="9"/>
      <c r="H8" s="9"/>
      <c r="I8" s="15"/>
      <c r="J8" s="15"/>
    </row>
    <row r="9" spans="1:15" x14ac:dyDescent="0.2">
      <c r="A9" s="1" t="s">
        <v>103</v>
      </c>
      <c r="C9" s="29">
        <v>-143.464</v>
      </c>
      <c r="D9" s="29">
        <v>-151.911</v>
      </c>
      <c r="E9" s="29">
        <v>-162.95400000000001</v>
      </c>
      <c r="F9" s="29">
        <f>F3*Forecasts!F25</f>
        <v>-163.44515000000001</v>
      </c>
      <c r="G9" s="29">
        <f>G3*Forecasts!G25</f>
        <v>-169.982956</v>
      </c>
      <c r="H9" s="29">
        <f>H3*Forecasts!H25</f>
        <v>-175.08244468000001</v>
      </c>
      <c r="I9" s="29">
        <f>I3*Forecasts!I25</f>
        <v>-179.45950579700002</v>
      </c>
      <c r="J9" s="29">
        <f>J3*Forecasts!J25</f>
        <v>-183.945993441925</v>
      </c>
    </row>
    <row r="10" spans="1:15" x14ac:dyDescent="0.2">
      <c r="A10" s="1" t="s">
        <v>104</v>
      </c>
      <c r="C10" s="29">
        <v>-132.22300000000001</v>
      </c>
      <c r="D10" s="29">
        <v>-140.28700000000001</v>
      </c>
      <c r="E10" s="29">
        <v>-139.982</v>
      </c>
      <c r="F10" s="29">
        <f>F3*Forecasts!F26</f>
        <v>-148.24095</v>
      </c>
      <c r="G10" s="29">
        <f>G3*Forecasts!G26</f>
        <v>-154.17058800000001</v>
      </c>
      <c r="H10" s="29">
        <f>H3*Forecasts!H26</f>
        <v>-158.79570564000002</v>
      </c>
      <c r="I10" s="29">
        <f>I3*Forecasts!I26</f>
        <v>-162.76559828100002</v>
      </c>
      <c r="J10" s="29">
        <f>J3*Forecasts!J26</f>
        <v>-166.83473823802501</v>
      </c>
    </row>
    <row r="11" spans="1:15" x14ac:dyDescent="0.2">
      <c r="A11" s="14"/>
      <c r="C11" s="29"/>
      <c r="D11" s="9"/>
      <c r="E11" s="9"/>
      <c r="F11" s="9"/>
      <c r="G11" s="9"/>
      <c r="H11" s="9"/>
      <c r="I11" s="15"/>
      <c r="J11" s="15"/>
    </row>
    <row r="12" spans="1:15" s="27" customFormat="1" x14ac:dyDescent="0.2">
      <c r="A12" s="27" t="s">
        <v>22</v>
      </c>
      <c r="C12" s="31">
        <f>C3+C6+C9+C10+C5</f>
        <v>168.041</v>
      </c>
      <c r="D12" s="31">
        <f t="shared" ref="D12" si="5">D3+D6+D9+D10+D5</f>
        <v>184.66299999999998</v>
      </c>
      <c r="E12" s="31">
        <f>E3+E6+E9+E10+E5</f>
        <v>212.21799999999993</v>
      </c>
      <c r="F12" s="31">
        <f t="shared" ref="F12:J12" si="6">F3+F6+F9+F10+F5</f>
        <v>213.97375000000005</v>
      </c>
      <c r="G12" s="31">
        <f t="shared" si="6"/>
        <v>222.33606000000003</v>
      </c>
      <c r="H12" s="31">
        <f t="shared" si="6"/>
        <v>228.85866180000002</v>
      </c>
      <c r="I12" s="31">
        <f t="shared" si="6"/>
        <v>234.45722834499995</v>
      </c>
      <c r="J12" s="31">
        <f t="shared" si="6"/>
        <v>240.19575905362507</v>
      </c>
    </row>
    <row r="13" spans="1:15" x14ac:dyDescent="0.2">
      <c r="A13" s="14"/>
      <c r="C13" s="29"/>
      <c r="D13" s="9"/>
      <c r="E13" s="9"/>
      <c r="F13" s="9"/>
      <c r="G13" s="9"/>
      <c r="H13" s="9"/>
      <c r="I13" s="15"/>
      <c r="J13" s="15"/>
    </row>
    <row r="14" spans="1:15" x14ac:dyDescent="0.2">
      <c r="A14" s="1" t="s">
        <v>30</v>
      </c>
      <c r="C14" s="29">
        <v>-45.142000000000003</v>
      </c>
      <c r="D14" s="29">
        <v>-49.162999999999997</v>
      </c>
      <c r="E14" s="29">
        <v>-53.048999999999999</v>
      </c>
      <c r="F14" s="15">
        <f>-Forecasts!F4</f>
        <v>-54.291520000000006</v>
      </c>
      <c r="G14" s="15">
        <f>-Forecasts!G4</f>
        <v>-56.991417779337731</v>
      </c>
      <c r="H14" s="15">
        <f>-Forecasts!H4</f>
        <v>-60.59720699367417</v>
      </c>
      <c r="I14" s="15">
        <f>-Forecasts!I4</f>
        <v>-63.781039681742214</v>
      </c>
      <c r="J14" s="15">
        <f>-Forecasts!J4</f>
        <v>-66.775630064000012</v>
      </c>
    </row>
    <row r="15" spans="1:15" x14ac:dyDescent="0.2">
      <c r="A15" s="14"/>
      <c r="C15" s="29"/>
      <c r="D15" s="9"/>
      <c r="E15" s="9"/>
      <c r="F15" s="9"/>
      <c r="G15" s="9"/>
      <c r="H15" s="9"/>
      <c r="I15" s="15"/>
      <c r="J15" s="15"/>
    </row>
    <row r="16" spans="1:15" s="27" customFormat="1" x14ac:dyDescent="0.2">
      <c r="A16" s="27" t="s">
        <v>31</v>
      </c>
      <c r="C16" s="31">
        <f>C12+C14</f>
        <v>122.899</v>
      </c>
      <c r="D16" s="31">
        <f t="shared" ref="D16:J16" si="7">D12+D14</f>
        <v>135.5</v>
      </c>
      <c r="E16" s="31">
        <f t="shared" si="7"/>
        <v>159.16899999999993</v>
      </c>
      <c r="F16" s="31">
        <f>F12+F14</f>
        <v>159.68223000000006</v>
      </c>
      <c r="G16" s="31">
        <f t="shared" si="7"/>
        <v>165.34464222066231</v>
      </c>
      <c r="H16" s="31">
        <f t="shared" si="7"/>
        <v>168.26145480632584</v>
      </c>
      <c r="I16" s="31">
        <f t="shared" si="7"/>
        <v>170.67618866325773</v>
      </c>
      <c r="J16" s="31">
        <f t="shared" si="7"/>
        <v>173.42012898962506</v>
      </c>
    </row>
    <row r="18" spans="1:15" x14ac:dyDescent="0.2">
      <c r="A18" s="1" t="s">
        <v>32</v>
      </c>
      <c r="C18" s="29">
        <v>0.443</v>
      </c>
      <c r="D18" s="29">
        <v>0.32200000000000001</v>
      </c>
      <c r="E18" s="29">
        <v>0.69399999999999995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O18" s="15"/>
    </row>
    <row r="19" spans="1:15" x14ac:dyDescent="0.2">
      <c r="A19" s="1" t="s">
        <v>33</v>
      </c>
      <c r="C19" s="29">
        <v>-2.2000000000000002</v>
      </c>
      <c r="D19" s="29">
        <v>-3.6</v>
      </c>
      <c r="E19" s="29">
        <v>-2.9</v>
      </c>
      <c r="F19" s="33">
        <f>(F55+F61)*Forecasts!F28</f>
        <v>-2.02359</v>
      </c>
      <c r="G19" s="33">
        <f>(G55+G61)*Forecasts!G28</f>
        <v>-2.02359</v>
      </c>
      <c r="H19" s="33">
        <f>(H55+H61)*Forecasts!H28</f>
        <v>-2.02359</v>
      </c>
      <c r="I19" s="33">
        <f>(I55+I61)*Forecasts!I28</f>
        <v>-2.02359</v>
      </c>
      <c r="J19" s="33">
        <f>(J55+J61)*Forecasts!J28</f>
        <v>-2.02359</v>
      </c>
    </row>
    <row r="20" spans="1:15" x14ac:dyDescent="0.2">
      <c r="A20" s="1" t="s">
        <v>34</v>
      </c>
      <c r="C20" s="29">
        <v>-0.623</v>
      </c>
      <c r="D20" s="29">
        <v>1.9159999999999999</v>
      </c>
      <c r="E20" s="29">
        <v>-6.6079999999999997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5" x14ac:dyDescent="0.2">
      <c r="C21" s="11"/>
      <c r="D21" s="29"/>
      <c r="E21" s="29"/>
    </row>
    <row r="22" spans="1:15" x14ac:dyDescent="0.2">
      <c r="A22" s="1" t="s">
        <v>105</v>
      </c>
      <c r="C22" s="11">
        <v>1.1180000000000001</v>
      </c>
      <c r="D22" s="29">
        <v>0.45500000000000002</v>
      </c>
      <c r="E22" s="29">
        <v>1.3120000000000001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</row>
    <row r="23" spans="1:15" x14ac:dyDescent="0.2">
      <c r="A23" s="1" t="s">
        <v>106</v>
      </c>
      <c r="C23" s="11">
        <v>-0.2</v>
      </c>
      <c r="D23" s="29">
        <v>-0.4</v>
      </c>
      <c r="E23" s="29">
        <v>-0.1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5" spans="1:15" s="27" customFormat="1" x14ac:dyDescent="0.2">
      <c r="A25" s="27" t="s">
        <v>35</v>
      </c>
      <c r="C25" s="31">
        <f t="shared" ref="C25:J25" si="8">SUM(C18:C23)+C16</f>
        <v>121.437</v>
      </c>
      <c r="D25" s="31">
        <f t="shared" si="8"/>
        <v>134.19300000000001</v>
      </c>
      <c r="E25" s="31">
        <f t="shared" si="8"/>
        <v>151.56699999999992</v>
      </c>
      <c r="F25" s="31">
        <f t="shared" si="8"/>
        <v>157.65864000000005</v>
      </c>
      <c r="G25" s="31">
        <f t="shared" si="8"/>
        <v>163.3210522206623</v>
      </c>
      <c r="H25" s="31">
        <f t="shared" si="8"/>
        <v>166.23786480632583</v>
      </c>
      <c r="I25" s="31">
        <f t="shared" si="8"/>
        <v>168.65259866325772</v>
      </c>
      <c r="J25" s="31">
        <f t="shared" si="8"/>
        <v>171.39653898962504</v>
      </c>
    </row>
    <row r="26" spans="1:15" x14ac:dyDescent="0.2">
      <c r="C26" s="15"/>
      <c r="D26" s="15"/>
      <c r="E26" s="15"/>
    </row>
    <row r="27" spans="1:15" x14ac:dyDescent="0.2">
      <c r="A27" s="1" t="s">
        <v>36</v>
      </c>
      <c r="C27" s="29">
        <v>-25.562999999999999</v>
      </c>
      <c r="D27" s="29">
        <v>-30.611999999999998</v>
      </c>
      <c r="E27" s="29">
        <v>-31.882999999999999</v>
      </c>
      <c r="F27" s="29">
        <f>-F28*F25</f>
        <v>-33.108314400000012</v>
      </c>
      <c r="G27" s="29">
        <f t="shared" ref="G27:J27" si="9">-G28*G25</f>
        <v>-37.256668012332341</v>
      </c>
      <c r="H27" s="29">
        <f t="shared" si="9"/>
        <v>-37.922048970149305</v>
      </c>
      <c r="I27" s="29">
        <f t="shared" si="9"/>
        <v>-38.472896129303649</v>
      </c>
      <c r="J27" s="29">
        <f t="shared" si="9"/>
        <v>-39.098841605377338</v>
      </c>
    </row>
    <row r="28" spans="1:15" x14ac:dyDescent="0.2">
      <c r="A28" s="14" t="s">
        <v>38</v>
      </c>
      <c r="C28" s="9">
        <f>-C27/C25</f>
        <v>0.21050421206057462</v>
      </c>
      <c r="D28" s="9">
        <f t="shared" ref="D28:E28" si="10">-D27/D25</f>
        <v>0.22811920144865974</v>
      </c>
      <c r="E28" s="9">
        <f t="shared" si="10"/>
        <v>0.21035581623968289</v>
      </c>
      <c r="F28" s="35">
        <v>0.21</v>
      </c>
      <c r="G28" s="35">
        <f t="shared" ref="G28:J28" si="11">MAX(D28:F28)</f>
        <v>0.22811920144865974</v>
      </c>
      <c r="H28" s="35">
        <f t="shared" si="11"/>
        <v>0.22811920144865974</v>
      </c>
      <c r="I28" s="35">
        <f t="shared" si="11"/>
        <v>0.22811920144865974</v>
      </c>
      <c r="J28" s="35">
        <f t="shared" si="11"/>
        <v>0.22811920144865974</v>
      </c>
    </row>
    <row r="29" spans="1:15" x14ac:dyDescent="0.2">
      <c r="C29" s="15"/>
      <c r="D29" s="15"/>
      <c r="E29" s="15"/>
    </row>
    <row r="30" spans="1:15" x14ac:dyDescent="0.2">
      <c r="A30" s="1" t="s">
        <v>37</v>
      </c>
      <c r="C30" s="29">
        <v>4.6740000000000004</v>
      </c>
      <c r="D30" s="29">
        <v>2.823</v>
      </c>
      <c r="E30" s="29">
        <v>0.41099999999999998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1:15" x14ac:dyDescent="0.2">
      <c r="C31" s="15"/>
      <c r="D31" s="15"/>
      <c r="E31" s="15"/>
    </row>
    <row r="32" spans="1:15" s="28" customFormat="1" ht="13.5" thickBot="1" x14ac:dyDescent="0.25">
      <c r="A32" s="28" t="s">
        <v>24</v>
      </c>
      <c r="C32" s="32">
        <f t="shared" ref="C32:J32" si="12">SUM(C25:C27)+C30</f>
        <v>100.548</v>
      </c>
      <c r="D32" s="32">
        <f t="shared" si="12"/>
        <v>106.40400000000001</v>
      </c>
      <c r="E32" s="32">
        <f t="shared" si="12"/>
        <v>120.09499999999993</v>
      </c>
      <c r="F32" s="32">
        <f t="shared" si="12"/>
        <v>124.55032560000004</v>
      </c>
      <c r="G32" s="32">
        <f t="shared" si="12"/>
        <v>126.06438420832995</v>
      </c>
      <c r="H32" s="32">
        <f t="shared" si="12"/>
        <v>128.31581583617651</v>
      </c>
      <c r="I32" s="32">
        <f t="shared" si="12"/>
        <v>130.17970253395407</v>
      </c>
      <c r="J32" s="32">
        <f t="shared" si="12"/>
        <v>132.2976973842477</v>
      </c>
    </row>
    <row r="33" spans="1:10" ht="13.5" thickTop="1" x14ac:dyDescent="0.2"/>
    <row r="34" spans="1:10" s="22" customFormat="1" x14ac:dyDescent="0.2">
      <c r="A34" s="25" t="s">
        <v>39</v>
      </c>
      <c r="B34" s="25"/>
      <c r="C34" s="23">
        <f>C1</f>
        <v>2013</v>
      </c>
      <c r="D34" s="23">
        <f>C34+1</f>
        <v>2014</v>
      </c>
      <c r="E34" s="23">
        <f t="shared" ref="E34:J34" si="13">D34+1</f>
        <v>2015</v>
      </c>
      <c r="F34" s="26">
        <f t="shared" si="13"/>
        <v>2016</v>
      </c>
      <c r="G34" s="26">
        <f t="shared" si="13"/>
        <v>2017</v>
      </c>
      <c r="H34" s="26">
        <f t="shared" si="13"/>
        <v>2018</v>
      </c>
      <c r="I34" s="26">
        <f t="shared" si="13"/>
        <v>2019</v>
      </c>
      <c r="J34" s="26">
        <f t="shared" si="13"/>
        <v>2020</v>
      </c>
    </row>
    <row r="35" spans="1:10" s="27" customFormat="1" x14ac:dyDescent="0.2"/>
    <row r="36" spans="1:10" x14ac:dyDescent="0.2">
      <c r="A36" s="1" t="s">
        <v>40</v>
      </c>
      <c r="C36" s="29">
        <v>16.739000000000001</v>
      </c>
      <c r="D36" s="29">
        <v>25.600999999999999</v>
      </c>
      <c r="E36" s="29">
        <v>44.453000000000003</v>
      </c>
      <c r="F36" s="15">
        <f>E36+F112</f>
        <v>61.684551604065419</v>
      </c>
      <c r="G36" s="15">
        <f t="shared" ref="G36:J36" si="14">F36+G112</f>
        <v>100.7949762397307</v>
      </c>
      <c r="H36" s="15">
        <f t="shared" si="14"/>
        <v>152.55507665817998</v>
      </c>
      <c r="I36" s="15">
        <f t="shared" si="14"/>
        <v>207.91408747347214</v>
      </c>
      <c r="J36" s="15">
        <f t="shared" si="14"/>
        <v>265.48888909283323</v>
      </c>
    </row>
    <row r="37" spans="1:10" x14ac:dyDescent="0.2">
      <c r="A37" s="1" t="s">
        <v>53</v>
      </c>
      <c r="C37" s="29">
        <v>123.64</v>
      </c>
      <c r="D37" s="29">
        <v>124.745</v>
      </c>
      <c r="E37" s="29">
        <v>128.97399999999999</v>
      </c>
      <c r="F37" s="15">
        <f>Forecasts!F9</f>
        <v>136.83780000000002</v>
      </c>
      <c r="G37" s="15">
        <f>Forecasts!G9</f>
        <v>142.31131200000002</v>
      </c>
      <c r="H37" s="15">
        <f>Forecasts!H9</f>
        <v>146.58065136000002</v>
      </c>
      <c r="I37" s="15">
        <f>Forecasts!I9</f>
        <v>150.24516764400002</v>
      </c>
      <c r="J37" s="15">
        <f>Forecasts!J9</f>
        <v>154.00129683509999</v>
      </c>
    </row>
    <row r="38" spans="1:10" x14ac:dyDescent="0.2">
      <c r="A38" s="1" t="s">
        <v>54</v>
      </c>
      <c r="C38" s="29">
        <v>25.562000000000001</v>
      </c>
      <c r="D38" s="29">
        <v>25.393999999999998</v>
      </c>
      <c r="E38" s="29">
        <v>26.088999999999999</v>
      </c>
      <c r="F38" s="15">
        <f>Forecasts!F12</f>
        <v>28.101793846168555</v>
      </c>
      <c r="G38" s="15">
        <f>Forecasts!G12</f>
        <v>29.2258656000153</v>
      </c>
      <c r="H38" s="15">
        <f>Forecasts!H12</f>
        <v>30.102641568015759</v>
      </c>
      <c r="I38" s="15">
        <f>Forecasts!I12</f>
        <v>30.855207607216151</v>
      </c>
      <c r="J38" s="15">
        <f>Forecasts!J12</f>
        <v>31.626587797396553</v>
      </c>
    </row>
    <row r="39" spans="1:10" x14ac:dyDescent="0.2">
      <c r="A39" s="1" t="s">
        <v>52</v>
      </c>
      <c r="C39" s="29">
        <v>1.1970000000000001</v>
      </c>
      <c r="D39" s="29">
        <v>5.258</v>
      </c>
      <c r="E39" s="29">
        <v>4.2329999999999997</v>
      </c>
      <c r="F39" s="29">
        <f>E39</f>
        <v>4.2329999999999997</v>
      </c>
      <c r="G39" s="29">
        <f t="shared" ref="G39:J39" si="15">F39</f>
        <v>4.2329999999999997</v>
      </c>
      <c r="H39" s="29">
        <f t="shared" si="15"/>
        <v>4.2329999999999997</v>
      </c>
      <c r="I39" s="29">
        <f t="shared" si="15"/>
        <v>4.2329999999999997</v>
      </c>
      <c r="J39" s="29">
        <f t="shared" si="15"/>
        <v>4.2329999999999997</v>
      </c>
    </row>
    <row r="40" spans="1:10" x14ac:dyDescent="0.2">
      <c r="A40" s="1" t="s">
        <v>41</v>
      </c>
      <c r="C40" s="29">
        <v>202.989</v>
      </c>
      <c r="D40" s="29">
        <v>189.08500000000001</v>
      </c>
      <c r="E40" s="29">
        <v>208.637</v>
      </c>
      <c r="F40" s="15">
        <f>Forecasts!F14</f>
        <v>216.41649188712853</v>
      </c>
      <c r="G40" s="15">
        <f>Forecasts!G14</f>
        <v>225.0731515626137</v>
      </c>
      <c r="H40" s="15">
        <f>Forecasts!H14</f>
        <v>231.82534610949213</v>
      </c>
      <c r="I40" s="15">
        <f>Forecasts!I14</f>
        <v>237.62097976222941</v>
      </c>
      <c r="J40" s="15">
        <f>Forecasts!J14</f>
        <v>243.56150425628513</v>
      </c>
    </row>
    <row r="41" spans="1:10" x14ac:dyDescent="0.2">
      <c r="A41" s="1" t="s">
        <v>43</v>
      </c>
      <c r="C41" s="29">
        <v>5.9359999999999999</v>
      </c>
      <c r="D41" s="29">
        <v>1.0189999999999999</v>
      </c>
      <c r="E41" s="29">
        <v>1.214</v>
      </c>
      <c r="F41" s="29">
        <f>E41</f>
        <v>1.214</v>
      </c>
      <c r="G41" s="29">
        <f t="shared" ref="G41:J41" si="16">F41</f>
        <v>1.214</v>
      </c>
      <c r="H41" s="29">
        <f t="shared" si="16"/>
        <v>1.214</v>
      </c>
      <c r="I41" s="29">
        <f t="shared" si="16"/>
        <v>1.214</v>
      </c>
      <c r="J41" s="29">
        <f t="shared" si="16"/>
        <v>1.214</v>
      </c>
    </row>
    <row r="42" spans="1:10" x14ac:dyDescent="0.2">
      <c r="A42" s="1" t="s">
        <v>44</v>
      </c>
      <c r="C42" s="29">
        <v>2.649</v>
      </c>
      <c r="D42" s="29">
        <v>2.5059999999999998</v>
      </c>
      <c r="E42" s="29">
        <v>2.133</v>
      </c>
      <c r="F42" s="29">
        <f>E42</f>
        <v>2.133</v>
      </c>
      <c r="G42" s="29">
        <f t="shared" ref="G42:J42" si="17">F42</f>
        <v>2.133</v>
      </c>
      <c r="H42" s="29">
        <f t="shared" si="17"/>
        <v>2.133</v>
      </c>
      <c r="I42" s="29">
        <f t="shared" si="17"/>
        <v>2.133</v>
      </c>
      <c r="J42" s="29">
        <f t="shared" si="17"/>
        <v>2.133</v>
      </c>
    </row>
    <row r="43" spans="1:10" x14ac:dyDescent="0.2">
      <c r="A43" s="1" t="s">
        <v>42</v>
      </c>
      <c r="C43" s="29">
        <v>0</v>
      </c>
      <c r="D43" s="29">
        <v>90.113</v>
      </c>
      <c r="E43" s="29">
        <v>0</v>
      </c>
      <c r="F43" s="29">
        <f>E43</f>
        <v>0</v>
      </c>
      <c r="G43" s="29">
        <f t="shared" ref="G43:J43" si="18">F43</f>
        <v>0</v>
      </c>
      <c r="H43" s="29">
        <f t="shared" si="18"/>
        <v>0</v>
      </c>
      <c r="I43" s="29">
        <f t="shared" si="18"/>
        <v>0</v>
      </c>
      <c r="J43" s="29">
        <f t="shared" si="18"/>
        <v>0</v>
      </c>
    </row>
    <row r="44" spans="1:10" s="27" customFormat="1" x14ac:dyDescent="0.2">
      <c r="A44" s="27" t="s">
        <v>45</v>
      </c>
      <c r="C44" s="31">
        <f>SUM(C36:C43)</f>
        <v>378.71199999999999</v>
      </c>
      <c r="D44" s="31">
        <f t="shared" ref="D44:E44" si="19">SUM(D36:D43)</f>
        <v>463.721</v>
      </c>
      <c r="E44" s="31">
        <f t="shared" si="19"/>
        <v>415.73299999999995</v>
      </c>
      <c r="F44" s="31">
        <f t="shared" ref="F44" si="20">SUM(F36:F43)</f>
        <v>450.6206373373625</v>
      </c>
      <c r="G44" s="31">
        <f t="shared" ref="G44" si="21">SUM(G36:G43)</f>
        <v>504.9853054023597</v>
      </c>
      <c r="H44" s="31">
        <f t="shared" ref="H44" si="22">SUM(H36:H43)</f>
        <v>568.643715695688</v>
      </c>
      <c r="I44" s="31">
        <f t="shared" ref="I44" si="23">SUM(I36:I43)</f>
        <v>634.21544248691782</v>
      </c>
      <c r="J44" s="31">
        <f t="shared" ref="J44" si="24">SUM(J36:J43)</f>
        <v>702.25827798161504</v>
      </c>
    </row>
    <row r="45" spans="1:10" x14ac:dyDescent="0.2">
      <c r="C45" s="15"/>
      <c r="D45" s="15"/>
      <c r="E45" s="15"/>
      <c r="F45" s="15"/>
      <c r="G45" s="15"/>
      <c r="H45" s="15"/>
      <c r="I45" s="15"/>
      <c r="J45" s="15"/>
    </row>
    <row r="46" spans="1:10" x14ac:dyDescent="0.2">
      <c r="A46" s="1" t="s">
        <v>46</v>
      </c>
      <c r="C46" s="29">
        <v>0</v>
      </c>
      <c r="D46" s="29">
        <v>0</v>
      </c>
      <c r="E46" s="29">
        <v>3.52</v>
      </c>
      <c r="F46" s="29">
        <f>E46</f>
        <v>3.52</v>
      </c>
      <c r="G46" s="29">
        <f t="shared" ref="G46:J46" si="25">F46</f>
        <v>3.52</v>
      </c>
      <c r="H46" s="29">
        <f t="shared" si="25"/>
        <v>3.52</v>
      </c>
      <c r="I46" s="29">
        <f t="shared" si="25"/>
        <v>3.52</v>
      </c>
      <c r="J46" s="29">
        <f t="shared" si="25"/>
        <v>3.52</v>
      </c>
    </row>
    <row r="47" spans="1:10" x14ac:dyDescent="0.2">
      <c r="A47" s="1" t="s">
        <v>47</v>
      </c>
      <c r="C47" s="29">
        <v>16.021999999999998</v>
      </c>
      <c r="D47" s="29">
        <v>13.55</v>
      </c>
      <c r="E47" s="29">
        <v>14.814</v>
      </c>
      <c r="F47" s="29">
        <f>E47</f>
        <v>14.814</v>
      </c>
      <c r="G47" s="29">
        <f t="shared" ref="G47:J47" si="26">F47</f>
        <v>14.814</v>
      </c>
      <c r="H47" s="29">
        <f t="shared" si="26"/>
        <v>14.814</v>
      </c>
      <c r="I47" s="29">
        <f t="shared" si="26"/>
        <v>14.814</v>
      </c>
      <c r="J47" s="29">
        <f t="shared" si="26"/>
        <v>14.814</v>
      </c>
    </row>
    <row r="48" spans="1:10" x14ac:dyDescent="0.2">
      <c r="A48" s="1" t="s">
        <v>48</v>
      </c>
      <c r="C48" s="29">
        <v>0.78</v>
      </c>
      <c r="D48" s="29">
        <v>0.61899999999999999</v>
      </c>
      <c r="E48" s="29">
        <v>1.3109999999999999</v>
      </c>
      <c r="F48" s="29">
        <f>E48</f>
        <v>1.3109999999999999</v>
      </c>
      <c r="G48" s="29">
        <f t="shared" ref="G48:J48" si="27">F48</f>
        <v>1.3109999999999999</v>
      </c>
      <c r="H48" s="29">
        <f t="shared" si="27"/>
        <v>1.3109999999999999</v>
      </c>
      <c r="I48" s="29">
        <f t="shared" si="27"/>
        <v>1.3109999999999999</v>
      </c>
      <c r="J48" s="29">
        <f t="shared" si="27"/>
        <v>1.3109999999999999</v>
      </c>
    </row>
    <row r="49" spans="1:10" x14ac:dyDescent="0.2">
      <c r="A49" s="1" t="s">
        <v>49</v>
      </c>
      <c r="C49" s="29">
        <v>14.554</v>
      </c>
      <c r="D49" s="29">
        <v>18.045999999999999</v>
      </c>
      <c r="E49" s="29">
        <v>14.518000000000001</v>
      </c>
      <c r="F49" s="15">
        <f>E49</f>
        <v>14.518000000000001</v>
      </c>
      <c r="G49" s="15">
        <f t="shared" ref="G49:J49" si="28">F49</f>
        <v>14.518000000000001</v>
      </c>
      <c r="H49" s="15">
        <f t="shared" si="28"/>
        <v>14.518000000000001</v>
      </c>
      <c r="I49" s="15">
        <f t="shared" si="28"/>
        <v>14.518000000000001</v>
      </c>
      <c r="J49" s="15">
        <f t="shared" si="28"/>
        <v>14.518000000000001</v>
      </c>
    </row>
    <row r="50" spans="1:10" x14ac:dyDescent="0.2">
      <c r="A50" s="1" t="s">
        <v>50</v>
      </c>
      <c r="C50" s="29">
        <v>380.60700000000003</v>
      </c>
      <c r="D50" s="29">
        <v>380.96300000000002</v>
      </c>
      <c r="E50" s="29">
        <v>382.02499999999998</v>
      </c>
      <c r="F50" s="15">
        <f>Forecasts!F6</f>
        <v>405.23347999999999</v>
      </c>
      <c r="G50" s="15">
        <f>Forecasts!G6</f>
        <v>416.66096222066227</v>
      </c>
      <c r="H50" s="15">
        <f>Forecasts!H6</f>
        <v>419.31322722698815</v>
      </c>
      <c r="I50" s="15">
        <f>Forecasts!I6</f>
        <v>420.67914370524591</v>
      </c>
      <c r="J50" s="15">
        <f>Forecasts!J6</f>
        <v>420.67914370524591</v>
      </c>
    </row>
    <row r="51" spans="1:10" s="27" customFormat="1" x14ac:dyDescent="0.2">
      <c r="A51" s="27" t="s">
        <v>51</v>
      </c>
      <c r="C51" s="31">
        <f>SUM(C46:C50)+C44</f>
        <v>790.67499999999995</v>
      </c>
      <c r="D51" s="31">
        <f t="shared" ref="D51:E51" si="29">SUM(D46:D50)+D44</f>
        <v>876.899</v>
      </c>
      <c r="E51" s="31">
        <f t="shared" si="29"/>
        <v>831.92099999999994</v>
      </c>
      <c r="F51" s="31">
        <f t="shared" ref="F51" si="30">SUM(F46:F50)+F44</f>
        <v>890.01711733736249</v>
      </c>
      <c r="G51" s="31">
        <f t="shared" ref="G51" si="31">SUM(G46:G50)+G44</f>
        <v>955.80926762302192</v>
      </c>
      <c r="H51" s="31">
        <f t="shared" ref="H51" si="32">SUM(H46:H50)+H44</f>
        <v>1022.1199429226762</v>
      </c>
      <c r="I51" s="31">
        <f t="shared" ref="I51" si="33">SUM(I46:I50)+I44</f>
        <v>1089.0575861921639</v>
      </c>
      <c r="J51" s="31">
        <f t="shared" ref="J51" si="34">SUM(J46:J50)+J44</f>
        <v>1157.100421686861</v>
      </c>
    </row>
    <row r="52" spans="1:10" x14ac:dyDescent="0.2">
      <c r="C52" s="15"/>
      <c r="D52" s="15"/>
      <c r="E52" s="15"/>
      <c r="F52" s="15"/>
      <c r="G52" s="15"/>
      <c r="H52" s="15"/>
      <c r="I52" s="15"/>
      <c r="J52" s="15"/>
    </row>
    <row r="53" spans="1:10" x14ac:dyDescent="0.2">
      <c r="A53" s="1" t="s">
        <v>55</v>
      </c>
      <c r="C53" s="29">
        <v>70.826999999999998</v>
      </c>
      <c r="D53" s="29">
        <v>58.404000000000003</v>
      </c>
      <c r="E53" s="29">
        <v>62.777000000000001</v>
      </c>
      <c r="F53" s="15">
        <f>Forecasts!F17</f>
        <v>59.028405974999998</v>
      </c>
      <c r="G53" s="15">
        <f>Forecasts!G17</f>
        <v>61.389542214000002</v>
      </c>
      <c r="H53" s="15">
        <f>Forecasts!H17</f>
        <v>63.231228480420008</v>
      </c>
      <c r="I53" s="15">
        <f>Forecasts!I17</f>
        <v>64.812009192430509</v>
      </c>
      <c r="J53" s="15">
        <f>Forecasts!J17</f>
        <v>66.432309422241261</v>
      </c>
    </row>
    <row r="54" spans="1:10" x14ac:dyDescent="0.2">
      <c r="A54" s="1" t="s">
        <v>56</v>
      </c>
      <c r="C54" s="29">
        <v>8.5690000000000008</v>
      </c>
      <c r="D54" s="29">
        <v>8.4689999999999994</v>
      </c>
      <c r="E54" s="29">
        <v>10.401</v>
      </c>
      <c r="F54" s="15">
        <f>Forecasts!F20</f>
        <v>9.9705485623625023</v>
      </c>
      <c r="G54" s="15">
        <f>Forecasts!G20</f>
        <v>10.369370504857002</v>
      </c>
      <c r="H54" s="15">
        <f>Forecasts!H20</f>
        <v>10.680451620002714</v>
      </c>
      <c r="I54" s="15">
        <f>Forecasts!I20</f>
        <v>10.947462910502781</v>
      </c>
      <c r="J54" s="15">
        <f>Forecasts!J20</f>
        <v>11.221149483265348</v>
      </c>
    </row>
    <row r="55" spans="1:10" x14ac:dyDescent="0.2">
      <c r="A55" s="1" t="s">
        <v>57</v>
      </c>
      <c r="C55" s="29">
        <v>84.891999999999996</v>
      </c>
      <c r="D55" s="29">
        <v>85.039000000000001</v>
      </c>
      <c r="E55" s="29">
        <v>29.837</v>
      </c>
      <c r="F55" s="15">
        <f>E55</f>
        <v>29.837</v>
      </c>
      <c r="G55" s="15">
        <f t="shared" ref="G55:J55" si="35">F55</f>
        <v>29.837</v>
      </c>
      <c r="H55" s="15">
        <f t="shared" si="35"/>
        <v>29.837</v>
      </c>
      <c r="I55" s="15">
        <f t="shared" si="35"/>
        <v>29.837</v>
      </c>
      <c r="J55" s="15">
        <f t="shared" si="35"/>
        <v>29.837</v>
      </c>
    </row>
    <row r="56" spans="1:10" x14ac:dyDescent="0.2">
      <c r="A56" s="1" t="s">
        <v>58</v>
      </c>
      <c r="C56" s="29">
        <v>4.4649999999999999</v>
      </c>
      <c r="D56" s="29">
        <v>9.4640000000000004</v>
      </c>
      <c r="E56" s="29">
        <v>8.0709999999999997</v>
      </c>
      <c r="F56" s="29">
        <f>E56</f>
        <v>8.0709999999999997</v>
      </c>
      <c r="G56" s="29">
        <f t="shared" ref="G56:J56" si="36">F56</f>
        <v>8.0709999999999997</v>
      </c>
      <c r="H56" s="29">
        <f t="shared" si="36"/>
        <v>8.0709999999999997</v>
      </c>
      <c r="I56" s="29">
        <f t="shared" si="36"/>
        <v>8.0709999999999997</v>
      </c>
      <c r="J56" s="29">
        <f t="shared" si="36"/>
        <v>8.0709999999999997</v>
      </c>
    </row>
    <row r="57" spans="1:10" x14ac:dyDescent="0.2">
      <c r="A57" s="1" t="s">
        <v>59</v>
      </c>
      <c r="C57" s="29">
        <v>5.4749999999999996</v>
      </c>
      <c r="D57" s="29">
        <v>4.976</v>
      </c>
      <c r="E57" s="29">
        <v>5.0970000000000004</v>
      </c>
      <c r="F57" s="29">
        <f>E57</f>
        <v>5.0970000000000004</v>
      </c>
      <c r="G57" s="29">
        <f t="shared" ref="G57:J57" si="37">F57</f>
        <v>5.0970000000000004</v>
      </c>
      <c r="H57" s="29">
        <f t="shared" si="37"/>
        <v>5.0970000000000004</v>
      </c>
      <c r="I57" s="29">
        <f t="shared" si="37"/>
        <v>5.0970000000000004</v>
      </c>
      <c r="J57" s="29">
        <f t="shared" si="37"/>
        <v>5.0970000000000004</v>
      </c>
    </row>
    <row r="58" spans="1:10" x14ac:dyDescent="0.2">
      <c r="A58" s="1" t="s">
        <v>60</v>
      </c>
      <c r="C58" s="29">
        <v>0</v>
      </c>
      <c r="D58" s="29">
        <v>34.814</v>
      </c>
      <c r="E58" s="29">
        <v>0</v>
      </c>
      <c r="F58" s="29">
        <f>E58</f>
        <v>0</v>
      </c>
      <c r="G58" s="29">
        <f t="shared" ref="G58:J58" si="38">F58</f>
        <v>0</v>
      </c>
      <c r="H58" s="29">
        <f t="shared" si="38"/>
        <v>0</v>
      </c>
      <c r="I58" s="29">
        <f t="shared" si="38"/>
        <v>0</v>
      </c>
      <c r="J58" s="29">
        <f t="shared" si="38"/>
        <v>0</v>
      </c>
    </row>
    <row r="59" spans="1:10" s="27" customFormat="1" x14ac:dyDescent="0.2">
      <c r="A59" s="27" t="s">
        <v>62</v>
      </c>
      <c r="C59" s="31">
        <f>SUM(C53:C58)</f>
        <v>174.22800000000001</v>
      </c>
      <c r="D59" s="31">
        <f t="shared" ref="D59:E59" si="39">SUM(D53:D58)</f>
        <v>201.166</v>
      </c>
      <c r="E59" s="31">
        <f t="shared" si="39"/>
        <v>116.18299999999999</v>
      </c>
      <c r="F59" s="31">
        <f t="shared" ref="F59" si="40">SUM(F53:F58)</f>
        <v>112.00395453736249</v>
      </c>
      <c r="G59" s="31">
        <f t="shared" ref="G59" si="41">SUM(G53:G58)</f>
        <v>114.763912718857</v>
      </c>
      <c r="H59" s="31">
        <f t="shared" ref="H59" si="42">SUM(H53:H58)</f>
        <v>116.91668010042272</v>
      </c>
      <c r="I59" s="31">
        <f t="shared" ref="I59" si="43">SUM(I53:I58)</f>
        <v>118.76447210293328</v>
      </c>
      <c r="J59" s="31">
        <f t="shared" ref="J59" si="44">SUM(J53:J58)</f>
        <v>120.65845890550661</v>
      </c>
    </row>
    <row r="60" spans="1:10" x14ac:dyDescent="0.2">
      <c r="C60" s="15"/>
      <c r="D60" s="15"/>
      <c r="E60" s="15"/>
      <c r="F60" s="15"/>
      <c r="G60" s="15"/>
      <c r="H60" s="15"/>
      <c r="I60" s="15"/>
      <c r="J60" s="15"/>
    </row>
    <row r="61" spans="1:10" x14ac:dyDescent="0.2">
      <c r="A61" s="1" t="s">
        <v>63</v>
      </c>
      <c r="C61" s="29">
        <v>47.758000000000003</v>
      </c>
      <c r="D61" s="29">
        <v>45.231000000000002</v>
      </c>
      <c r="E61" s="29">
        <v>37.616</v>
      </c>
      <c r="F61" s="15">
        <f>E61</f>
        <v>37.616</v>
      </c>
      <c r="G61" s="15">
        <f>F61</f>
        <v>37.616</v>
      </c>
      <c r="H61" s="15">
        <f t="shared" ref="H61:J61" si="45">G61</f>
        <v>37.616</v>
      </c>
      <c r="I61" s="15">
        <f t="shared" si="45"/>
        <v>37.616</v>
      </c>
      <c r="J61" s="15">
        <f t="shared" si="45"/>
        <v>37.616</v>
      </c>
    </row>
    <row r="62" spans="1:10" x14ac:dyDescent="0.2">
      <c r="A62" s="1" t="s">
        <v>64</v>
      </c>
      <c r="C62" s="29">
        <v>3.891</v>
      </c>
      <c r="D62" s="29">
        <v>2.2799999999999998</v>
      </c>
      <c r="E62" s="29">
        <v>3.5779999999999998</v>
      </c>
      <c r="F62" s="15">
        <f>E62</f>
        <v>3.5779999999999998</v>
      </c>
      <c r="G62" s="15">
        <f t="shared" ref="G62:J62" si="46">F62</f>
        <v>3.5779999999999998</v>
      </c>
      <c r="H62" s="15">
        <f t="shared" si="46"/>
        <v>3.5779999999999998</v>
      </c>
      <c r="I62" s="15">
        <f t="shared" si="46"/>
        <v>3.5779999999999998</v>
      </c>
      <c r="J62" s="15">
        <f t="shared" si="46"/>
        <v>3.5779999999999998</v>
      </c>
    </row>
    <row r="63" spans="1:10" x14ac:dyDescent="0.2">
      <c r="A63" s="1" t="s">
        <v>65</v>
      </c>
      <c r="C63" s="29">
        <v>22.548999999999999</v>
      </c>
      <c r="D63" s="29">
        <v>21.466999999999999</v>
      </c>
      <c r="E63" s="29">
        <v>20.626999999999999</v>
      </c>
      <c r="F63" s="15">
        <f>E63</f>
        <v>20.626999999999999</v>
      </c>
      <c r="G63" s="15">
        <f t="shared" ref="G63:J63" si="47">F63</f>
        <v>20.626999999999999</v>
      </c>
      <c r="H63" s="15">
        <f t="shared" si="47"/>
        <v>20.626999999999999</v>
      </c>
      <c r="I63" s="15">
        <f t="shared" si="47"/>
        <v>20.626999999999999</v>
      </c>
      <c r="J63" s="15">
        <f t="shared" si="47"/>
        <v>20.626999999999999</v>
      </c>
    </row>
    <row r="64" spans="1:10" x14ac:dyDescent="0.2">
      <c r="A64" s="1" t="s">
        <v>66</v>
      </c>
      <c r="C64" s="29">
        <v>0</v>
      </c>
      <c r="D64" s="29">
        <v>0</v>
      </c>
      <c r="E64" s="29">
        <v>0.28999999999999998</v>
      </c>
      <c r="F64" s="15">
        <f>E64</f>
        <v>0.28999999999999998</v>
      </c>
      <c r="G64" s="15">
        <f t="shared" ref="G64:J64" si="48">F64</f>
        <v>0.28999999999999998</v>
      </c>
      <c r="H64" s="15">
        <f t="shared" si="48"/>
        <v>0.28999999999999998</v>
      </c>
      <c r="I64" s="15">
        <f t="shared" si="48"/>
        <v>0.28999999999999998</v>
      </c>
      <c r="J64" s="15">
        <f t="shared" si="48"/>
        <v>0.28999999999999998</v>
      </c>
    </row>
    <row r="65" spans="1:11" x14ac:dyDescent="0.2">
      <c r="A65" s="1" t="s">
        <v>59</v>
      </c>
      <c r="C65" s="29">
        <v>20.632000000000001</v>
      </c>
      <c r="D65" s="29">
        <v>30.888000000000002</v>
      </c>
      <c r="E65" s="29">
        <v>20.718</v>
      </c>
      <c r="F65" s="15">
        <f>E65</f>
        <v>20.718</v>
      </c>
      <c r="G65" s="15">
        <f t="shared" ref="G65:J65" si="49">F65</f>
        <v>20.718</v>
      </c>
      <c r="H65" s="15">
        <f t="shared" si="49"/>
        <v>20.718</v>
      </c>
      <c r="I65" s="15">
        <f t="shared" si="49"/>
        <v>20.718</v>
      </c>
      <c r="J65" s="15">
        <f t="shared" si="49"/>
        <v>20.718</v>
      </c>
    </row>
    <row r="66" spans="1:11" s="27" customFormat="1" x14ac:dyDescent="0.2">
      <c r="A66" s="27" t="s">
        <v>67</v>
      </c>
      <c r="C66" s="31">
        <f>SUM(C61:C65)+C59</f>
        <v>269.05799999999999</v>
      </c>
      <c r="D66" s="31">
        <f t="shared" ref="D66:E66" si="50">SUM(D61:D65)+D59</f>
        <v>301.03200000000004</v>
      </c>
      <c r="E66" s="31">
        <f t="shared" si="50"/>
        <v>199.012</v>
      </c>
      <c r="F66" s="31">
        <f t="shared" ref="F66" si="51">SUM(F61:F65)+F59</f>
        <v>194.83295453736247</v>
      </c>
      <c r="G66" s="31">
        <f t="shared" ref="G66" si="52">SUM(G61:G65)+G59</f>
        <v>197.59291271885701</v>
      </c>
      <c r="H66" s="31">
        <f t="shared" ref="H66" si="53">SUM(H61:H65)+H59</f>
        <v>199.7456801004227</v>
      </c>
      <c r="I66" s="31">
        <f t="shared" ref="I66" si="54">SUM(I61:I65)+I59</f>
        <v>201.59347210293328</v>
      </c>
      <c r="J66" s="31">
        <f t="shared" ref="J66" si="55">SUM(J61:J65)+J59</f>
        <v>203.4874589055066</v>
      </c>
    </row>
    <row r="67" spans="1:11" x14ac:dyDescent="0.2">
      <c r="C67" s="15"/>
      <c r="D67" s="15"/>
      <c r="E67" s="15"/>
      <c r="F67" s="15"/>
      <c r="G67" s="15"/>
      <c r="H67" s="15"/>
      <c r="I67" s="15"/>
      <c r="J67" s="15"/>
    </row>
    <row r="68" spans="1:11" x14ac:dyDescent="0.2">
      <c r="A68" s="1" t="s">
        <v>68</v>
      </c>
      <c r="C68" s="29">
        <v>32.622999999999998</v>
      </c>
      <c r="D68" s="29">
        <v>32.622999999999998</v>
      </c>
      <c r="E68" s="29">
        <v>32.622999999999998</v>
      </c>
      <c r="F68" s="15">
        <f t="shared" ref="F68:F74" si="56">E68</f>
        <v>32.622999999999998</v>
      </c>
      <c r="G68" s="15">
        <f t="shared" ref="G68:J68" si="57">F68</f>
        <v>32.622999999999998</v>
      </c>
      <c r="H68" s="15">
        <f t="shared" si="57"/>
        <v>32.622999999999998</v>
      </c>
      <c r="I68" s="15">
        <f t="shared" si="57"/>
        <v>32.622999999999998</v>
      </c>
      <c r="J68" s="15">
        <f t="shared" si="57"/>
        <v>32.622999999999998</v>
      </c>
      <c r="K68" s="15"/>
    </row>
    <row r="69" spans="1:11" x14ac:dyDescent="0.2">
      <c r="A69" s="1" t="s">
        <v>69</v>
      </c>
      <c r="C69" s="29">
        <v>1.2E-2</v>
      </c>
      <c r="D69" s="29">
        <v>1.2E-2</v>
      </c>
      <c r="E69" s="29">
        <v>1.2E-2</v>
      </c>
      <c r="F69" s="15">
        <f t="shared" si="56"/>
        <v>1.2E-2</v>
      </c>
      <c r="G69" s="15">
        <f t="shared" ref="G69:J69" si="58">F69</f>
        <v>1.2E-2</v>
      </c>
      <c r="H69" s="15">
        <f t="shared" si="58"/>
        <v>1.2E-2</v>
      </c>
      <c r="I69" s="15">
        <f t="shared" si="58"/>
        <v>1.2E-2</v>
      </c>
      <c r="J69" s="15">
        <f t="shared" si="58"/>
        <v>1.2E-2</v>
      </c>
    </row>
    <row r="70" spans="1:11" x14ac:dyDescent="0.2">
      <c r="A70" s="1" t="s">
        <v>70</v>
      </c>
      <c r="C70" s="29">
        <v>-19.108000000000001</v>
      </c>
      <c r="D70" s="29">
        <v>-20.972000000000001</v>
      </c>
      <c r="E70" s="29">
        <v>-24.234000000000002</v>
      </c>
      <c r="F70" s="15">
        <f t="shared" si="56"/>
        <v>-24.234000000000002</v>
      </c>
      <c r="G70" s="15">
        <f t="shared" ref="G70:J70" si="59">F70</f>
        <v>-24.234000000000002</v>
      </c>
      <c r="H70" s="15">
        <f t="shared" si="59"/>
        <v>-24.234000000000002</v>
      </c>
      <c r="I70" s="15">
        <f t="shared" si="59"/>
        <v>-24.234000000000002</v>
      </c>
      <c r="J70" s="15">
        <f t="shared" si="59"/>
        <v>-24.234000000000002</v>
      </c>
    </row>
    <row r="71" spans="1:11" x14ac:dyDescent="0.2">
      <c r="A71" s="1" t="s">
        <v>71</v>
      </c>
      <c r="C71" s="29">
        <v>101.52</v>
      </c>
      <c r="D71" s="29">
        <v>106.452</v>
      </c>
      <c r="E71" s="29">
        <v>120.02200000000001</v>
      </c>
      <c r="F71" s="15">
        <f t="shared" si="56"/>
        <v>120.02200000000001</v>
      </c>
      <c r="G71" s="15">
        <f t="shared" ref="G71:J71" si="60">F71</f>
        <v>120.02200000000001</v>
      </c>
      <c r="H71" s="15">
        <f t="shared" si="60"/>
        <v>120.02200000000001</v>
      </c>
      <c r="I71" s="15">
        <f t="shared" si="60"/>
        <v>120.02200000000001</v>
      </c>
      <c r="J71" s="15">
        <f t="shared" si="60"/>
        <v>120.02200000000001</v>
      </c>
    </row>
    <row r="72" spans="1:11" x14ac:dyDescent="0.2">
      <c r="A72" s="1" t="s">
        <v>72</v>
      </c>
      <c r="C72" s="29">
        <v>-34.820999999999998</v>
      </c>
      <c r="D72" s="29">
        <v>-20.617999999999999</v>
      </c>
      <c r="E72" s="29">
        <v>-28.931000000000001</v>
      </c>
      <c r="F72" s="15">
        <f t="shared" si="56"/>
        <v>-28.931000000000001</v>
      </c>
      <c r="G72" s="15">
        <f t="shared" ref="G72:J72" si="61">F72</f>
        <v>-28.931000000000001</v>
      </c>
      <c r="H72" s="15">
        <f t="shared" si="61"/>
        <v>-28.931000000000001</v>
      </c>
      <c r="I72" s="15">
        <f t="shared" si="61"/>
        <v>-28.931000000000001</v>
      </c>
      <c r="J72" s="15">
        <f t="shared" si="61"/>
        <v>-28.931000000000001</v>
      </c>
    </row>
    <row r="73" spans="1:11" x14ac:dyDescent="0.2">
      <c r="A73" s="1" t="s">
        <v>73</v>
      </c>
      <c r="C73" s="29">
        <v>0.217</v>
      </c>
      <c r="D73" s="29">
        <v>0</v>
      </c>
      <c r="E73" s="29">
        <v>0</v>
      </c>
      <c r="F73" s="15">
        <f t="shared" si="56"/>
        <v>0</v>
      </c>
      <c r="G73" s="15">
        <f t="shared" ref="G73:J74" si="62">F73</f>
        <v>0</v>
      </c>
      <c r="H73" s="15">
        <f t="shared" si="62"/>
        <v>0</v>
      </c>
      <c r="I73" s="15">
        <f t="shared" si="62"/>
        <v>0</v>
      </c>
      <c r="J73" s="15">
        <f t="shared" si="62"/>
        <v>0</v>
      </c>
    </row>
    <row r="74" spans="1:11" x14ac:dyDescent="0.2">
      <c r="A74" s="1" t="s">
        <v>74</v>
      </c>
      <c r="C74" s="29" t="s">
        <v>61</v>
      </c>
      <c r="D74" s="29">
        <v>-4.9130000000000003</v>
      </c>
      <c r="E74" s="29">
        <v>-2.8610000000000002</v>
      </c>
      <c r="F74" s="15">
        <f t="shared" si="56"/>
        <v>-2.8610000000000002</v>
      </c>
      <c r="G74" s="15">
        <f t="shared" si="62"/>
        <v>-2.8610000000000002</v>
      </c>
      <c r="H74" s="15">
        <f t="shared" si="62"/>
        <v>-2.8610000000000002</v>
      </c>
      <c r="I74" s="15">
        <f t="shared" si="62"/>
        <v>-2.8610000000000002</v>
      </c>
      <c r="J74" s="15">
        <f t="shared" si="62"/>
        <v>-2.8610000000000002</v>
      </c>
    </row>
    <row r="75" spans="1:11" x14ac:dyDescent="0.2">
      <c r="A75" s="1" t="s">
        <v>115</v>
      </c>
      <c r="C75" s="29">
        <v>441.17399999999998</v>
      </c>
      <c r="D75" s="29">
        <v>483.28300000000002</v>
      </c>
      <c r="E75" s="29">
        <v>536.27800000000002</v>
      </c>
      <c r="F75" s="15">
        <f>E75+F32+F106</f>
        <v>598.55316280000011</v>
      </c>
      <c r="G75" s="15">
        <f t="shared" ref="G75:J75" si="63">F75+G32+G106</f>
        <v>661.58535490416511</v>
      </c>
      <c r="H75" s="15">
        <f t="shared" si="63"/>
        <v>725.74326282225343</v>
      </c>
      <c r="I75" s="15">
        <f t="shared" si="63"/>
        <v>790.83311408923043</v>
      </c>
      <c r="J75" s="15">
        <f t="shared" si="63"/>
        <v>856.98196278135435</v>
      </c>
    </row>
    <row r="76" spans="1:11" s="27" customFormat="1" x14ac:dyDescent="0.2">
      <c r="A76" s="27" t="s">
        <v>75</v>
      </c>
      <c r="C76" s="31">
        <f>SUM(C68:C75)</f>
        <v>521.61699999999996</v>
      </c>
      <c r="D76" s="31">
        <f>SUM(D68:D75)</f>
        <v>575.86699999999996</v>
      </c>
      <c r="E76" s="31">
        <f>SUM(E68:E75)</f>
        <v>632.90899999999999</v>
      </c>
      <c r="F76" s="31">
        <f t="shared" ref="F76:J76" si="64">SUM(F68:F75)</f>
        <v>695.18416280000008</v>
      </c>
      <c r="G76" s="31">
        <f t="shared" si="64"/>
        <v>758.21635490416509</v>
      </c>
      <c r="H76" s="31">
        <f t="shared" si="64"/>
        <v>822.3742628222534</v>
      </c>
      <c r="I76" s="31">
        <f t="shared" si="64"/>
        <v>887.46411408923041</v>
      </c>
      <c r="J76" s="31">
        <f t="shared" si="64"/>
        <v>953.61296278135433</v>
      </c>
    </row>
    <row r="77" spans="1:11" x14ac:dyDescent="0.2">
      <c r="C77" s="15"/>
      <c r="D77" s="15"/>
      <c r="E77" s="15"/>
      <c r="F77" s="15"/>
      <c r="G77" s="15"/>
      <c r="H77" s="15"/>
      <c r="I77" s="15"/>
      <c r="J77" s="15"/>
    </row>
    <row r="78" spans="1:11" x14ac:dyDescent="0.2">
      <c r="A78" s="1" t="s">
        <v>76</v>
      </c>
      <c r="C78" s="15">
        <f>(C76+C66)</f>
        <v>790.67499999999995</v>
      </c>
      <c r="D78" s="15">
        <f>(D76+D66)</f>
        <v>876.899</v>
      </c>
      <c r="E78" s="15">
        <f>(E76+E66)</f>
        <v>831.92100000000005</v>
      </c>
      <c r="F78" s="15">
        <f t="shared" ref="F78:J78" si="65">(F76+F66)</f>
        <v>890.01711733736261</v>
      </c>
      <c r="G78" s="15">
        <f t="shared" si="65"/>
        <v>955.80926762302215</v>
      </c>
      <c r="H78" s="15">
        <f t="shared" si="65"/>
        <v>1022.119942922676</v>
      </c>
      <c r="I78" s="15">
        <f t="shared" si="65"/>
        <v>1089.0575861921636</v>
      </c>
      <c r="J78" s="15">
        <f t="shared" si="65"/>
        <v>1157.100421686861</v>
      </c>
    </row>
    <row r="80" spans="1:11" x14ac:dyDescent="0.2">
      <c r="A80" s="3" t="s">
        <v>77</v>
      </c>
      <c r="B80" s="3"/>
      <c r="C80" s="3">
        <f t="shared" ref="C80:J80" si="66">C51-C78</f>
        <v>0</v>
      </c>
      <c r="D80" s="3">
        <f t="shared" si="66"/>
        <v>0</v>
      </c>
      <c r="E80" s="3">
        <f t="shared" si="66"/>
        <v>0</v>
      </c>
      <c r="F80" s="3">
        <f t="shared" si="66"/>
        <v>0</v>
      </c>
      <c r="G80" s="3">
        <f t="shared" si="66"/>
        <v>0</v>
      </c>
      <c r="H80" s="3">
        <f t="shared" si="66"/>
        <v>0</v>
      </c>
      <c r="I80" s="3">
        <f t="shared" si="66"/>
        <v>0</v>
      </c>
      <c r="J80" s="3">
        <f t="shared" si="66"/>
        <v>0</v>
      </c>
    </row>
    <row r="82" spans="1:10" s="22" customFormat="1" x14ac:dyDescent="0.2">
      <c r="A82" s="25" t="s">
        <v>78</v>
      </c>
      <c r="B82" s="25"/>
      <c r="C82" s="23">
        <f t="shared" ref="C82:J82" si="67">C1</f>
        <v>2013</v>
      </c>
      <c r="D82" s="23">
        <f t="shared" si="67"/>
        <v>2014</v>
      </c>
      <c r="E82" s="23">
        <f t="shared" si="67"/>
        <v>2015</v>
      </c>
      <c r="F82" s="26">
        <f t="shared" si="67"/>
        <v>2016</v>
      </c>
      <c r="G82" s="26">
        <f t="shared" si="67"/>
        <v>2017</v>
      </c>
      <c r="H82" s="26">
        <f t="shared" si="67"/>
        <v>2018</v>
      </c>
      <c r="I82" s="26">
        <f t="shared" si="67"/>
        <v>2019</v>
      </c>
      <c r="J82" s="26">
        <f t="shared" si="67"/>
        <v>2020</v>
      </c>
    </row>
    <row r="83" spans="1:10" s="27" customFormat="1" x14ac:dyDescent="0.2"/>
    <row r="84" spans="1:10" x14ac:dyDescent="0.2">
      <c r="A84" s="1" t="s">
        <v>24</v>
      </c>
      <c r="C84" s="15">
        <f>C32</f>
        <v>100.548</v>
      </c>
      <c r="D84" s="15">
        <f t="shared" ref="D84:J84" si="68">D32</f>
        <v>106.40400000000001</v>
      </c>
      <c r="E84" s="15">
        <f t="shared" si="68"/>
        <v>120.09499999999993</v>
      </c>
      <c r="F84" s="15">
        <f t="shared" si="68"/>
        <v>124.55032560000004</v>
      </c>
      <c r="G84" s="15">
        <f t="shared" si="68"/>
        <v>126.06438420832995</v>
      </c>
      <c r="H84" s="15">
        <f t="shared" si="68"/>
        <v>128.31581583617651</v>
      </c>
      <c r="I84" s="15">
        <f t="shared" si="68"/>
        <v>130.17970253395407</v>
      </c>
      <c r="J84" s="15">
        <f t="shared" si="68"/>
        <v>132.2976973842477</v>
      </c>
    </row>
    <row r="86" spans="1:10" x14ac:dyDescent="0.2">
      <c r="A86" s="1" t="s">
        <v>30</v>
      </c>
      <c r="C86" s="29">
        <f>-C14</f>
        <v>45.142000000000003</v>
      </c>
      <c r="D86" s="29">
        <f>-D14</f>
        <v>49.162999999999997</v>
      </c>
      <c r="E86" s="29">
        <f>-E14</f>
        <v>53.048999999999999</v>
      </c>
      <c r="F86" s="15">
        <f>Forecasts!F4</f>
        <v>54.291520000000006</v>
      </c>
      <c r="G86" s="15">
        <f>Forecasts!G4</f>
        <v>56.991417779337731</v>
      </c>
      <c r="H86" s="15">
        <f>Forecasts!H4</f>
        <v>60.59720699367417</v>
      </c>
      <c r="I86" s="15">
        <f>Forecasts!I4</f>
        <v>63.781039681742214</v>
      </c>
      <c r="J86" s="15">
        <f>Forecasts!J4</f>
        <v>66.775630064000012</v>
      </c>
    </row>
    <row r="87" spans="1:10" x14ac:dyDescent="0.2">
      <c r="A87" s="1" t="s">
        <v>83</v>
      </c>
      <c r="C87" s="29">
        <v>5.843</v>
      </c>
      <c r="D87" s="29">
        <v>4.2640000000000002</v>
      </c>
      <c r="E87" s="29">
        <v>5.09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</row>
    <row r="88" spans="1:10" x14ac:dyDescent="0.2">
      <c r="A88" s="1" t="s">
        <v>84</v>
      </c>
      <c r="C88" s="29">
        <v>-6.8419999999999996</v>
      </c>
      <c r="D88" s="29">
        <v>-3.5059999999999998</v>
      </c>
      <c r="E88" s="29">
        <v>-7.5720000000000001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</row>
    <row r="89" spans="1:10" x14ac:dyDescent="0.2">
      <c r="A89" s="1" t="s">
        <v>6</v>
      </c>
      <c r="C89" s="29">
        <v>-14.203000000000074</v>
      </c>
      <c r="D89" s="29">
        <v>-3.5366876087737298</v>
      </c>
      <c r="E89" s="29">
        <v>1.4508310402394216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</row>
    <row r="90" spans="1:10" x14ac:dyDescent="0.2">
      <c r="C90" s="29"/>
      <c r="D90" s="29"/>
      <c r="E90" s="29"/>
      <c r="F90" s="15"/>
      <c r="G90" s="15"/>
      <c r="H90" s="15"/>
      <c r="I90" s="15"/>
      <c r="J90" s="15"/>
    </row>
    <row r="91" spans="1:10" x14ac:dyDescent="0.2">
      <c r="A91" s="1" t="s">
        <v>79</v>
      </c>
      <c r="C91" s="29">
        <v>-7.76</v>
      </c>
      <c r="D91" s="29">
        <v>-34.557000000000002</v>
      </c>
      <c r="E91" s="29">
        <v>-34.433</v>
      </c>
      <c r="F91" s="15">
        <f>SUM(F92:F94)</f>
        <v>-21.835131195934611</v>
      </c>
      <c r="G91" s="15">
        <f t="shared" ref="G91:J91" si="69">SUM(G92:G94)</f>
        <v>-12.494285247837414</v>
      </c>
      <c r="H91" s="15">
        <f t="shared" si="69"/>
        <v>-9.7455424933131738</v>
      </c>
      <c r="I91" s="15">
        <f t="shared" si="69"/>
        <v>-8.3649239734271053</v>
      </c>
      <c r="J91" s="15">
        <f t="shared" si="69"/>
        <v>-8.5740470727627773</v>
      </c>
    </row>
    <row r="92" spans="1:10" x14ac:dyDescent="0.2">
      <c r="A92" s="5" t="s">
        <v>80</v>
      </c>
      <c r="E92" s="15"/>
      <c r="F92" s="15">
        <f>(E37-F37+E38-F38)</f>
        <v>-9.876593846168582</v>
      </c>
      <c r="G92" s="15">
        <f>(F37-G37+F38-G38)</f>
        <v>-6.5975837538467452</v>
      </c>
      <c r="H92" s="15">
        <f>(G37-H37+G38-H38)</f>
        <v>-5.1461153280004623</v>
      </c>
      <c r="I92" s="15">
        <f>(H37-I37+H38-I38)</f>
        <v>-4.4170823232003933</v>
      </c>
      <c r="J92" s="15">
        <f>(I37-J37+I38-J38)</f>
        <v>-4.5275093812803746</v>
      </c>
    </row>
    <row r="93" spans="1:10" x14ac:dyDescent="0.2">
      <c r="A93" s="5" t="s">
        <v>81</v>
      </c>
      <c r="F93" s="15">
        <f>E40-F40</f>
        <v>-7.779491887128529</v>
      </c>
      <c r="G93" s="15">
        <f t="shared" ref="G93:J93" si="70">F40-G40</f>
        <v>-8.656659675485173</v>
      </c>
      <c r="H93" s="15">
        <f t="shared" si="70"/>
        <v>-6.7521945468784281</v>
      </c>
      <c r="I93" s="15">
        <f t="shared" si="70"/>
        <v>-5.7956336527372798</v>
      </c>
      <c r="J93" s="15">
        <f t="shared" si="70"/>
        <v>-5.9405244940557225</v>
      </c>
    </row>
    <row r="94" spans="1:10" x14ac:dyDescent="0.2">
      <c r="A94" s="5" t="s">
        <v>82</v>
      </c>
      <c r="F94" s="15">
        <f>F53-E53+F54-E54</f>
        <v>-4.1790454626375002</v>
      </c>
      <c r="G94" s="15">
        <f t="shared" ref="G94:J94" si="71">G53-F53+G54-F54</f>
        <v>2.759958181494504</v>
      </c>
      <c r="H94" s="15">
        <f t="shared" si="71"/>
        <v>2.1527673815657167</v>
      </c>
      <c r="I94" s="15">
        <f t="shared" si="71"/>
        <v>1.8477920025105679</v>
      </c>
      <c r="J94" s="15">
        <f t="shared" si="71"/>
        <v>1.8939868025733197</v>
      </c>
    </row>
    <row r="95" spans="1:10" s="27" customFormat="1" x14ac:dyDescent="0.2">
      <c r="A95" s="27" t="s">
        <v>85</v>
      </c>
      <c r="C95" s="31">
        <f>SUM(C84:C91)</f>
        <v>122.72799999999988</v>
      </c>
      <c r="D95" s="31">
        <f>SUM(D84:D91)</f>
        <v>118.2313123912263</v>
      </c>
      <c r="E95" s="31">
        <f>SUM(E84:E91)</f>
        <v>137.67983104023935</v>
      </c>
      <c r="F95" s="31">
        <f>SUM(F84:F91)</f>
        <v>157.00671440406543</v>
      </c>
      <c r="G95" s="31">
        <f t="shared" ref="G95:J95" si="72">SUM(G84:G91)</f>
        <v>170.56151673983027</v>
      </c>
      <c r="H95" s="31">
        <f t="shared" si="72"/>
        <v>179.16748033653752</v>
      </c>
      <c r="I95" s="31">
        <f t="shared" si="72"/>
        <v>185.59581824226919</v>
      </c>
      <c r="J95" s="31">
        <f t="shared" si="72"/>
        <v>190.49928037548494</v>
      </c>
    </row>
    <row r="96" spans="1:10" x14ac:dyDescent="0.2">
      <c r="C96" s="36"/>
      <c r="D96" s="15"/>
    </row>
    <row r="97" spans="1:10" x14ac:dyDescent="0.2">
      <c r="A97" s="1" t="s">
        <v>87</v>
      </c>
      <c r="C97" s="29">
        <v>-92.941999999999993</v>
      </c>
      <c r="D97" s="29">
        <v>-60.073999999999998</v>
      </c>
      <c r="E97" s="29">
        <v>-56.701999999999998</v>
      </c>
      <c r="F97" s="15">
        <f>Forecasts!F2</f>
        <v>-77.5</v>
      </c>
      <c r="G97" s="15">
        <f>Forecasts!G2</f>
        <v>-68.418900000000008</v>
      </c>
      <c r="H97" s="15">
        <f>Forecasts!H2</f>
        <v>-63.249472000000004</v>
      </c>
      <c r="I97" s="15">
        <f>Forecasts!I2</f>
        <v>-65.146956160000016</v>
      </c>
      <c r="J97" s="15">
        <f>Forecasts!J2</f>
        <v>-66.775630064000012</v>
      </c>
    </row>
    <row r="98" spans="1:10" x14ac:dyDescent="0.2">
      <c r="A98" s="1" t="s">
        <v>88</v>
      </c>
      <c r="C98" s="29">
        <v>0.86699999999999999</v>
      </c>
      <c r="D98" s="29">
        <v>0.505</v>
      </c>
      <c r="E98" s="29">
        <v>1.103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</row>
    <row r="99" spans="1:10" x14ac:dyDescent="0.2">
      <c r="A99" s="1" t="s">
        <v>89</v>
      </c>
      <c r="C99" s="29">
        <v>0.216</v>
      </c>
      <c r="D99" s="29">
        <v>-0.22</v>
      </c>
      <c r="E99" s="29">
        <v>56.497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</row>
    <row r="100" spans="1:10" x14ac:dyDescent="0.2">
      <c r="A100" s="1" t="s">
        <v>90</v>
      </c>
      <c r="C100" s="29">
        <v>-4.431</v>
      </c>
      <c r="D100" s="29">
        <v>3.9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</row>
    <row r="101" spans="1:10" x14ac:dyDescent="0.2">
      <c r="A101" s="1" t="s">
        <v>162</v>
      </c>
      <c r="C101" s="29">
        <v>0</v>
      </c>
      <c r="D101" s="29">
        <v>0</v>
      </c>
      <c r="E101" s="29">
        <v>-3.9950000000000001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</row>
    <row r="102" spans="1:10" s="27" customFormat="1" x14ac:dyDescent="0.2">
      <c r="A102" s="27" t="s">
        <v>86</v>
      </c>
      <c r="C102" s="31">
        <f>SUM(C97:C101)</f>
        <v>-96.289999999999992</v>
      </c>
      <c r="D102" s="31">
        <f t="shared" ref="D102:E102" si="73">SUM(D97:D101)</f>
        <v>-55.888999999999996</v>
      </c>
      <c r="E102" s="31">
        <f t="shared" si="73"/>
        <v>-3.0969999999999969</v>
      </c>
      <c r="F102" s="31">
        <f t="shared" ref="F102" si="74">SUM(F97:F101)</f>
        <v>-77.5</v>
      </c>
      <c r="G102" s="31">
        <f t="shared" ref="G102" si="75">SUM(G97:G101)</f>
        <v>-68.418900000000008</v>
      </c>
      <c r="H102" s="31">
        <f t="shared" ref="H102" si="76">SUM(H97:H101)</f>
        <v>-63.249472000000004</v>
      </c>
      <c r="I102" s="31">
        <f t="shared" ref="I102" si="77">SUM(I97:I101)</f>
        <v>-65.146956160000016</v>
      </c>
      <c r="J102" s="31">
        <f t="shared" ref="J102" si="78">SUM(J97:J101)</f>
        <v>-66.775630064000012</v>
      </c>
    </row>
    <row r="104" spans="1:10" x14ac:dyDescent="0.2">
      <c r="A104" s="1" t="s">
        <v>91</v>
      </c>
      <c r="C104" s="29">
        <v>76.153999999999996</v>
      </c>
      <c r="D104" s="29">
        <v>59.247</v>
      </c>
      <c r="E104" s="29">
        <v>8.0370000000000008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</row>
    <row r="105" spans="1:10" x14ac:dyDescent="0.2">
      <c r="A105" s="1" t="s">
        <v>92</v>
      </c>
      <c r="C105" s="29">
        <v>-81.956999999999994</v>
      </c>
      <c r="D105" s="29">
        <v>-53.283999999999999</v>
      </c>
      <c r="E105" s="29">
        <v>-67.346000000000004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</row>
    <row r="106" spans="1:10" x14ac:dyDescent="0.2">
      <c r="A106" s="1" t="s">
        <v>94</v>
      </c>
      <c r="C106" s="29">
        <v>-51.45</v>
      </c>
      <c r="D106" s="29">
        <v>-53.780999999999999</v>
      </c>
      <c r="E106" s="29">
        <v>-57.975000000000001</v>
      </c>
      <c r="F106" s="15">
        <f>-0.5*F32</f>
        <v>-62.275162800000018</v>
      </c>
      <c r="G106" s="15">
        <f t="shared" ref="G106:J106" si="79">-0.5*G32</f>
        <v>-63.032192104164977</v>
      </c>
      <c r="H106" s="15">
        <f t="shared" si="79"/>
        <v>-64.157907918088256</v>
      </c>
      <c r="I106" s="15">
        <f t="shared" si="79"/>
        <v>-65.089851266977035</v>
      </c>
      <c r="J106" s="15">
        <f t="shared" si="79"/>
        <v>-66.148848692123849</v>
      </c>
    </row>
    <row r="107" spans="1:10" x14ac:dyDescent="0.2">
      <c r="A107" s="1" t="s">
        <v>6</v>
      </c>
      <c r="C107" s="29">
        <v>-1.3140000000000001</v>
      </c>
      <c r="D107" s="29">
        <v>-3.4260000000000002</v>
      </c>
      <c r="E107" s="29">
        <v>-1.4119999999999999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</row>
    <row r="108" spans="1:10" s="27" customFormat="1" x14ac:dyDescent="0.2">
      <c r="A108" s="27" t="s">
        <v>95</v>
      </c>
      <c r="C108" s="31">
        <f>SUM(C104:C107)</f>
        <v>-58.567</v>
      </c>
      <c r="D108" s="31">
        <f t="shared" ref="D108:E108" si="80">SUM(D104:D107)</f>
        <v>-51.244</v>
      </c>
      <c r="E108" s="31">
        <f t="shared" si="80"/>
        <v>-118.69600000000001</v>
      </c>
      <c r="F108" s="31">
        <f t="shared" ref="F108" si="81">SUM(F104:F107)</f>
        <v>-62.275162800000018</v>
      </c>
      <c r="G108" s="31">
        <f t="shared" ref="G108" si="82">SUM(G104:G107)</f>
        <v>-63.032192104164977</v>
      </c>
      <c r="H108" s="31">
        <f t="shared" ref="H108" si="83">SUM(H104:H107)</f>
        <v>-64.157907918088256</v>
      </c>
      <c r="I108" s="31">
        <f t="shared" ref="I108" si="84">SUM(I104:I107)</f>
        <v>-65.089851266977035</v>
      </c>
      <c r="J108" s="31">
        <f t="shared" ref="J108" si="85">SUM(J104:J107)</f>
        <v>-66.148848692123849</v>
      </c>
    </row>
    <row r="110" spans="1:10" x14ac:dyDescent="0.2">
      <c r="A110" s="1" t="s">
        <v>96</v>
      </c>
      <c r="C110" s="29">
        <v>2.9940000000000002</v>
      </c>
      <c r="D110" s="29">
        <v>-2.3199999999999998</v>
      </c>
      <c r="E110" s="29">
        <v>2.9470000000000001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</row>
    <row r="112" spans="1:10" x14ac:dyDescent="0.2">
      <c r="A112" s="1" t="s">
        <v>97</v>
      </c>
      <c r="C112" s="15">
        <f>C95+C102+C110+C108</f>
        <v>-29.135000000000112</v>
      </c>
      <c r="D112" s="15">
        <f t="shared" ref="D112:J112" si="86">D95+D102+D110+D108</f>
        <v>8.7783123912263008</v>
      </c>
      <c r="E112" s="15">
        <f t="shared" si="86"/>
        <v>18.833831040239332</v>
      </c>
      <c r="F112" s="15">
        <f t="shared" si="86"/>
        <v>17.231551604065416</v>
      </c>
      <c r="G112" s="15">
        <f t="shared" si="86"/>
        <v>39.110424635665282</v>
      </c>
      <c r="H112" s="15">
        <f t="shared" si="86"/>
        <v>51.760100418449269</v>
      </c>
      <c r="I112" s="15">
        <f t="shared" si="86"/>
        <v>55.359010815292137</v>
      </c>
      <c r="J112" s="15">
        <f t="shared" si="86"/>
        <v>57.574801619361082</v>
      </c>
    </row>
    <row r="114" spans="4:5" x14ac:dyDescent="0.2">
      <c r="D114" s="15"/>
      <c r="E11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workbookViewId="0"/>
  </sheetViews>
  <sheetFormatPr defaultRowHeight="12.75" x14ac:dyDescent="0.2"/>
  <cols>
    <col min="1" max="16384" width="9.140625" style="1"/>
  </cols>
  <sheetData>
    <row r="1" spans="1:18" s="22" customFormat="1" x14ac:dyDescent="0.2">
      <c r="A1" s="25" t="s">
        <v>124</v>
      </c>
      <c r="B1" s="25"/>
      <c r="C1" s="23"/>
      <c r="D1" s="23"/>
      <c r="E1" s="23">
        <v>2015</v>
      </c>
      <c r="F1" s="26">
        <v>2016</v>
      </c>
      <c r="G1" s="26">
        <f t="shared" ref="G1:J1" si="0">F1+1</f>
        <v>2017</v>
      </c>
      <c r="H1" s="26">
        <f t="shared" si="0"/>
        <v>2018</v>
      </c>
      <c r="I1" s="26">
        <f t="shared" si="0"/>
        <v>2019</v>
      </c>
      <c r="J1" s="26">
        <f t="shared" si="0"/>
        <v>2020</v>
      </c>
    </row>
    <row r="2" spans="1:18" s="27" customFormat="1" x14ac:dyDescent="0.2"/>
    <row r="3" spans="1:18" x14ac:dyDescent="0.2">
      <c r="A3" s="1" t="s">
        <v>22</v>
      </c>
      <c r="E3" s="4">
        <f>FS!E12</f>
        <v>212.21799999999993</v>
      </c>
      <c r="F3" s="4">
        <f>FS!F12</f>
        <v>213.97375000000005</v>
      </c>
      <c r="G3" s="4">
        <f>FS!G12</f>
        <v>222.33606000000003</v>
      </c>
      <c r="H3" s="4">
        <f>FS!H12</f>
        <v>228.85866180000002</v>
      </c>
      <c r="I3" s="4">
        <f>FS!I12</f>
        <v>234.45722834499995</v>
      </c>
      <c r="J3" s="4">
        <f>FS!J12</f>
        <v>240.19575905362507</v>
      </c>
      <c r="L3" s="1" t="s">
        <v>215</v>
      </c>
      <c r="N3" s="4">
        <v>0.82</v>
      </c>
      <c r="R3" s="4"/>
    </row>
    <row r="4" spans="1:18" x14ac:dyDescent="0.2">
      <c r="E4" s="4"/>
      <c r="F4" s="4"/>
      <c r="G4" s="4"/>
      <c r="H4" s="4"/>
      <c r="I4" s="4"/>
      <c r="J4" s="4"/>
      <c r="L4" s="1" t="s">
        <v>216</v>
      </c>
      <c r="N4" s="4">
        <f>N3*(1+(1-0.3)*(N13/N12))</f>
        <v>0.85269547444094096</v>
      </c>
      <c r="R4" s="85"/>
    </row>
    <row r="5" spans="1:18" x14ac:dyDescent="0.2">
      <c r="A5" s="1" t="s">
        <v>125</v>
      </c>
      <c r="E5" s="4">
        <f>FS!E27</f>
        <v>-31.882999999999999</v>
      </c>
      <c r="F5" s="4">
        <f>FS!F27</f>
        <v>-33.108314400000012</v>
      </c>
      <c r="G5" s="4">
        <f>FS!G27</f>
        <v>-37.256668012332341</v>
      </c>
      <c r="H5" s="4">
        <f>FS!H27</f>
        <v>-37.922048970149305</v>
      </c>
      <c r="I5" s="4">
        <f>FS!I27</f>
        <v>-38.472896129303649</v>
      </c>
      <c r="J5" s="4">
        <f>FS!J27</f>
        <v>-39.098841605377338</v>
      </c>
      <c r="L5" s="1" t="s">
        <v>131</v>
      </c>
      <c r="N5" s="7">
        <v>1.6000000000000001E-3</v>
      </c>
      <c r="P5" s="56"/>
      <c r="Q5" s="56"/>
      <c r="R5" s="85"/>
    </row>
    <row r="6" spans="1:18" x14ac:dyDescent="0.2">
      <c r="A6" s="1" t="s">
        <v>126</v>
      </c>
      <c r="E6" s="4">
        <f>FS!E91</f>
        <v>-34.433</v>
      </c>
      <c r="F6" s="4">
        <f>FS!F91</f>
        <v>-21.835131195934611</v>
      </c>
      <c r="G6" s="4">
        <f>FS!G91</f>
        <v>-12.494285247837414</v>
      </c>
      <c r="H6" s="4">
        <f>FS!H91</f>
        <v>-9.7455424933131738</v>
      </c>
      <c r="I6" s="4">
        <f>FS!I91</f>
        <v>-8.3649239734271053</v>
      </c>
      <c r="J6" s="4">
        <f>FS!J91</f>
        <v>-8.5740470727627773</v>
      </c>
      <c r="L6" s="1" t="s">
        <v>132</v>
      </c>
      <c r="N6" s="7">
        <v>7.9240000000000005E-2</v>
      </c>
      <c r="P6" s="56"/>
      <c r="Q6" s="77"/>
      <c r="R6" s="85"/>
    </row>
    <row r="7" spans="1:18" x14ac:dyDescent="0.2">
      <c r="A7" s="1" t="s">
        <v>127</v>
      </c>
      <c r="E7" s="4">
        <f>FS!E97</f>
        <v>-56.701999999999998</v>
      </c>
      <c r="F7" s="4">
        <f>FS!F97</f>
        <v>-77.5</v>
      </c>
      <c r="G7" s="4">
        <f>FS!G97</f>
        <v>-68.418900000000008</v>
      </c>
      <c r="H7" s="4">
        <f>FS!H97</f>
        <v>-63.249472000000004</v>
      </c>
      <c r="I7" s="4">
        <f>FS!I97</f>
        <v>-65.146956160000016</v>
      </c>
      <c r="J7" s="4">
        <f>FS!J97</f>
        <v>-66.775630064000012</v>
      </c>
      <c r="L7" s="50" t="s">
        <v>135</v>
      </c>
      <c r="M7" s="50"/>
      <c r="N7" s="51">
        <f>N5+N4*N6</f>
        <v>6.9167589394700177E-2</v>
      </c>
      <c r="P7" s="56"/>
      <c r="Q7" s="56"/>
      <c r="R7" s="56"/>
    </row>
    <row r="8" spans="1:18" x14ac:dyDescent="0.2">
      <c r="E8" s="4"/>
      <c r="F8" s="4"/>
      <c r="G8" s="4"/>
      <c r="H8" s="4"/>
      <c r="I8" s="4"/>
      <c r="J8" s="4"/>
      <c r="R8" s="7"/>
    </row>
    <row r="9" spans="1:18" x14ac:dyDescent="0.2">
      <c r="A9" s="44" t="s">
        <v>128</v>
      </c>
      <c r="B9" s="27"/>
      <c r="C9" s="27"/>
      <c r="D9" s="27"/>
      <c r="E9" s="30">
        <f>SUM(E3:E7)</f>
        <v>89.199999999999932</v>
      </c>
      <c r="F9" s="30">
        <f>SUM(F3:F7)</f>
        <v>81.530304404065419</v>
      </c>
      <c r="G9" s="30">
        <f t="shared" ref="G9:J9" si="1">SUM(G3:G7)</f>
        <v>104.16620673983027</v>
      </c>
      <c r="H9" s="30">
        <f t="shared" si="1"/>
        <v>117.94159833653757</v>
      </c>
      <c r="I9" s="30">
        <f t="shared" si="1"/>
        <v>122.47245208226919</v>
      </c>
      <c r="J9" s="45">
        <f t="shared" si="1"/>
        <v>125.74724031148494</v>
      </c>
      <c r="L9" s="1" t="s">
        <v>136</v>
      </c>
      <c r="N9" s="7">
        <v>0.03</v>
      </c>
      <c r="R9" s="7"/>
    </row>
    <row r="10" spans="1:18" x14ac:dyDescent="0.2">
      <c r="A10" s="46" t="s">
        <v>129</v>
      </c>
      <c r="B10" s="47"/>
      <c r="C10" s="47"/>
      <c r="D10" s="47"/>
      <c r="E10" s="48"/>
      <c r="F10" s="48">
        <f>F9/(1+$N$15)^F12</f>
        <v>78.939504534547069</v>
      </c>
      <c r="G10" s="48">
        <f t="shared" ref="G10:J10" si="2">G9/(1+$N$15)^G12</f>
        <v>94.548108863733816</v>
      </c>
      <c r="H10" s="48">
        <f t="shared" si="2"/>
        <v>100.35607582026151</v>
      </c>
      <c r="I10" s="48">
        <f t="shared" si="2"/>
        <v>97.693515927796554</v>
      </c>
      <c r="J10" s="49">
        <f t="shared" si="2"/>
        <v>94.032169052987086</v>
      </c>
      <c r="L10" s="1" t="s">
        <v>137</v>
      </c>
      <c r="N10" s="7">
        <f>(1-FS!F28)*DCF!N9</f>
        <v>2.3699999999999999E-2</v>
      </c>
    </row>
    <row r="11" spans="1:18" x14ac:dyDescent="0.2">
      <c r="R11" s="7"/>
    </row>
    <row r="12" spans="1:18" x14ac:dyDescent="0.2">
      <c r="A12" s="1" t="s">
        <v>130</v>
      </c>
      <c r="F12" s="4">
        <v>0.5</v>
      </c>
      <c r="G12" s="4">
        <f>F12+1</f>
        <v>1.5</v>
      </c>
      <c r="H12" s="4">
        <f t="shared" ref="H12:J12" si="3">G12+1</f>
        <v>2.5</v>
      </c>
      <c r="I12" s="4">
        <f t="shared" si="3"/>
        <v>3.5</v>
      </c>
      <c r="J12" s="4">
        <f t="shared" si="3"/>
        <v>4.5</v>
      </c>
      <c r="L12" s="1" t="s">
        <v>138</v>
      </c>
      <c r="N12" s="7">
        <f>1-N13</f>
        <v>0.94610891984801881</v>
      </c>
      <c r="R12" s="7"/>
    </row>
    <row r="13" spans="1:18" x14ac:dyDescent="0.2">
      <c r="L13" s="1" t="s">
        <v>139</v>
      </c>
      <c r="N13" s="7">
        <v>5.3891080151981186E-2</v>
      </c>
    </row>
    <row r="14" spans="1:18" x14ac:dyDescent="0.2">
      <c r="R14" s="7"/>
    </row>
    <row r="15" spans="1:18" x14ac:dyDescent="0.2">
      <c r="L15" s="1" t="s">
        <v>147</v>
      </c>
      <c r="N15" s="7">
        <f>N12*N7+N13*N10</f>
        <v>6.6717291890313016E-2</v>
      </c>
    </row>
    <row r="17" spans="12:18" x14ac:dyDescent="0.2">
      <c r="L17" s="1" t="s">
        <v>133</v>
      </c>
      <c r="N17" s="7">
        <v>0.02</v>
      </c>
    </row>
    <row r="18" spans="12:18" x14ac:dyDescent="0.2">
      <c r="L18" s="1" t="s">
        <v>134</v>
      </c>
      <c r="N18" s="4">
        <f>(J9*(1+N17))/(N15-N17)</f>
        <v>2745.4970082354075</v>
      </c>
    </row>
    <row r="20" spans="12:18" x14ac:dyDescent="0.2">
      <c r="L20" s="1" t="s">
        <v>140</v>
      </c>
      <c r="N20" s="4">
        <f>N18/((1+N15)^J12)</f>
        <v>2053.047352557152</v>
      </c>
    </row>
    <row r="21" spans="12:18" x14ac:dyDescent="0.2">
      <c r="L21" s="1" t="s">
        <v>141</v>
      </c>
      <c r="N21" s="4">
        <f>SUM(F10:J10)</f>
        <v>465.56937419932603</v>
      </c>
    </row>
    <row r="22" spans="12:18" x14ac:dyDescent="0.2">
      <c r="L22" s="50" t="s">
        <v>142</v>
      </c>
      <c r="M22" s="50"/>
      <c r="N22" s="52">
        <f>SUM(N20:N21)</f>
        <v>2518.6167267564779</v>
      </c>
    </row>
    <row r="24" spans="12:18" x14ac:dyDescent="0.2">
      <c r="L24" s="1" t="s">
        <v>143</v>
      </c>
      <c r="N24" s="7">
        <f>N20/N22</f>
        <v>0.81514878018026393</v>
      </c>
    </row>
    <row r="26" spans="12:18" x14ac:dyDescent="0.2">
      <c r="L26" s="1" t="s">
        <v>142</v>
      </c>
      <c r="N26" s="4">
        <f>N22</f>
        <v>2518.6167267564779</v>
      </c>
    </row>
    <row r="27" spans="12:18" x14ac:dyDescent="0.2">
      <c r="L27" s="1" t="s">
        <v>146</v>
      </c>
      <c r="N27" s="4">
        <f>SUM(Header!B6:B7)</f>
        <v>-8.4500000000000028</v>
      </c>
    </row>
    <row r="28" spans="12:18" x14ac:dyDescent="0.2">
      <c r="L28" s="50" t="s">
        <v>144</v>
      </c>
      <c r="M28" s="50"/>
      <c r="N28" s="52">
        <f>N26-N27</f>
        <v>2527.0667267564777</v>
      </c>
    </row>
    <row r="29" spans="12:18" x14ac:dyDescent="0.2">
      <c r="P29" s="24" t="s">
        <v>212</v>
      </c>
      <c r="R29" s="7">
        <f>N30/Header!B3-1</f>
        <v>0.12709655524894337</v>
      </c>
    </row>
    <row r="30" spans="12:18" x14ac:dyDescent="0.2">
      <c r="L30" s="24" t="s">
        <v>145</v>
      </c>
      <c r="M30" s="24"/>
      <c r="N30" s="88">
        <f>N28/Forecasts!E37</f>
        <v>54.224615273026664</v>
      </c>
    </row>
    <row r="32" spans="12:18" x14ac:dyDescent="0.2">
      <c r="L32" s="24" t="s">
        <v>165</v>
      </c>
      <c r="N32" s="40">
        <f>1/(N15-N17)</f>
        <v>21.405350343249527</v>
      </c>
    </row>
    <row r="33" spans="12:14" x14ac:dyDescent="0.2">
      <c r="L33" s="50" t="s">
        <v>197</v>
      </c>
      <c r="M33" s="27"/>
      <c r="N33" s="70">
        <f>Header!B8/86.467</f>
        <v>25.83243481351267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opLeftCell="A52" workbookViewId="0">
      <selection activeCell="A56" sqref="A56"/>
    </sheetView>
  </sheetViews>
  <sheetFormatPr defaultRowHeight="12.75" x14ac:dyDescent="0.2"/>
  <cols>
    <col min="1" max="4" width="9.140625" style="1"/>
    <col min="5" max="5" width="9.85546875" style="1" customWidth="1"/>
    <col min="6" max="8" width="9.140625" style="1"/>
    <col min="9" max="9" width="10.7109375" style="1" customWidth="1"/>
    <col min="10" max="16384" width="9.140625" style="1"/>
  </cols>
  <sheetData>
    <row r="1" spans="1:10" s="22" customFormat="1" x14ac:dyDescent="0.2">
      <c r="A1" s="25" t="s">
        <v>111</v>
      </c>
      <c r="B1" s="25"/>
      <c r="C1" s="23">
        <v>2013</v>
      </c>
      <c r="D1" s="23">
        <f>C1+1</f>
        <v>2014</v>
      </c>
      <c r="E1" s="23">
        <f t="shared" ref="E1" si="0">D1+1</f>
        <v>2015</v>
      </c>
      <c r="F1" s="26" t="s">
        <v>148</v>
      </c>
      <c r="G1" s="26"/>
      <c r="H1" s="26"/>
      <c r="I1" s="26"/>
      <c r="J1" s="26"/>
    </row>
    <row r="2" spans="1:10" s="27" customFormat="1" x14ac:dyDescent="0.2">
      <c r="A2" s="27" t="s">
        <v>22</v>
      </c>
      <c r="C2" s="18">
        <f>FS!C12/FS!C3</f>
        <v>0.25453005978482307</v>
      </c>
      <c r="D2" s="18">
        <f>FS!D12/FS!D3</f>
        <v>0.26877156825502174</v>
      </c>
      <c r="E2" s="18">
        <f>FS!E12/FS!E3</f>
        <v>0.286482983922135</v>
      </c>
      <c r="F2" s="18">
        <f>AVERAGE(C2:E2)</f>
        <v>0.26992820398732659</v>
      </c>
    </row>
    <row r="3" spans="1:10" x14ac:dyDescent="0.2">
      <c r="A3" s="1" t="s">
        <v>31</v>
      </c>
      <c r="C3" s="7">
        <f>FS!C16/FS!C3</f>
        <v>0.18615391373233303</v>
      </c>
      <c r="D3" s="7">
        <f>FS!D16/FS!D3</f>
        <v>0.19721626692166511</v>
      </c>
      <c r="E3" s="7">
        <f>FS!E16/FS!E3</f>
        <v>0.2148696626483253</v>
      </c>
      <c r="F3" s="7">
        <f t="shared" ref="F3:F4" si="1">AVERAGE(C3:E3)</f>
        <v>0.1994132811007745</v>
      </c>
    </row>
    <row r="4" spans="1:10" x14ac:dyDescent="0.2">
      <c r="A4" s="1" t="s">
        <v>24</v>
      </c>
      <c r="C4" s="7">
        <f>FS!C32/FS!C3</f>
        <v>0.15229907255517638</v>
      </c>
      <c r="D4" s="7">
        <f>FS!D32/FS!D3</f>
        <v>0.15486789421057459</v>
      </c>
      <c r="E4" s="7">
        <f>FS!E32/FS!E3</f>
        <v>0.16212184618707551</v>
      </c>
      <c r="F4" s="7">
        <f t="shared" si="1"/>
        <v>0.1564296043176088</v>
      </c>
    </row>
    <row r="6" spans="1:10" s="22" customFormat="1" x14ac:dyDescent="0.2">
      <c r="A6" s="25" t="s">
        <v>123</v>
      </c>
      <c r="B6" s="25"/>
      <c r="C6" s="53">
        <v>2013</v>
      </c>
      <c r="D6" s="23">
        <f>C6+1</f>
        <v>2014</v>
      </c>
      <c r="E6" s="23">
        <f t="shared" ref="E6" si="2">D6+1</f>
        <v>2015</v>
      </c>
      <c r="F6" s="26" t="s">
        <v>148</v>
      </c>
      <c r="G6" s="26"/>
      <c r="H6" s="26"/>
      <c r="I6" s="26"/>
      <c r="J6" s="26"/>
    </row>
    <row r="7" spans="1:10" s="27" customFormat="1" x14ac:dyDescent="0.2">
      <c r="A7" s="27" t="s">
        <v>11</v>
      </c>
      <c r="D7" s="18">
        <f>FS!D4</f>
        <v>4.0687608773691597E-2</v>
      </c>
      <c r="E7" s="18">
        <f>FS!E4</f>
        <v>7.8168959760604118E-2</v>
      </c>
      <c r="F7" s="18">
        <f>AVERAGE(D7:E7)</f>
        <v>5.9428284267147857E-2</v>
      </c>
    </row>
    <row r="8" spans="1:10" x14ac:dyDescent="0.2">
      <c r="A8" s="1" t="s">
        <v>22</v>
      </c>
      <c r="D8" s="7">
        <f>FS!D12/FS!C12-1</f>
        <v>9.8916335894216223E-2</v>
      </c>
      <c r="E8" s="7">
        <f>FS!E12/FS!D12-1</f>
        <v>0.14921776425163658</v>
      </c>
      <c r="F8" s="7">
        <f t="shared" ref="F8:F10" si="3">AVERAGE(D8:E8)</f>
        <v>0.1240670500729264</v>
      </c>
    </row>
    <row r="9" spans="1:10" x14ac:dyDescent="0.2">
      <c r="A9" s="1" t="s">
        <v>31</v>
      </c>
      <c r="D9" s="7">
        <f>FS!D16/FS!C16-1</f>
        <v>0.10253134687833088</v>
      </c>
      <c r="E9" s="7">
        <f>FS!E16/FS!D16-1</f>
        <v>0.17467896678966732</v>
      </c>
      <c r="F9" s="7">
        <f t="shared" si="3"/>
        <v>0.1386051568339991</v>
      </c>
    </row>
    <row r="10" spans="1:10" x14ac:dyDescent="0.2">
      <c r="A10" s="1" t="s">
        <v>24</v>
      </c>
      <c r="D10" s="7">
        <f>FS!D32/FS!C32-1</f>
        <v>5.8240840195727506E-2</v>
      </c>
      <c r="E10" s="7">
        <f>FS!E32/FS!D32-1</f>
        <v>0.12866997481297626</v>
      </c>
      <c r="F10" s="7">
        <f t="shared" si="3"/>
        <v>9.3455407504351884E-2</v>
      </c>
    </row>
    <row r="12" spans="1:10" x14ac:dyDescent="0.2">
      <c r="A12" s="3" t="s">
        <v>31</v>
      </c>
      <c r="B12" s="69">
        <v>138.5</v>
      </c>
      <c r="C12" s="69">
        <f>FS!C16</f>
        <v>122.899</v>
      </c>
      <c r="D12" s="69">
        <f>FS!D16</f>
        <v>135.5</v>
      </c>
      <c r="E12" s="69">
        <f>FS!E16</f>
        <v>159.16899999999993</v>
      </c>
      <c r="F12" s="4"/>
    </row>
    <row r="13" spans="1:10" x14ac:dyDescent="0.2">
      <c r="A13" s="3" t="s">
        <v>36</v>
      </c>
      <c r="B13" s="69">
        <v>-27.9</v>
      </c>
      <c r="C13" s="69">
        <f>FS!C27</f>
        <v>-25.562999999999999</v>
      </c>
      <c r="D13" s="69">
        <f>FS!D27</f>
        <v>-30.611999999999998</v>
      </c>
      <c r="E13" s="69">
        <f>FS!E27</f>
        <v>-31.882999999999999</v>
      </c>
      <c r="F13" s="4"/>
    </row>
    <row r="14" spans="1:10" x14ac:dyDescent="0.2">
      <c r="A14" s="3" t="s">
        <v>152</v>
      </c>
      <c r="B14" s="69">
        <f>SUM(B12:B13)</f>
        <v>110.6</v>
      </c>
      <c r="C14" s="69">
        <f>SUM(C12:C13)</f>
        <v>97.335999999999999</v>
      </c>
      <c r="D14" s="69">
        <f t="shared" ref="D14:E14" si="4">SUM(D12:D13)</f>
        <v>104.88800000000001</v>
      </c>
      <c r="E14" s="69">
        <f t="shared" si="4"/>
        <v>127.28599999999993</v>
      </c>
      <c r="F14" s="4"/>
    </row>
    <row r="15" spans="1:10" x14ac:dyDescent="0.2">
      <c r="A15" s="3"/>
      <c r="B15" s="3"/>
      <c r="C15" s="3"/>
      <c r="D15" s="3"/>
      <c r="E15" s="3"/>
    </row>
    <row r="16" spans="1:10" x14ac:dyDescent="0.2">
      <c r="A16" s="3" t="s">
        <v>153</v>
      </c>
      <c r="B16" s="3">
        <f>101.9+24.8</f>
        <v>126.7</v>
      </c>
      <c r="C16" s="69">
        <f>FS!C55+FS!C61</f>
        <v>132.65</v>
      </c>
      <c r="D16" s="69">
        <f>FS!D55+FS!D61</f>
        <v>130.27000000000001</v>
      </c>
      <c r="E16" s="69">
        <f>FS!E55+FS!E61</f>
        <v>67.453000000000003</v>
      </c>
    </row>
    <row r="17" spans="1:10" x14ac:dyDescent="0.2">
      <c r="A17" s="3" t="s">
        <v>154</v>
      </c>
      <c r="B17" s="3">
        <v>498.6</v>
      </c>
      <c r="C17" s="69">
        <f>FS!C76</f>
        <v>521.61699999999996</v>
      </c>
      <c r="D17" s="69">
        <f>FS!D76</f>
        <v>575.86699999999996</v>
      </c>
      <c r="E17" s="69">
        <f>FS!E76</f>
        <v>632.90899999999999</v>
      </c>
    </row>
    <row r="18" spans="1:10" x14ac:dyDescent="0.2">
      <c r="A18" s="3" t="s">
        <v>155</v>
      </c>
      <c r="B18" s="69">
        <f>SUM(B16:B17)</f>
        <v>625.30000000000007</v>
      </c>
      <c r="C18" s="69">
        <f>SUM(C16:C17)</f>
        <v>654.26699999999994</v>
      </c>
      <c r="D18" s="69">
        <f t="shared" ref="D18:E18" si="5">SUM(D16:D17)</f>
        <v>706.13699999999994</v>
      </c>
      <c r="E18" s="69">
        <f t="shared" si="5"/>
        <v>700.36199999999997</v>
      </c>
      <c r="F18" s="4"/>
    </row>
    <row r="20" spans="1:10" s="22" customFormat="1" x14ac:dyDescent="0.2">
      <c r="A20" s="25" t="s">
        <v>149</v>
      </c>
      <c r="B20" s="25"/>
      <c r="C20" s="23">
        <f>C1</f>
        <v>2013</v>
      </c>
      <c r="D20" s="23">
        <f t="shared" ref="D20:F20" si="6">D1</f>
        <v>2014</v>
      </c>
      <c r="E20" s="23">
        <f t="shared" si="6"/>
        <v>2015</v>
      </c>
      <c r="F20" s="23" t="str">
        <f t="shared" si="6"/>
        <v>Average</v>
      </c>
      <c r="G20" s="26"/>
      <c r="H20" s="26"/>
      <c r="I20" s="26"/>
      <c r="J20" s="26"/>
    </row>
    <row r="21" spans="1:10" s="27" customFormat="1" x14ac:dyDescent="0.2">
      <c r="A21" s="27" t="s">
        <v>150</v>
      </c>
      <c r="C21" s="75">
        <f>C14/(AVERAGE(B18:C18))</f>
        <v>0.15213896575951083</v>
      </c>
      <c r="D21" s="75">
        <f t="shared" ref="D21:E21" si="7">D14/(AVERAGE(C18:D18))</f>
        <v>0.15420125198102919</v>
      </c>
      <c r="E21" s="75">
        <f t="shared" si="7"/>
        <v>0.18099692925483765</v>
      </c>
      <c r="F21" s="75">
        <f>AVERAGE(C21:E21)</f>
        <v>0.16244571566512589</v>
      </c>
    </row>
    <row r="22" spans="1:10" x14ac:dyDescent="0.2">
      <c r="A22" s="1" t="s">
        <v>151</v>
      </c>
      <c r="C22" s="42"/>
      <c r="D22" s="42">
        <f>(D14-C14)/(AVERAGE(C18:D18)-AVERAGE(B18:C18))</f>
        <v>0.18684513279810008</v>
      </c>
      <c r="E22" s="42">
        <f>(E14-D14)/(AVERAGE(D18:E18)-AVERAGE(C18:D18))</f>
        <v>0.97181906931337547</v>
      </c>
      <c r="F22" s="87" t="s">
        <v>156</v>
      </c>
    </row>
    <row r="23" spans="1:10" x14ac:dyDescent="0.2">
      <c r="A23" s="1" t="s">
        <v>188</v>
      </c>
      <c r="C23" s="42">
        <f>FS!C32/AVERAGE(B17:C17)</f>
        <v>0.19711100677600943</v>
      </c>
      <c r="D23" s="42">
        <f>FS!D32/AVERAGE(C17:D17)</f>
        <v>0.19390533256065695</v>
      </c>
      <c r="E23" s="42">
        <f>FS!E32/AVERAGE(D17:E17)</f>
        <v>0.1987051364355347</v>
      </c>
      <c r="F23" s="87">
        <f>AVERAGE(C23:E23)</f>
        <v>0.19657382525740033</v>
      </c>
    </row>
    <row r="25" spans="1:10" s="22" customFormat="1" x14ac:dyDescent="0.2">
      <c r="A25" s="25" t="s">
        <v>7</v>
      </c>
      <c r="B25" s="25"/>
      <c r="C25" s="23">
        <v>2011</v>
      </c>
      <c r="D25" s="23">
        <f>C25+1</f>
        <v>2012</v>
      </c>
      <c r="E25" s="23">
        <f t="shared" ref="E25:G25" si="8">D25+1</f>
        <v>2013</v>
      </c>
      <c r="F25" s="23">
        <f t="shared" si="8"/>
        <v>2014</v>
      </c>
      <c r="G25" s="23">
        <f t="shared" si="8"/>
        <v>2015</v>
      </c>
      <c r="H25" s="26"/>
      <c r="I25" s="26"/>
      <c r="J25" s="26"/>
    </row>
    <row r="26" spans="1:10" s="27" customFormat="1" x14ac:dyDescent="0.2">
      <c r="A26" s="27" t="s">
        <v>157</v>
      </c>
      <c r="C26" s="18">
        <f>Data!C19</f>
        <v>0.27431681243926143</v>
      </c>
      <c r="D26" s="18">
        <f>Data!D19</f>
        <v>0.27</v>
      </c>
      <c r="E26" s="18">
        <f>Data!E19</f>
        <v>0.28000000000000003</v>
      </c>
      <c r="F26" s="18">
        <f>Data!F19</f>
        <v>0.28999999999999998</v>
      </c>
      <c r="G26" s="18">
        <f>Data!G19</f>
        <v>0.30958110516934051</v>
      </c>
    </row>
    <row r="28" spans="1:10" s="22" customFormat="1" x14ac:dyDescent="0.2">
      <c r="A28" s="25" t="s">
        <v>158</v>
      </c>
      <c r="B28" s="25"/>
      <c r="C28" s="23">
        <v>2011</v>
      </c>
      <c r="D28" s="23">
        <f>C28+1</f>
        <v>2012</v>
      </c>
      <c r="E28" s="23">
        <f t="shared" ref="E28:G28" si="9">D28+1</f>
        <v>2013</v>
      </c>
      <c r="F28" s="23">
        <f t="shared" si="9"/>
        <v>2014</v>
      </c>
      <c r="G28" s="23">
        <f t="shared" si="9"/>
        <v>2015</v>
      </c>
      <c r="H28" s="26">
        <v>2030</v>
      </c>
      <c r="I28" s="26"/>
      <c r="J28" s="26"/>
    </row>
    <row r="29" spans="1:10" s="27" customFormat="1" x14ac:dyDescent="0.2">
      <c r="A29" s="27" t="s">
        <v>161</v>
      </c>
      <c r="C29" s="18">
        <f>Data!C13</f>
        <v>1.2E-2</v>
      </c>
      <c r="D29" s="18">
        <f>Data!D13</f>
        <v>1.0999999999999999E-2</v>
      </c>
      <c r="E29" s="18">
        <f>Data!E13</f>
        <v>1.2E-2</v>
      </c>
      <c r="F29" s="18">
        <f>Data!F13</f>
        <v>0.01</v>
      </c>
      <c r="G29" s="18">
        <f>Data!G13</f>
        <v>0.01</v>
      </c>
      <c r="H29" s="18">
        <v>0.01</v>
      </c>
    </row>
    <row r="30" spans="1:10" x14ac:dyDescent="0.2">
      <c r="A30" s="1" t="s">
        <v>159</v>
      </c>
      <c r="C30" s="7"/>
      <c r="D30" s="7"/>
      <c r="E30" s="7">
        <v>0.02</v>
      </c>
      <c r="F30" s="7">
        <v>0.02</v>
      </c>
      <c r="G30" s="7">
        <v>0.02</v>
      </c>
      <c r="H30" s="7"/>
      <c r="I30" s="94">
        <v>2015</v>
      </c>
      <c r="J30" s="94">
        <v>2030</v>
      </c>
    </row>
    <row r="31" spans="1:10" x14ac:dyDescent="0.2">
      <c r="A31" s="1" t="s">
        <v>204</v>
      </c>
      <c r="C31" s="7"/>
      <c r="D31" s="7"/>
      <c r="E31" s="7"/>
      <c r="F31" s="7"/>
      <c r="G31" s="7"/>
      <c r="H31" s="7">
        <f>(J31/I31)^(1/(H28-G28))-1</f>
        <v>6.1819990012508264E-3</v>
      </c>
      <c r="I31" s="94">
        <v>41.3</v>
      </c>
      <c r="J31" s="94">
        <v>45.3</v>
      </c>
    </row>
    <row r="32" spans="1:10" x14ac:dyDescent="0.2">
      <c r="A32" s="27" t="s">
        <v>160</v>
      </c>
      <c r="B32" s="27"/>
      <c r="C32" s="18"/>
      <c r="D32" s="18"/>
      <c r="E32" s="18"/>
      <c r="F32" s="18"/>
      <c r="G32" s="18"/>
      <c r="H32" s="18">
        <f>(1+H29)*(1+H31)-1</f>
        <v>1.6243818991263259E-2</v>
      </c>
    </row>
    <row r="34" spans="1:10" s="22" customFormat="1" x14ac:dyDescent="0.2">
      <c r="A34" s="25" t="s">
        <v>163</v>
      </c>
      <c r="B34" s="25"/>
      <c r="C34" s="23">
        <v>2013</v>
      </c>
      <c r="D34" s="23">
        <f>C34+1</f>
        <v>2014</v>
      </c>
      <c r="E34" s="23">
        <f>D34+1</f>
        <v>2015</v>
      </c>
      <c r="F34" s="23" t="s">
        <v>164</v>
      </c>
      <c r="G34" s="26"/>
      <c r="H34" s="26"/>
      <c r="I34" s="26"/>
      <c r="J34" s="26"/>
    </row>
    <row r="35" spans="1:10" s="27" customFormat="1" x14ac:dyDescent="0.2">
      <c r="A35" s="27" t="s">
        <v>16</v>
      </c>
      <c r="C35" s="30">
        <v>354.911</v>
      </c>
      <c r="D35" s="30">
        <v>381.21700000000004</v>
      </c>
      <c r="E35" s="30">
        <v>411.8</v>
      </c>
      <c r="F35" s="18">
        <f>E35/$E$38</f>
        <v>0.55588552915766731</v>
      </c>
    </row>
    <row r="36" spans="1:10" x14ac:dyDescent="0.2">
      <c r="A36" s="1" t="s">
        <v>17</v>
      </c>
      <c r="C36" s="4">
        <v>203.16800000000001</v>
      </c>
      <c r="D36" s="4">
        <v>198.28100000000001</v>
      </c>
      <c r="E36" s="4">
        <v>215.9</v>
      </c>
      <c r="F36" s="7">
        <f t="shared" ref="F36:F37" si="10">E36/$E$38</f>
        <v>0.29144168466522674</v>
      </c>
    </row>
    <row r="37" spans="1:10" x14ac:dyDescent="0.2">
      <c r="A37" s="1" t="s">
        <v>18</v>
      </c>
      <c r="C37" s="4">
        <v>102.122</v>
      </c>
      <c r="D37" s="4">
        <v>107.565</v>
      </c>
      <c r="E37" s="4">
        <v>113.1</v>
      </c>
      <c r="F37" s="7">
        <f t="shared" si="10"/>
        <v>0.15267278617710581</v>
      </c>
    </row>
    <row r="38" spans="1:10" s="27" customFormat="1" x14ac:dyDescent="0.2">
      <c r="A38" s="50" t="s">
        <v>121</v>
      </c>
      <c r="B38" s="50"/>
      <c r="C38" s="52">
        <f>SUM(C35:C37)</f>
        <v>660.20099999999991</v>
      </c>
      <c r="D38" s="52">
        <f t="shared" ref="D38:E38" si="11">SUM(D35:D37)</f>
        <v>687.0630000000001</v>
      </c>
      <c r="E38" s="52">
        <f t="shared" si="11"/>
        <v>740.80000000000007</v>
      </c>
    </row>
    <row r="40" spans="1:10" x14ac:dyDescent="0.2">
      <c r="A40" s="1" t="s">
        <v>192</v>
      </c>
      <c r="C40" s="7">
        <f>-Forecasts!C35/FS!C32</f>
        <v>0.51219318136611369</v>
      </c>
      <c r="D40" s="7">
        <f>-Forecasts!D35/FS!D32</f>
        <v>0.50562008947032056</v>
      </c>
      <c r="E40" s="7">
        <f>-Forecasts!E35/FS!E32</f>
        <v>0.4827426654565139</v>
      </c>
    </row>
    <row r="42" spans="1:10" x14ac:dyDescent="0.2">
      <c r="A42" s="22"/>
      <c r="B42" s="22"/>
      <c r="C42" s="25" t="s">
        <v>2</v>
      </c>
      <c r="D42" s="25" t="s">
        <v>3</v>
      </c>
      <c r="E42" s="25" t="s">
        <v>4</v>
      </c>
      <c r="F42" s="25" t="s">
        <v>5</v>
      </c>
      <c r="G42" s="25" t="s">
        <v>199</v>
      </c>
    </row>
    <row r="43" spans="1:10" x14ac:dyDescent="0.2">
      <c r="A43" s="74" t="s">
        <v>7</v>
      </c>
      <c r="B43" s="27"/>
      <c r="C43" s="73">
        <v>0.13636363636363635</v>
      </c>
      <c r="D43" s="73">
        <v>6.8181818181818177E-2</v>
      </c>
      <c r="E43" s="73">
        <v>0.20454545454545453</v>
      </c>
      <c r="F43" s="73">
        <v>9.0909090909090912E-2</v>
      </c>
      <c r="G43" s="73">
        <v>0.49</v>
      </c>
    </row>
    <row r="45" spans="1:10" s="22" customFormat="1" x14ac:dyDescent="0.2">
      <c r="E45" s="23" t="s">
        <v>200</v>
      </c>
      <c r="F45" s="23" t="s">
        <v>201</v>
      </c>
      <c r="G45" s="23" t="s">
        <v>202</v>
      </c>
      <c r="H45" s="23" t="s">
        <v>203</v>
      </c>
      <c r="I45" s="23" t="s">
        <v>17</v>
      </c>
    </row>
    <row r="46" spans="1:10" s="27" customFormat="1" x14ac:dyDescent="0.2">
      <c r="C46" s="50" t="s">
        <v>7</v>
      </c>
      <c r="E46" s="73">
        <v>0.02</v>
      </c>
      <c r="F46" s="73">
        <v>0.25</v>
      </c>
      <c r="G46" s="73">
        <v>0.1</v>
      </c>
      <c r="H46" s="73">
        <v>0.34</v>
      </c>
      <c r="I46" s="73">
        <v>0.28999999999999998</v>
      </c>
    </row>
    <row r="47" spans="1:10" s="56" customFormat="1" x14ac:dyDescent="0.2">
      <c r="C47" s="77"/>
      <c r="E47" s="78"/>
      <c r="F47" s="78"/>
      <c r="G47" s="78"/>
      <c r="H47" s="78"/>
      <c r="I47" s="78"/>
    </row>
    <row r="48" spans="1:10" s="22" customFormat="1" x14ac:dyDescent="0.2">
      <c r="B48" s="79" t="s">
        <v>206</v>
      </c>
      <c r="C48" s="79"/>
      <c r="D48" s="79"/>
      <c r="E48" s="79"/>
      <c r="F48" s="80" t="s">
        <v>210</v>
      </c>
      <c r="G48" s="64"/>
      <c r="H48" s="64"/>
      <c r="I48" s="84"/>
    </row>
    <row r="49" spans="1:9" s="22" customFormat="1" x14ac:dyDescent="0.2">
      <c r="A49" s="25"/>
      <c r="B49" s="23" t="s">
        <v>205</v>
      </c>
      <c r="C49" s="23" t="s">
        <v>22</v>
      </c>
      <c r="D49" s="23" t="s">
        <v>31</v>
      </c>
      <c r="E49" s="23" t="s">
        <v>24</v>
      </c>
      <c r="F49" s="81" t="s">
        <v>11</v>
      </c>
      <c r="G49" s="23" t="s">
        <v>22</v>
      </c>
      <c r="H49" s="23" t="s">
        <v>31</v>
      </c>
      <c r="I49" s="81" t="s">
        <v>211</v>
      </c>
    </row>
    <row r="50" spans="1:9" s="27" customFormat="1" x14ac:dyDescent="0.2">
      <c r="A50" s="27" t="s">
        <v>207</v>
      </c>
      <c r="B50" s="75">
        <v>0.34</v>
      </c>
      <c r="C50" s="75">
        <v>0.21</v>
      </c>
      <c r="D50" s="75">
        <v>0.14299999999999999</v>
      </c>
      <c r="E50" s="75">
        <v>6.3399999999999998E-2</v>
      </c>
      <c r="F50" s="82">
        <v>-8.9999999999999993E-3</v>
      </c>
      <c r="G50" s="75">
        <v>7.3300000000000004E-2</v>
      </c>
      <c r="H50" s="75">
        <v>0.1298</v>
      </c>
      <c r="I50" s="82">
        <v>0.50749999999999995</v>
      </c>
    </row>
    <row r="51" spans="1:9" x14ac:dyDescent="0.2">
      <c r="A51" s="1" t="s">
        <v>208</v>
      </c>
      <c r="B51" s="42">
        <v>0.44</v>
      </c>
      <c r="C51" s="42">
        <v>0.41</v>
      </c>
      <c r="D51" s="42">
        <v>0.29899999999999999</v>
      </c>
      <c r="E51" s="42">
        <v>0.27629999999999999</v>
      </c>
      <c r="F51" s="83">
        <v>-0.24840000000000001</v>
      </c>
      <c r="G51" s="42">
        <v>-0.42420000000000002</v>
      </c>
      <c r="H51" s="42">
        <v>-0.51619999999999999</v>
      </c>
      <c r="I51" s="83">
        <v>0.1595</v>
      </c>
    </row>
    <row r="52" spans="1:9" x14ac:dyDescent="0.2">
      <c r="A52" s="1" t="s">
        <v>209</v>
      </c>
      <c r="B52" s="42">
        <v>0.24</v>
      </c>
      <c r="C52" s="42">
        <v>0.15</v>
      </c>
      <c r="D52" s="42">
        <v>9.2999999999999999E-2</v>
      </c>
      <c r="E52" s="42">
        <v>3.8E-3</v>
      </c>
      <c r="F52" s="83">
        <v>-5.9200000000000003E-2</v>
      </c>
      <c r="G52" s="42">
        <v>-0.23269999999999999</v>
      </c>
      <c r="H52" s="42">
        <v>-0.30659999999999998</v>
      </c>
      <c r="I52" s="83">
        <v>0.89059999999999995</v>
      </c>
    </row>
    <row r="53" spans="1:9" s="27" customFormat="1" x14ac:dyDescent="0.2">
      <c r="A53" s="50" t="s">
        <v>184</v>
      </c>
      <c r="B53" s="76">
        <v>0.69</v>
      </c>
      <c r="C53" s="76">
        <v>0.28000000000000003</v>
      </c>
      <c r="D53" s="76">
        <v>0.21</v>
      </c>
      <c r="E53" s="76">
        <v>0.158</v>
      </c>
      <c r="F53" s="82">
        <v>4.2900000000000001E-2</v>
      </c>
      <c r="G53" s="75">
        <v>6.2600000000000003E-2</v>
      </c>
      <c r="H53" s="75">
        <v>5.7799999999999997E-2</v>
      </c>
      <c r="I53" s="82">
        <v>5.3900000000000003E-2</v>
      </c>
    </row>
    <row r="55" spans="1:9" x14ac:dyDescent="0.2">
      <c r="A55" s="25"/>
      <c r="B55" s="23">
        <f>Data!E28</f>
        <v>2013</v>
      </c>
      <c r="C55" s="23">
        <f>Data!F28</f>
        <v>2014</v>
      </c>
      <c r="D55" s="23">
        <f>Data!G28</f>
        <v>2015</v>
      </c>
    </row>
    <row r="56" spans="1:9" x14ac:dyDescent="0.2">
      <c r="A56" s="50" t="str">
        <f>Data!A31</f>
        <v>Europe and Asia</v>
      </c>
      <c r="B56" s="73">
        <f>Data!E31/Data!E34</f>
        <v>0.53758022178094256</v>
      </c>
      <c r="C56" s="73">
        <f>Data!F31/Data!F34</f>
        <v>0.55485013746919853</v>
      </c>
      <c r="D56" s="73">
        <f>Data!G31/Data!G34</f>
        <v>0.55588552915766731</v>
      </c>
    </row>
    <row r="57" spans="1:9" x14ac:dyDescent="0.2">
      <c r="A57" s="24" t="str">
        <f>Data!A32</f>
        <v>North America</v>
      </c>
      <c r="B57" s="86">
        <f>Data!E32/Data!E34</f>
        <v>0.30773658325267611</v>
      </c>
      <c r="C57" s="86">
        <f>Data!F32/Data!F34</f>
        <v>0.2885921669483002</v>
      </c>
      <c r="D57" s="86">
        <f>Data!G32/Data!G34</f>
        <v>0.29144168466522674</v>
      </c>
    </row>
    <row r="58" spans="1:9" x14ac:dyDescent="0.2">
      <c r="A58" s="24" t="str">
        <f>Data!A33</f>
        <v>South America</v>
      </c>
      <c r="B58" s="86">
        <f>Data!E33/Data!E34</f>
        <v>0.15468319496638147</v>
      </c>
      <c r="C58" s="86">
        <f>Data!F33/Data!F34</f>
        <v>0.15655769558250116</v>
      </c>
      <c r="D58" s="86">
        <f>Data!G33/Data!G34</f>
        <v>0.15267278617710581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D12" sqref="D12"/>
    </sheetView>
  </sheetViews>
  <sheetFormatPr defaultRowHeight="12.75" x14ac:dyDescent="0.2"/>
  <cols>
    <col min="1" max="1" width="22" style="1" bestFit="1" customWidth="1"/>
    <col min="2" max="2" width="16.85546875" style="1" bestFit="1" customWidth="1"/>
    <col min="3" max="3" width="16" style="1" bestFit="1" customWidth="1"/>
    <col min="4" max="4" width="12.85546875" style="1" customWidth="1"/>
    <col min="5" max="16384" width="9.140625" style="1"/>
  </cols>
  <sheetData>
    <row r="1" spans="1:4" x14ac:dyDescent="0.2">
      <c r="A1" s="62" t="s">
        <v>196</v>
      </c>
      <c r="B1" s="62"/>
      <c r="C1" s="62"/>
      <c r="D1" s="62"/>
    </row>
    <row r="2" spans="1:4" x14ac:dyDescent="0.2">
      <c r="A2" s="63" t="s">
        <v>185</v>
      </c>
      <c r="B2" s="68" t="s">
        <v>167</v>
      </c>
      <c r="C2" s="62"/>
      <c r="D2" s="68" t="s">
        <v>186</v>
      </c>
    </row>
    <row r="3" spans="1:4" x14ac:dyDescent="0.2">
      <c r="A3" s="5" t="s">
        <v>168</v>
      </c>
      <c r="B3" s="67">
        <v>48.11</v>
      </c>
      <c r="C3" s="1" t="s">
        <v>169</v>
      </c>
      <c r="D3" s="58">
        <f>B8/FS!E3</f>
        <v>3.0153126355278967</v>
      </c>
    </row>
    <row r="4" spans="1:4" x14ac:dyDescent="0.2">
      <c r="A4" s="5" t="s">
        <v>170</v>
      </c>
      <c r="B4" s="59">
        <v>46.603681999999999</v>
      </c>
      <c r="C4" s="1" t="s">
        <v>171</v>
      </c>
      <c r="D4" s="58">
        <f>B8/FS!E16</f>
        <v>14.033217152963209</v>
      </c>
    </row>
    <row r="5" spans="1:4" x14ac:dyDescent="0.2">
      <c r="A5" s="24" t="s">
        <v>172</v>
      </c>
      <c r="B5" s="60">
        <f>B4*B3</f>
        <v>2242.1031410199998</v>
      </c>
      <c r="C5" s="1" t="s">
        <v>173</v>
      </c>
      <c r="D5" s="58">
        <f>B8/166.4</f>
        <v>13.423396280168269</v>
      </c>
    </row>
    <row r="6" spans="1:4" x14ac:dyDescent="0.2">
      <c r="A6" s="5" t="s">
        <v>217</v>
      </c>
      <c r="B6" s="41">
        <v>-45.682000000000002</v>
      </c>
      <c r="D6" s="58"/>
    </row>
    <row r="7" spans="1:4" x14ac:dyDescent="0.2">
      <c r="A7" s="5" t="s">
        <v>218</v>
      </c>
      <c r="B7" s="41">
        <f>11.656+25.576</f>
        <v>37.231999999999999</v>
      </c>
      <c r="C7" s="1" t="s">
        <v>174</v>
      </c>
      <c r="D7" s="58">
        <f>B5/FS!E32</f>
        <v>18.669412889962125</v>
      </c>
    </row>
    <row r="8" spans="1:4" x14ac:dyDescent="0.2">
      <c r="A8" s="24" t="s">
        <v>175</v>
      </c>
      <c r="B8" s="60">
        <f>SUM(B5:B7)</f>
        <v>2233.65314102</v>
      </c>
      <c r="C8" s="1" t="s">
        <v>176</v>
      </c>
      <c r="D8" s="58">
        <f>B5/126.09</f>
        <v>17.781768110238716</v>
      </c>
    </row>
    <row r="9" spans="1:4" x14ac:dyDescent="0.2">
      <c r="A9" s="65" t="s">
        <v>177</v>
      </c>
      <c r="B9" s="66"/>
      <c r="C9" s="66"/>
      <c r="D9" s="66"/>
    </row>
    <row r="10" spans="1:4" x14ac:dyDescent="0.2">
      <c r="A10" s="1" t="s">
        <v>178</v>
      </c>
      <c r="B10" s="67">
        <v>60.62</v>
      </c>
      <c r="C10" s="1" t="s">
        <v>179</v>
      </c>
      <c r="D10" s="67">
        <f>FS!E32/Header!B4</f>
        <v>2.5769423111246859</v>
      </c>
    </row>
    <row r="11" spans="1:4" x14ac:dyDescent="0.2">
      <c r="A11" s="1" t="s">
        <v>180</v>
      </c>
      <c r="B11" s="67">
        <v>48.22</v>
      </c>
      <c r="C11" s="1" t="s">
        <v>181</v>
      </c>
      <c r="D11" s="67">
        <v>2.71</v>
      </c>
    </row>
    <row r="12" spans="1:4" x14ac:dyDescent="0.2">
      <c r="A12" s="1" t="s">
        <v>182</v>
      </c>
      <c r="B12" s="61">
        <v>0.24</v>
      </c>
      <c r="C12" s="1" t="s">
        <v>183</v>
      </c>
      <c r="D12" s="89">
        <f>-Forecasts!E35/Header!B5</f>
        <v>2.5857410101849929E-2</v>
      </c>
    </row>
    <row r="13" spans="1:4" x14ac:dyDescent="0.2">
      <c r="C13" s="3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F9" sqref="F9"/>
    </sheetView>
  </sheetViews>
  <sheetFormatPr defaultRowHeight="12.75" x14ac:dyDescent="0.2"/>
  <cols>
    <col min="1" max="5" width="9.140625" style="1"/>
    <col min="6" max="6" width="9.42578125" style="1" bestFit="1" customWidth="1"/>
    <col min="7" max="16384" width="9.140625" style="1"/>
  </cols>
  <sheetData>
    <row r="1" spans="1:10" s="22" customFormat="1" x14ac:dyDescent="0.2">
      <c r="A1" s="25" t="s">
        <v>98</v>
      </c>
      <c r="B1" s="25"/>
      <c r="C1" s="23">
        <v>2013</v>
      </c>
      <c r="D1" s="23">
        <f>C1+1</f>
        <v>2014</v>
      </c>
      <c r="E1" s="23">
        <f>D1+1</f>
        <v>2015</v>
      </c>
      <c r="F1" s="26">
        <f t="shared" ref="F1:J1" si="0">E1+1</f>
        <v>2016</v>
      </c>
      <c r="G1" s="26">
        <f t="shared" si="0"/>
        <v>2017</v>
      </c>
      <c r="H1" s="26">
        <f t="shared" si="0"/>
        <v>2018</v>
      </c>
      <c r="I1" s="26">
        <f t="shared" si="0"/>
        <v>2019</v>
      </c>
      <c r="J1" s="26">
        <f t="shared" si="0"/>
        <v>2020</v>
      </c>
    </row>
    <row r="2" spans="1:10" s="27" customFormat="1" x14ac:dyDescent="0.2">
      <c r="A2" s="27" t="s">
        <v>87</v>
      </c>
      <c r="C2" s="54">
        <v>-98</v>
      </c>
      <c r="D2" s="54">
        <v>-61</v>
      </c>
      <c r="E2" s="54">
        <v>-57.3</v>
      </c>
      <c r="F2" s="54">
        <f>-(75+80)/2</f>
        <v>-77.5</v>
      </c>
      <c r="G2" s="30">
        <f>G3*FS!F3</f>
        <v>-68.418900000000008</v>
      </c>
      <c r="H2" s="30">
        <f>H3*FS!G3</f>
        <v>-63.249472000000004</v>
      </c>
      <c r="I2" s="30">
        <f>I3*FS!H3</f>
        <v>-65.146956160000016</v>
      </c>
      <c r="J2" s="30">
        <f>J3*FS!I3</f>
        <v>-66.775630064000012</v>
      </c>
    </row>
    <row r="3" spans="1:10" x14ac:dyDescent="0.2">
      <c r="A3" s="14" t="s">
        <v>21</v>
      </c>
      <c r="C3" s="7">
        <f>C2/FS!C3</f>
        <v>-0.14843964186664363</v>
      </c>
      <c r="D3" s="7">
        <f>D2/FS!D3</f>
        <v>-8.8783706879864005E-2</v>
      </c>
      <c r="E3" s="7">
        <f>E2/FS!E3</f>
        <v>-7.7351944598188366E-2</v>
      </c>
      <c r="F3" s="7">
        <f>F2/FS!F3</f>
        <v>-0.10194551505505058</v>
      </c>
      <c r="G3" s="10">
        <v>-0.09</v>
      </c>
      <c r="H3" s="10">
        <v>-0.08</v>
      </c>
      <c r="I3" s="10">
        <v>-0.08</v>
      </c>
      <c r="J3" s="10">
        <v>-0.08</v>
      </c>
    </row>
    <row r="4" spans="1:10" x14ac:dyDescent="0.2">
      <c r="A4" s="1" t="s">
        <v>99</v>
      </c>
      <c r="C4" s="4">
        <f>FS!C86</f>
        <v>45.142000000000003</v>
      </c>
      <c r="D4" s="4">
        <f>FS!D86</f>
        <v>49.162999999999997</v>
      </c>
      <c r="E4" s="4">
        <f>FS!E86</f>
        <v>53.048999999999999</v>
      </c>
      <c r="F4" s="4">
        <f>F5*FS!E3</f>
        <v>54.291520000000006</v>
      </c>
      <c r="G4" s="4">
        <f>G5*FS!F3</f>
        <v>56.991417779337731</v>
      </c>
      <c r="H4" s="4">
        <f>H5*FS!G3</f>
        <v>60.59720699367417</v>
      </c>
      <c r="I4" s="4">
        <f>I5*FS!H3</f>
        <v>63.781039681742214</v>
      </c>
      <c r="J4" s="4">
        <f>J5*FS!I3</f>
        <v>66.775630064000012</v>
      </c>
    </row>
    <row r="5" spans="1:10" x14ac:dyDescent="0.2">
      <c r="A5" s="14" t="s">
        <v>21</v>
      </c>
      <c r="C5" s="7">
        <f>C4/FS!C3</f>
        <v>6.837614605249008E-2</v>
      </c>
      <c r="D5" s="7">
        <f>D4/FS!D3</f>
        <v>7.1555301333356622E-2</v>
      </c>
      <c r="E5" s="7">
        <f>E4/FS!E3</f>
        <v>7.1613321273809691E-2</v>
      </c>
      <c r="F5" s="7">
        <f>($J$5-$E$5)/5+E5</f>
        <v>7.3290657019047759E-2</v>
      </c>
      <c r="G5" s="7">
        <f t="shared" ref="G5:I5" si="1">($J$5-$E$5)/5+F5</f>
        <v>7.4967992764285826E-2</v>
      </c>
      <c r="H5" s="7">
        <f t="shared" si="1"/>
        <v>7.6645328509523894E-2</v>
      </c>
      <c r="I5" s="7">
        <f t="shared" si="1"/>
        <v>7.8322664254761962E-2</v>
      </c>
      <c r="J5" s="10">
        <v>0.08</v>
      </c>
    </row>
    <row r="6" spans="1:10" x14ac:dyDescent="0.2">
      <c r="A6" s="1" t="s">
        <v>50</v>
      </c>
      <c r="C6" s="4"/>
      <c r="E6" s="4">
        <f>FS!E50</f>
        <v>382.02499999999998</v>
      </c>
      <c r="F6" s="4">
        <f>E6-F2-F4</f>
        <v>405.23347999999999</v>
      </c>
      <c r="G6" s="4">
        <f t="shared" ref="G6:H6" si="2">F6-G2-G4</f>
        <v>416.66096222066227</v>
      </c>
      <c r="H6" s="4">
        <f t="shared" si="2"/>
        <v>419.31322722698815</v>
      </c>
      <c r="I6" s="4">
        <f>H6-I2-I4</f>
        <v>420.67914370524591</v>
      </c>
      <c r="J6" s="4">
        <f>I6-J2-J4</f>
        <v>420.67914370524591</v>
      </c>
    </row>
    <row r="8" spans="1:10" s="22" customFormat="1" x14ac:dyDescent="0.2">
      <c r="A8" s="25" t="s">
        <v>79</v>
      </c>
      <c r="B8" s="25"/>
      <c r="C8" s="23">
        <v>2013</v>
      </c>
      <c r="D8" s="23">
        <f>C8+1</f>
        <v>2014</v>
      </c>
      <c r="E8" s="23">
        <f>D8+1</f>
        <v>2015</v>
      </c>
      <c r="F8" s="26">
        <f t="shared" ref="F8:J8" si="3">E8+1</f>
        <v>2016</v>
      </c>
      <c r="G8" s="26">
        <f t="shared" si="3"/>
        <v>2017</v>
      </c>
      <c r="H8" s="26">
        <f t="shared" si="3"/>
        <v>2018</v>
      </c>
      <c r="I8" s="26">
        <f t="shared" si="3"/>
        <v>2019</v>
      </c>
      <c r="J8" s="26">
        <f t="shared" si="3"/>
        <v>2020</v>
      </c>
    </row>
    <row r="9" spans="1:10" s="27" customFormat="1" x14ac:dyDescent="0.2">
      <c r="A9" s="27" t="s">
        <v>53</v>
      </c>
      <c r="C9" s="54">
        <f>FS!C37</f>
        <v>123.64</v>
      </c>
      <c r="D9" s="54">
        <f>FS!D37</f>
        <v>124.745</v>
      </c>
      <c r="E9" s="54">
        <f>FS!E37</f>
        <v>128.97399999999999</v>
      </c>
      <c r="F9" s="30">
        <f>F10*FS!F3</f>
        <v>136.83780000000002</v>
      </c>
      <c r="G9" s="30">
        <f>G10*FS!G3</f>
        <v>142.31131200000002</v>
      </c>
      <c r="H9" s="30">
        <f>H10*FS!H3</f>
        <v>146.58065136000002</v>
      </c>
      <c r="I9" s="30">
        <f>I10*FS!I3</f>
        <v>150.24516764400002</v>
      </c>
      <c r="J9" s="30">
        <f>J10*FS!J3</f>
        <v>154.00129683509999</v>
      </c>
    </row>
    <row r="10" spans="1:10" x14ac:dyDescent="0.2">
      <c r="A10" s="14" t="s">
        <v>21</v>
      </c>
      <c r="C10" s="7">
        <f>C9/FS!C$3</f>
        <v>0.18727629918767164</v>
      </c>
      <c r="D10" s="7">
        <f>D9/FS!D3</f>
        <v>0.1815626805693219</v>
      </c>
      <c r="E10" s="7">
        <f>E9/FS!E3</f>
        <v>0.17410802273310202</v>
      </c>
      <c r="F10" s="6">
        <v>0.18</v>
      </c>
      <c r="G10" s="6">
        <v>0.18</v>
      </c>
      <c r="H10" s="6">
        <v>0.18</v>
      </c>
      <c r="I10" s="6">
        <v>0.18</v>
      </c>
      <c r="J10" s="6">
        <v>0.18</v>
      </c>
    </row>
    <row r="11" spans="1:10" x14ac:dyDescent="0.2">
      <c r="A11" s="14" t="s">
        <v>110</v>
      </c>
      <c r="C11" s="4">
        <f>365*C10</f>
        <v>68.355849203500142</v>
      </c>
      <c r="D11" s="4">
        <f t="shared" ref="D11:E11" si="4">365*D10</f>
        <v>66.270378407802497</v>
      </c>
      <c r="E11" s="4">
        <f t="shared" si="4"/>
        <v>63.549428297582239</v>
      </c>
      <c r="F11" s="4">
        <f t="shared" ref="F11" si="5">365*F10</f>
        <v>65.7</v>
      </c>
      <c r="G11" s="4">
        <f t="shared" ref="G11" si="6">365*G10</f>
        <v>65.7</v>
      </c>
      <c r="H11" s="4">
        <f t="shared" ref="H11" si="7">365*H10</f>
        <v>65.7</v>
      </c>
      <c r="I11" s="4">
        <f t="shared" ref="I11" si="8">365*I10</f>
        <v>65.7</v>
      </c>
      <c r="J11" s="4">
        <f t="shared" ref="J11" si="9">365*J10</f>
        <v>65.7</v>
      </c>
    </row>
    <row r="12" spans="1:10" x14ac:dyDescent="0.2">
      <c r="A12" s="1" t="s">
        <v>54</v>
      </c>
      <c r="C12" s="11">
        <f>FS!C38</f>
        <v>25.562000000000001</v>
      </c>
      <c r="D12" s="11">
        <f>FS!D38</f>
        <v>25.393999999999998</v>
      </c>
      <c r="E12" s="11">
        <f>FS!E38</f>
        <v>26.088999999999999</v>
      </c>
      <c r="F12" s="4">
        <f>F13*FS!F3</f>
        <v>28.101793846168555</v>
      </c>
      <c r="G12" s="4">
        <f>G13*FS!G3</f>
        <v>29.2258656000153</v>
      </c>
      <c r="H12" s="4">
        <f>H13*FS!H3</f>
        <v>30.102641568015759</v>
      </c>
      <c r="I12" s="4">
        <f>I13*FS!I3</f>
        <v>30.855207607216151</v>
      </c>
      <c r="J12" s="4">
        <f>J13*FS!J3</f>
        <v>31.626587797396553</v>
      </c>
    </row>
    <row r="13" spans="1:10" x14ac:dyDescent="0.2">
      <c r="A13" s="14" t="s">
        <v>21</v>
      </c>
      <c r="C13" s="7">
        <f>C12/FS!C$3</f>
        <v>3.871851148362393E-2</v>
      </c>
      <c r="D13" s="7">
        <f>D12/FS!D$3</f>
        <v>3.6960220532906006E-2</v>
      </c>
      <c r="E13" s="7">
        <f>E12/FS!E$3</f>
        <v>3.5218758859025069E-2</v>
      </c>
      <c r="F13" s="6">
        <f>AVERAGE(C13:E13)</f>
        <v>3.6965830291851666E-2</v>
      </c>
      <c r="G13" s="6">
        <f>F13</f>
        <v>3.6965830291851666E-2</v>
      </c>
      <c r="H13" s="6">
        <f t="shared" ref="H13:J13" si="10">G13</f>
        <v>3.6965830291851666E-2</v>
      </c>
      <c r="I13" s="6">
        <f t="shared" si="10"/>
        <v>3.6965830291851666E-2</v>
      </c>
      <c r="J13" s="6">
        <f t="shared" si="10"/>
        <v>3.6965830291851666E-2</v>
      </c>
    </row>
    <row r="14" spans="1:10" x14ac:dyDescent="0.2">
      <c r="A14" s="1" t="s">
        <v>41</v>
      </c>
      <c r="C14" s="11">
        <f>FS!C40</f>
        <v>202.989</v>
      </c>
      <c r="D14" s="11">
        <f>FS!D40</f>
        <v>189.08500000000001</v>
      </c>
      <c r="E14" s="11">
        <f>FS!E40</f>
        <v>208.637</v>
      </c>
      <c r="F14" s="4">
        <f>-FS!F6*Forecasts!F15</f>
        <v>216.41649188712853</v>
      </c>
      <c r="G14" s="4">
        <f>-FS!G6*Forecasts!G15</f>
        <v>225.0731515626137</v>
      </c>
      <c r="H14" s="4">
        <f>-FS!H6*Forecasts!H15</f>
        <v>231.82534610949213</v>
      </c>
      <c r="I14" s="4">
        <f>-FS!I6*Forecasts!I15</f>
        <v>237.62097976222941</v>
      </c>
      <c r="J14" s="4">
        <f>-FS!J6*Forecasts!J15</f>
        <v>243.56150425628513</v>
      </c>
    </row>
    <row r="15" spans="1:10" x14ac:dyDescent="0.2">
      <c r="A15" s="14" t="s">
        <v>101</v>
      </c>
      <c r="C15" s="7">
        <f>-C14/FS!C6</f>
        <v>0.92464845511567839</v>
      </c>
      <c r="D15" s="7">
        <f>-D14/FS!D6</f>
        <v>0.88156446980716874</v>
      </c>
      <c r="E15" s="7">
        <f>-E14/FS!E6</f>
        <v>0.90502403137091592</v>
      </c>
      <c r="F15" s="6">
        <f>AVERAGE(C15:E15)</f>
        <v>0.9037456520979209</v>
      </c>
      <c r="G15" s="6">
        <f>F15</f>
        <v>0.9037456520979209</v>
      </c>
      <c r="H15" s="6">
        <f t="shared" ref="H15:J15" si="11">G15</f>
        <v>0.9037456520979209</v>
      </c>
      <c r="I15" s="6">
        <f t="shared" si="11"/>
        <v>0.9037456520979209</v>
      </c>
      <c r="J15" s="6">
        <f t="shared" si="11"/>
        <v>0.9037456520979209</v>
      </c>
    </row>
    <row r="16" spans="1:10" x14ac:dyDescent="0.2">
      <c r="A16" s="14" t="s">
        <v>109</v>
      </c>
      <c r="C16" s="4">
        <f>365*C15</f>
        <v>337.49668611722262</v>
      </c>
      <c r="D16" s="4">
        <f t="shared" ref="D16" si="12">365*D15</f>
        <v>321.77103147961657</v>
      </c>
      <c r="E16" s="4">
        <f>365*E15</f>
        <v>330.33377145038429</v>
      </c>
      <c r="F16" s="4">
        <f>365*F15</f>
        <v>329.86716301574114</v>
      </c>
      <c r="G16" s="4">
        <f t="shared" ref="G16:J16" si="13">365*G15</f>
        <v>329.86716301574114</v>
      </c>
      <c r="H16" s="4">
        <f t="shared" si="13"/>
        <v>329.86716301574114</v>
      </c>
      <c r="I16" s="4">
        <f t="shared" si="13"/>
        <v>329.86716301574114</v>
      </c>
      <c r="J16" s="4">
        <f t="shared" si="13"/>
        <v>329.86716301574114</v>
      </c>
    </row>
    <row r="17" spans="1:10" x14ac:dyDescent="0.2">
      <c r="A17" s="1" t="s">
        <v>55</v>
      </c>
      <c r="C17" s="11">
        <f>FS!C53</f>
        <v>70.826999999999998</v>
      </c>
      <c r="D17" s="11">
        <f>FS!D53</f>
        <v>58.404000000000003</v>
      </c>
      <c r="E17" s="11">
        <f>FS!E53</f>
        <v>62.777000000000001</v>
      </c>
      <c r="F17" s="4">
        <f>-F18*FS!F6</f>
        <v>59.028405974999998</v>
      </c>
      <c r="G17" s="4">
        <f>-G18*FS!G6</f>
        <v>61.389542214000002</v>
      </c>
      <c r="H17" s="4">
        <f>-H18*FS!H6</f>
        <v>63.231228480420008</v>
      </c>
      <c r="I17" s="4">
        <f>-I18*FS!I6</f>
        <v>64.812009192430509</v>
      </c>
      <c r="J17" s="4">
        <f>-J18*FS!J6</f>
        <v>66.432309422241261</v>
      </c>
    </row>
    <row r="18" spans="1:10" x14ac:dyDescent="0.2">
      <c r="A18" s="14" t="s">
        <v>101</v>
      </c>
      <c r="C18" s="7">
        <f>-C17/FS!C6</f>
        <v>0.32262869480847806</v>
      </c>
      <c r="D18" s="7">
        <f>-D17/FS!D6</f>
        <v>0.27229495356383576</v>
      </c>
      <c r="E18" s="7">
        <f>-E17/FS!E6</f>
        <v>0.27231360505266078</v>
      </c>
      <c r="F18" s="6">
        <v>0.2465</v>
      </c>
      <c r="G18" s="6">
        <v>0.2465</v>
      </c>
      <c r="H18" s="6">
        <v>0.2465</v>
      </c>
      <c r="I18" s="6">
        <v>0.2465</v>
      </c>
      <c r="J18" s="6">
        <v>0.2465</v>
      </c>
    </row>
    <row r="19" spans="1:10" x14ac:dyDescent="0.2">
      <c r="A19" s="14" t="s">
        <v>100</v>
      </c>
      <c r="C19" s="4">
        <f>365*C18</f>
        <v>117.75947360509448</v>
      </c>
      <c r="D19" s="4">
        <f t="shared" ref="D19" si="14">365*D18</f>
        <v>99.387658050800056</v>
      </c>
      <c r="E19" s="4">
        <f>365*E18</f>
        <v>99.394465844221187</v>
      </c>
      <c r="F19" s="4">
        <f>365*F18</f>
        <v>89.972499999999997</v>
      </c>
      <c r="G19" s="4">
        <f t="shared" ref="G19:J19" si="15">365*G18</f>
        <v>89.972499999999997</v>
      </c>
      <c r="H19" s="4">
        <f t="shared" si="15"/>
        <v>89.972499999999997</v>
      </c>
      <c r="I19" s="4">
        <f t="shared" si="15"/>
        <v>89.972499999999997</v>
      </c>
      <c r="J19" s="4">
        <f t="shared" si="15"/>
        <v>89.972499999999997</v>
      </c>
    </row>
    <row r="20" spans="1:10" x14ac:dyDescent="0.2">
      <c r="A20" s="1" t="s">
        <v>56</v>
      </c>
      <c r="C20" s="11">
        <f>FS!C54</f>
        <v>8.5690000000000008</v>
      </c>
      <c r="D20" s="11">
        <f>FS!D54</f>
        <v>8.4689999999999994</v>
      </c>
      <c r="E20" s="11">
        <f>FS!E54</f>
        <v>10.401</v>
      </c>
      <c r="F20" s="4">
        <f>F21*FS!F3</f>
        <v>9.9705485623625023</v>
      </c>
      <c r="G20" s="4">
        <f>G21*FS!G3</f>
        <v>10.369370504857002</v>
      </c>
      <c r="H20" s="4">
        <f>H21*FS!H3</f>
        <v>10.680451620002714</v>
      </c>
      <c r="I20" s="4">
        <f>I21*FS!I3</f>
        <v>10.947462910502781</v>
      </c>
      <c r="J20" s="4">
        <f>J21*FS!J3</f>
        <v>11.221149483265348</v>
      </c>
    </row>
    <row r="21" spans="1:10" x14ac:dyDescent="0.2">
      <c r="A21" s="14" t="s">
        <v>21</v>
      </c>
      <c r="C21" s="7">
        <f>C20/FS!C3</f>
        <v>1.2979380521992545E-2</v>
      </c>
      <c r="D21" s="7">
        <f>D20/FS!D3</f>
        <v>1.2326380550255216E-2</v>
      </c>
      <c r="E21" s="7">
        <f>E20/FS!E3</f>
        <v>1.4040795388582151E-2</v>
      </c>
      <c r="F21" s="6">
        <f>AVERAGE(C21:E21)</f>
        <v>1.3115518820276636E-2</v>
      </c>
      <c r="G21" s="6">
        <f>F21</f>
        <v>1.3115518820276636E-2</v>
      </c>
      <c r="H21" s="6">
        <f t="shared" ref="H21:J21" si="16">G21</f>
        <v>1.3115518820276636E-2</v>
      </c>
      <c r="I21" s="6">
        <f t="shared" si="16"/>
        <v>1.3115518820276636E-2</v>
      </c>
      <c r="J21" s="6">
        <f t="shared" si="16"/>
        <v>1.3115518820276636E-2</v>
      </c>
    </row>
    <row r="23" spans="1:10" s="22" customFormat="1" x14ac:dyDescent="0.2">
      <c r="A23" s="25" t="s">
        <v>111</v>
      </c>
      <c r="B23" s="25"/>
      <c r="C23" s="23">
        <v>2013</v>
      </c>
      <c r="D23" s="23">
        <f>C23+1</f>
        <v>2014</v>
      </c>
      <c r="E23" s="23">
        <f>D23+1</f>
        <v>2015</v>
      </c>
      <c r="F23" s="26">
        <f t="shared" ref="F23:J23" si="17">E23+1</f>
        <v>2016</v>
      </c>
      <c r="G23" s="26">
        <f t="shared" si="17"/>
        <v>2017</v>
      </c>
      <c r="H23" s="26">
        <f t="shared" si="17"/>
        <v>2018</v>
      </c>
      <c r="I23" s="26">
        <f t="shared" si="17"/>
        <v>2019</v>
      </c>
      <c r="J23" s="26">
        <f t="shared" si="17"/>
        <v>2020</v>
      </c>
    </row>
    <row r="24" spans="1:10" s="27" customFormat="1" x14ac:dyDescent="0.2">
      <c r="A24" s="27" t="s">
        <v>113</v>
      </c>
      <c r="C24" s="18">
        <f>FS!C6/FS!C3</f>
        <v>-0.33252145937373617</v>
      </c>
      <c r="D24" s="18">
        <f>FS!D6/FS!D3</f>
        <v>-0.31218097903685688</v>
      </c>
      <c r="E24" s="18">
        <f>FS!E6/FS!E3</f>
        <v>-0.31120590736665904</v>
      </c>
      <c r="F24" s="55">
        <f>-0.315</f>
        <v>-0.315</v>
      </c>
      <c r="G24" s="55">
        <f t="shared" ref="G24:J24" si="18">-0.315</f>
        <v>-0.315</v>
      </c>
      <c r="H24" s="55">
        <f t="shared" si="18"/>
        <v>-0.315</v>
      </c>
      <c r="I24" s="55">
        <f t="shared" si="18"/>
        <v>-0.315</v>
      </c>
      <c r="J24" s="55">
        <f t="shared" si="18"/>
        <v>-0.315</v>
      </c>
    </row>
    <row r="25" spans="1:10" x14ac:dyDescent="0.2">
      <c r="A25" s="1" t="s">
        <v>112</v>
      </c>
      <c r="C25" s="7">
        <f>FS!C9/FS!C3</f>
        <v>-0.21730351817098126</v>
      </c>
      <c r="D25" s="7">
        <f>FS!D9/FS!D3</f>
        <v>-0.22110199501355771</v>
      </c>
      <c r="E25" s="7">
        <f>FS!E9/FS!E3</f>
        <v>-0.21997921082117258</v>
      </c>
      <c r="F25" s="10">
        <v>-0.215</v>
      </c>
      <c r="G25" s="10">
        <v>-0.215</v>
      </c>
      <c r="H25" s="10">
        <v>-0.215</v>
      </c>
      <c r="I25" s="10">
        <v>-0.215</v>
      </c>
      <c r="J25" s="10">
        <v>-0.215</v>
      </c>
    </row>
    <row r="26" spans="1:10" x14ac:dyDescent="0.2">
      <c r="A26" s="1" t="s">
        <v>114</v>
      </c>
      <c r="C26" s="7">
        <f>FS!C10/FS!C3</f>
        <v>-0.20027688537278801</v>
      </c>
      <c r="D26" s="7">
        <f>FS!D10/FS!D3</f>
        <v>-0.20418360470582758</v>
      </c>
      <c r="E26" s="7">
        <f>FS!E10/FS!E3</f>
        <v>-0.18896823575468769</v>
      </c>
      <c r="F26" s="10">
        <v>-0.19500000000000001</v>
      </c>
      <c r="G26" s="10">
        <v>-0.19500000000000001</v>
      </c>
      <c r="H26" s="10">
        <v>-0.19500000000000001</v>
      </c>
      <c r="I26" s="10">
        <v>-0.19500000000000001</v>
      </c>
      <c r="J26" s="10">
        <v>-0.19500000000000001</v>
      </c>
    </row>
    <row r="27" spans="1:10" x14ac:dyDescent="0.2">
      <c r="F27" s="7">
        <f>1+SUM(F24:F26)</f>
        <v>0.27499999999999991</v>
      </c>
      <c r="G27" s="7">
        <f t="shared" ref="G27:J27" si="19">1+SUM(G24:G26)</f>
        <v>0.27499999999999991</v>
      </c>
      <c r="H27" s="7">
        <f t="shared" si="19"/>
        <v>0.27499999999999991</v>
      </c>
      <c r="I27" s="7">
        <f t="shared" si="19"/>
        <v>0.27499999999999991</v>
      </c>
      <c r="J27" s="7">
        <f t="shared" si="19"/>
        <v>0.27499999999999991</v>
      </c>
    </row>
    <row r="28" spans="1:10" x14ac:dyDescent="0.2">
      <c r="A28" s="1" t="s">
        <v>117</v>
      </c>
      <c r="C28" s="7">
        <f>FS!C19/(FS!C55+FS!C61)</f>
        <v>-1.6584998115341122E-2</v>
      </c>
      <c r="D28" s="7">
        <f>FS!D19/(FS!D55+FS!D61)</f>
        <v>-2.7634912105626772E-2</v>
      </c>
      <c r="E28" s="7">
        <f>FS!E19/(FS!E55+FS!E61)</f>
        <v>-4.2992898759135985E-2</v>
      </c>
      <c r="F28" s="35">
        <v>-0.03</v>
      </c>
      <c r="G28" s="35">
        <v>-0.03</v>
      </c>
      <c r="H28" s="35">
        <v>-0.03</v>
      </c>
      <c r="I28" s="35">
        <v>-0.03</v>
      </c>
      <c r="J28" s="35">
        <v>-0.03</v>
      </c>
    </row>
    <row r="30" spans="1:10" s="22" customFormat="1" x14ac:dyDescent="0.2">
      <c r="A30" s="25" t="s">
        <v>93</v>
      </c>
      <c r="B30" s="25"/>
      <c r="C30" s="23">
        <v>2013</v>
      </c>
      <c r="D30" s="23">
        <f>C30+1</f>
        <v>2014</v>
      </c>
      <c r="E30" s="23">
        <f>D30+1</f>
        <v>2015</v>
      </c>
      <c r="F30" s="26">
        <f t="shared" ref="F30:J30" si="20">E30+1</f>
        <v>2016</v>
      </c>
      <c r="G30" s="26">
        <f t="shared" si="20"/>
        <v>2017</v>
      </c>
      <c r="H30" s="26">
        <f t="shared" si="20"/>
        <v>2018</v>
      </c>
      <c r="I30" s="26">
        <f t="shared" si="20"/>
        <v>2019</v>
      </c>
      <c r="J30" s="26">
        <f t="shared" si="20"/>
        <v>2020</v>
      </c>
    </row>
    <row r="31" spans="1:10" s="27" customFormat="1" x14ac:dyDescent="0.2">
      <c r="A31" s="90" t="s">
        <v>118</v>
      </c>
      <c r="B31" s="27" t="s">
        <v>119</v>
      </c>
      <c r="C31" s="34">
        <v>0.41</v>
      </c>
      <c r="D31" s="34">
        <v>0.45</v>
      </c>
      <c r="E31" s="34">
        <v>0.52</v>
      </c>
      <c r="F31" s="34">
        <f>E31</f>
        <v>0.52</v>
      </c>
      <c r="G31" s="34">
        <f t="shared" ref="G31:J31" si="21">F31</f>
        <v>0.52</v>
      </c>
      <c r="H31" s="34">
        <f t="shared" si="21"/>
        <v>0.52</v>
      </c>
      <c r="I31" s="34">
        <f t="shared" si="21"/>
        <v>0.52</v>
      </c>
      <c r="J31" s="34">
        <f t="shared" si="21"/>
        <v>0.52</v>
      </c>
    </row>
    <row r="32" spans="1:10" s="56" customFormat="1" x14ac:dyDescent="0.2">
      <c r="A32" s="91"/>
      <c r="B32" s="56" t="s">
        <v>120</v>
      </c>
      <c r="C32" s="57">
        <v>0.69399999999999995</v>
      </c>
      <c r="D32" s="57">
        <v>0.70399999999999996</v>
      </c>
      <c r="E32" s="57">
        <v>0.72399999999999998</v>
      </c>
      <c r="F32" s="57">
        <f>E32</f>
        <v>0.72399999999999998</v>
      </c>
      <c r="G32" s="57">
        <f t="shared" ref="G32:J32" si="22">F32</f>
        <v>0.72399999999999998</v>
      </c>
      <c r="H32" s="57">
        <f t="shared" si="22"/>
        <v>0.72399999999999998</v>
      </c>
      <c r="I32" s="57">
        <f t="shared" si="22"/>
        <v>0.72399999999999998</v>
      </c>
      <c r="J32" s="57">
        <f t="shared" si="22"/>
        <v>0.72399999999999998</v>
      </c>
    </row>
    <row r="33" spans="1:10" s="56" customFormat="1" x14ac:dyDescent="0.2">
      <c r="A33" s="91"/>
      <c r="B33" s="56" t="s">
        <v>121</v>
      </c>
      <c r="C33" s="57">
        <f>SUM(C31:C32)</f>
        <v>1.1039999999999999</v>
      </c>
      <c r="D33" s="57">
        <f t="shared" ref="D33:E33" si="23">SUM(D31:D32)</f>
        <v>1.1539999999999999</v>
      </c>
      <c r="E33" s="57">
        <f t="shared" si="23"/>
        <v>1.244</v>
      </c>
      <c r="F33" s="57">
        <f t="shared" ref="F33" si="24">SUM(F31:F32)</f>
        <v>1.244</v>
      </c>
      <c r="G33" s="57">
        <f t="shared" ref="G33" si="25">SUM(G31:G32)</f>
        <v>1.244</v>
      </c>
      <c r="H33" s="57">
        <f t="shared" ref="H33" si="26">SUM(H31:H32)</f>
        <v>1.244</v>
      </c>
      <c r="I33" s="57">
        <f t="shared" ref="I33" si="27">SUM(I31:I32)</f>
        <v>1.244</v>
      </c>
      <c r="J33" s="57">
        <f t="shared" ref="J33" si="28">SUM(J31:J32)</f>
        <v>1.244</v>
      </c>
    </row>
    <row r="34" spans="1:10" x14ac:dyDescent="0.2">
      <c r="A34" s="14" t="s">
        <v>123</v>
      </c>
      <c r="C34" s="37"/>
      <c r="D34" s="7">
        <f>D33/C33-1</f>
        <v>4.5289855072463858E-2</v>
      </c>
      <c r="E34" s="7">
        <f>E33/D33-1</f>
        <v>7.7989601386481811E-2</v>
      </c>
    </row>
    <row r="35" spans="1:10" x14ac:dyDescent="0.2">
      <c r="A35" s="43" t="s">
        <v>121</v>
      </c>
      <c r="C35" s="37">
        <v>-51.5</v>
      </c>
      <c r="D35" s="4">
        <v>-53.8</v>
      </c>
      <c r="E35" s="4">
        <f>-E33*E37</f>
        <v>-57.974980408</v>
      </c>
      <c r="F35" s="4">
        <f>-F33*F37</f>
        <v>-57.974980408</v>
      </c>
      <c r="G35" s="4">
        <f t="shared" ref="G35:J35" si="29">-G33*G37</f>
        <v>-57.974980408</v>
      </c>
      <c r="H35" s="4">
        <f t="shared" si="29"/>
        <v>-57.974980408</v>
      </c>
      <c r="I35" s="4">
        <f t="shared" si="29"/>
        <v>-57.974980408</v>
      </c>
      <c r="J35" s="4">
        <f t="shared" si="29"/>
        <v>-57.974980408</v>
      </c>
    </row>
    <row r="36" spans="1:10" x14ac:dyDescent="0.2">
      <c r="C36" s="7">
        <f>C35/FS!C32</f>
        <v>-0.51219318136611369</v>
      </c>
      <c r="D36" s="7">
        <f>D35/FS!D32</f>
        <v>-0.50562008947032056</v>
      </c>
      <c r="E36" s="7">
        <f>E35/FS!E32</f>
        <v>-0.4827426654565139</v>
      </c>
    </row>
    <row r="37" spans="1:10" x14ac:dyDescent="0.2">
      <c r="A37" s="1" t="s">
        <v>122</v>
      </c>
      <c r="E37" s="4">
        <v>46.603681999999999</v>
      </c>
      <c r="F37" s="4">
        <v>46.603681999999999</v>
      </c>
      <c r="G37" s="4">
        <v>46.603681999999999</v>
      </c>
      <c r="H37" s="4">
        <v>46.603681999999999</v>
      </c>
      <c r="I37" s="4">
        <v>46.603681999999999</v>
      </c>
      <c r="J37" s="4">
        <v>46.603681999999999</v>
      </c>
    </row>
  </sheetData>
  <mergeCells count="1">
    <mergeCell ref="A31:A3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G14" sqref="G14:G19"/>
    </sheetView>
  </sheetViews>
  <sheetFormatPr defaultRowHeight="12.75" x14ac:dyDescent="0.2"/>
  <cols>
    <col min="1" max="1" width="9.140625" style="1"/>
    <col min="2" max="2" width="11.28515625" style="1" bestFit="1" customWidth="1"/>
    <col min="3" max="3" width="12.85546875" style="1" customWidth="1"/>
    <col min="4" max="4" width="12.140625" style="1" bestFit="1" customWidth="1"/>
    <col min="5" max="16384" width="9.140625" style="1"/>
  </cols>
  <sheetData>
    <row r="1" spans="1:7" x14ac:dyDescent="0.2">
      <c r="A1" s="22"/>
      <c r="B1" s="23" t="s">
        <v>27</v>
      </c>
      <c r="C1" s="23" t="s">
        <v>213</v>
      </c>
      <c r="D1" s="23" t="s">
        <v>28</v>
      </c>
      <c r="E1" s="23" t="s">
        <v>26</v>
      </c>
    </row>
    <row r="2" spans="1:7" x14ac:dyDescent="0.2">
      <c r="A2" s="92">
        <v>2011</v>
      </c>
      <c r="B2" s="16" t="s">
        <v>11</v>
      </c>
      <c r="C2" s="17">
        <f>(660+665)/2</f>
        <v>662.5</v>
      </c>
      <c r="D2" s="17">
        <v>667</v>
      </c>
      <c r="E2" s="18">
        <f>D2/C2-1</f>
        <v>6.7924528301885889E-3</v>
      </c>
    </row>
    <row r="3" spans="1:7" x14ac:dyDescent="0.2">
      <c r="A3" s="93"/>
      <c r="B3" s="19" t="s">
        <v>22</v>
      </c>
      <c r="C3" s="20">
        <f>(166+168)/2</f>
        <v>167</v>
      </c>
      <c r="D3" s="20">
        <v>162</v>
      </c>
      <c r="E3" s="21">
        <f t="shared" ref="E3:E16" si="0">D3/C3-1</f>
        <v>-2.9940119760479056E-2</v>
      </c>
    </row>
    <row r="4" spans="1:7" x14ac:dyDescent="0.2">
      <c r="A4" s="93"/>
      <c r="B4" s="19" t="s">
        <v>24</v>
      </c>
      <c r="C4" s="20">
        <f>(89+91)/2</f>
        <v>90</v>
      </c>
      <c r="D4" s="20">
        <v>98</v>
      </c>
      <c r="E4" s="21">
        <f t="shared" si="0"/>
        <v>8.8888888888888795E-2</v>
      </c>
    </row>
    <row r="5" spans="1:7" x14ac:dyDescent="0.2">
      <c r="A5" s="92">
        <f>A2+1</f>
        <v>2012</v>
      </c>
      <c r="B5" s="16" t="s">
        <v>11</v>
      </c>
      <c r="C5" s="17">
        <f>(730+740)/2</f>
        <v>735</v>
      </c>
      <c r="D5" s="17">
        <v>753</v>
      </c>
      <c r="E5" s="18">
        <f t="shared" si="0"/>
        <v>2.4489795918367419E-2</v>
      </c>
    </row>
    <row r="6" spans="1:7" x14ac:dyDescent="0.2">
      <c r="A6" s="93"/>
      <c r="B6" s="19" t="s">
        <v>22</v>
      </c>
      <c r="C6" s="20">
        <f>(177+182)/2</f>
        <v>179.5</v>
      </c>
      <c r="D6" s="20">
        <v>185</v>
      </c>
      <c r="E6" s="21">
        <f t="shared" si="0"/>
        <v>3.0640668523676862E-2</v>
      </c>
    </row>
    <row r="7" spans="1:7" x14ac:dyDescent="0.2">
      <c r="A7" s="93"/>
      <c r="B7" s="19" t="s">
        <v>24</v>
      </c>
      <c r="C7" s="20">
        <f>(102+105)/2</f>
        <v>103.5</v>
      </c>
      <c r="D7" s="20">
        <v>105</v>
      </c>
      <c r="E7" s="21">
        <f t="shared" si="0"/>
        <v>1.449275362318847E-2</v>
      </c>
    </row>
    <row r="8" spans="1:7" x14ac:dyDescent="0.2">
      <c r="A8" s="92">
        <f>A5+1</f>
        <v>2013</v>
      </c>
      <c r="B8" s="16" t="s">
        <v>11</v>
      </c>
      <c r="C8" s="17">
        <f>(800+805)/2</f>
        <v>802.5</v>
      </c>
      <c r="D8" s="17">
        <v>765.3</v>
      </c>
      <c r="E8" s="18">
        <f t="shared" si="0"/>
        <v>-4.6355140186916E-2</v>
      </c>
    </row>
    <row r="9" spans="1:7" x14ac:dyDescent="0.2">
      <c r="A9" s="93"/>
      <c r="B9" s="19" t="s">
        <v>22</v>
      </c>
      <c r="C9" s="20">
        <f>(198+200)/2</f>
        <v>199</v>
      </c>
      <c r="D9" s="20">
        <v>178.3</v>
      </c>
      <c r="E9" s="21">
        <f t="shared" si="0"/>
        <v>-0.10402010050251254</v>
      </c>
    </row>
    <row r="10" spans="1:7" x14ac:dyDescent="0.2">
      <c r="A10" s="93"/>
      <c r="B10" s="19" t="s">
        <v>24</v>
      </c>
      <c r="C10" s="20">
        <f>(108+109)/2</f>
        <v>108.5</v>
      </c>
      <c r="D10" s="20">
        <v>101.5</v>
      </c>
      <c r="E10" s="21">
        <f t="shared" si="0"/>
        <v>-6.4516129032258118E-2</v>
      </c>
    </row>
    <row r="11" spans="1:7" x14ac:dyDescent="0.2">
      <c r="A11" s="92">
        <f>A8+1</f>
        <v>2014</v>
      </c>
      <c r="B11" s="16" t="s">
        <v>11</v>
      </c>
      <c r="C11" s="17">
        <f>(781+796)/2</f>
        <v>788.5</v>
      </c>
      <c r="D11" s="17">
        <v>797.6</v>
      </c>
      <c r="E11" s="18">
        <f t="shared" si="0"/>
        <v>1.1540900443880897E-2</v>
      </c>
      <c r="G11" s="7"/>
    </row>
    <row r="12" spans="1:7" x14ac:dyDescent="0.2">
      <c r="A12" s="93"/>
      <c r="B12" s="19" t="s">
        <v>22</v>
      </c>
      <c r="C12" s="20">
        <f>(182+185)/2</f>
        <v>183.5</v>
      </c>
      <c r="D12" s="20">
        <v>185.4</v>
      </c>
      <c r="E12" s="21">
        <f t="shared" si="0"/>
        <v>1.0354223433242549E-2</v>
      </c>
      <c r="G12" s="7"/>
    </row>
    <row r="13" spans="1:7" x14ac:dyDescent="0.2">
      <c r="A13" s="93"/>
      <c r="B13" s="19" t="s">
        <v>24</v>
      </c>
      <c r="C13" s="20">
        <f>(93+95)/2</f>
        <v>94</v>
      </c>
      <c r="D13" s="20">
        <v>104.6</v>
      </c>
      <c r="E13" s="21">
        <f t="shared" si="0"/>
        <v>0.11276595744680851</v>
      </c>
      <c r="G13" s="7"/>
    </row>
    <row r="14" spans="1:7" x14ac:dyDescent="0.2">
      <c r="A14" s="92">
        <f>A11+1</f>
        <v>2015</v>
      </c>
      <c r="B14" s="16" t="s">
        <v>11</v>
      </c>
      <c r="C14" s="17">
        <f>(750+755)/2</f>
        <v>752.5</v>
      </c>
      <c r="D14" s="17">
        <v>740.8</v>
      </c>
      <c r="E14" s="18">
        <f t="shared" si="0"/>
        <v>-1.5548172757475109E-2</v>
      </c>
      <c r="G14" s="7"/>
    </row>
    <row r="15" spans="1:7" x14ac:dyDescent="0.2">
      <c r="A15" s="93"/>
      <c r="B15" s="19" t="s">
        <v>22</v>
      </c>
      <c r="C15" s="20">
        <f>(204+206)/2</f>
        <v>205</v>
      </c>
      <c r="D15" s="20">
        <v>213.8</v>
      </c>
      <c r="E15" s="21">
        <f t="shared" si="0"/>
        <v>4.2926829268292721E-2</v>
      </c>
      <c r="G15" s="7"/>
    </row>
    <row r="16" spans="1:7" x14ac:dyDescent="0.2">
      <c r="A16" s="93"/>
      <c r="B16" s="19" t="s">
        <v>24</v>
      </c>
      <c r="C16" s="20">
        <f>(114+115)/2</f>
        <v>114.5</v>
      </c>
      <c r="D16" s="20">
        <v>120</v>
      </c>
      <c r="E16" s="21">
        <f t="shared" si="0"/>
        <v>4.8034934497816595E-2</v>
      </c>
      <c r="G16" s="7"/>
    </row>
    <row r="17" spans="1:10" x14ac:dyDescent="0.2">
      <c r="A17" s="92">
        <f t="shared" ref="A17" si="1">A14+1</f>
        <v>2016</v>
      </c>
      <c r="B17" s="16" t="s">
        <v>11</v>
      </c>
      <c r="C17" s="17">
        <f>(770+755)/2</f>
        <v>762.5</v>
      </c>
      <c r="D17" s="17"/>
      <c r="E17" s="18"/>
      <c r="G17" s="7"/>
    </row>
    <row r="18" spans="1:10" x14ac:dyDescent="0.2">
      <c r="A18" s="93"/>
      <c r="B18" s="19" t="s">
        <v>22</v>
      </c>
      <c r="C18" s="20">
        <f>(222+227)/2</f>
        <v>224.5</v>
      </c>
      <c r="D18" s="20"/>
      <c r="E18" s="21"/>
      <c r="G18" s="7"/>
    </row>
    <row r="19" spans="1:10" x14ac:dyDescent="0.2">
      <c r="A19" s="93"/>
      <c r="B19" s="19" t="s">
        <v>24</v>
      </c>
      <c r="C19" s="20">
        <f>(127+133)/2</f>
        <v>130</v>
      </c>
      <c r="D19" s="20"/>
      <c r="E19" s="21"/>
      <c r="G19" s="7"/>
    </row>
    <row r="20" spans="1:10" x14ac:dyDescent="0.2">
      <c r="C20" s="3" t="s">
        <v>166</v>
      </c>
      <c r="J20" s="7"/>
    </row>
  </sheetData>
  <mergeCells count="6">
    <mergeCell ref="A17:A19"/>
    <mergeCell ref="A2:A4"/>
    <mergeCell ref="A5:A7"/>
    <mergeCell ref="A8:A10"/>
    <mergeCell ref="A11:A13"/>
    <mergeCell ref="A14:A16"/>
  </mergeCells>
  <conditionalFormatting sqref="E2:E16">
    <cfRule type="iconSet" priority="1">
      <iconSet iconSet="3Arrows">
        <cfvo type="percent" val="0"/>
        <cfvo type="num" val="-0.01"/>
        <cfvo type="num" val="0.01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showGridLines="0" workbookViewId="0">
      <selection activeCell="H1" sqref="H1"/>
    </sheetView>
  </sheetViews>
  <sheetFormatPr defaultRowHeight="12.75" x14ac:dyDescent="0.2"/>
  <cols>
    <col min="1" max="10" width="9.140625" style="1"/>
    <col min="11" max="11" width="13.5703125" style="1" bestFit="1" customWidth="1"/>
    <col min="12" max="16384" width="9.140625" style="1"/>
  </cols>
  <sheetData>
    <row r="1" spans="1:8" x14ac:dyDescent="0.2">
      <c r="A1" s="3" t="s">
        <v>1</v>
      </c>
      <c r="C1" s="2">
        <v>2011</v>
      </c>
      <c r="D1" s="2">
        <f t="shared" ref="D1:H1" si="0">C1+1</f>
        <v>2012</v>
      </c>
      <c r="E1" s="2">
        <f t="shared" si="0"/>
        <v>2013</v>
      </c>
      <c r="F1" s="2">
        <f t="shared" si="0"/>
        <v>2014</v>
      </c>
      <c r="G1" s="2">
        <f t="shared" si="0"/>
        <v>2015</v>
      </c>
      <c r="H1" s="13">
        <f t="shared" si="0"/>
        <v>2016</v>
      </c>
    </row>
    <row r="2" spans="1:8" x14ac:dyDescent="0.2">
      <c r="A2" s="1" t="s">
        <v>0</v>
      </c>
      <c r="C2" s="11">
        <v>4200</v>
      </c>
      <c r="D2" s="11">
        <v>4200</v>
      </c>
      <c r="E2" s="11">
        <v>4300</v>
      </c>
      <c r="F2" s="11">
        <v>4300</v>
      </c>
      <c r="G2" s="11">
        <v>4400</v>
      </c>
    </row>
    <row r="3" spans="1:8" x14ac:dyDescent="0.2">
      <c r="A3" s="5" t="s">
        <v>2</v>
      </c>
      <c r="F3" s="10">
        <v>0.115</v>
      </c>
      <c r="G3" s="72">
        <f>0.6/4.4</f>
        <v>0.13636363636363635</v>
      </c>
    </row>
    <row r="4" spans="1:8" x14ac:dyDescent="0.2">
      <c r="A4" s="5" t="s">
        <v>3</v>
      </c>
      <c r="F4" s="10">
        <v>0.05</v>
      </c>
      <c r="G4" s="72">
        <f>0.3/4.4</f>
        <v>6.8181818181818177E-2</v>
      </c>
    </row>
    <row r="5" spans="1:8" x14ac:dyDescent="0.2">
      <c r="A5" s="5" t="s">
        <v>4</v>
      </c>
      <c r="F5" s="10">
        <v>0.245</v>
      </c>
      <c r="G5" s="72">
        <f>0.9/4.4</f>
        <v>0.20454545454545453</v>
      </c>
    </row>
    <row r="6" spans="1:8" x14ac:dyDescent="0.2">
      <c r="A6" s="5" t="s">
        <v>5</v>
      </c>
      <c r="F6" s="10">
        <v>0.115</v>
      </c>
      <c r="G6" s="72">
        <f>0.4/4.4</f>
        <v>9.0909090909090912E-2</v>
      </c>
      <c r="H6" s="8"/>
    </row>
    <row r="7" spans="1:8" x14ac:dyDescent="0.2">
      <c r="A7" s="5" t="s">
        <v>6</v>
      </c>
      <c r="C7" s="10">
        <v>0.51</v>
      </c>
      <c r="D7" s="10">
        <v>0.5</v>
      </c>
      <c r="E7" s="10">
        <v>0.49</v>
      </c>
      <c r="F7" s="7">
        <f>1-SUM(F3:F6)</f>
        <v>0.47499999999999998</v>
      </c>
      <c r="G7" s="7">
        <v>0.49</v>
      </c>
    </row>
    <row r="9" spans="1:8" x14ac:dyDescent="0.2">
      <c r="A9" s="1" t="s">
        <v>11</v>
      </c>
      <c r="C9" s="11">
        <v>666.81200000000001</v>
      </c>
      <c r="D9" s="11">
        <v>752.78399999999999</v>
      </c>
      <c r="E9" s="11">
        <v>660.2</v>
      </c>
      <c r="F9" s="11">
        <v>687.1</v>
      </c>
      <c r="G9" s="11">
        <v>740.8</v>
      </c>
      <c r="H9" s="4">
        <f>(770+755)/2</f>
        <v>762.5</v>
      </c>
    </row>
    <row r="10" spans="1:8" x14ac:dyDescent="0.2">
      <c r="A10" s="5" t="s">
        <v>12</v>
      </c>
      <c r="C10" s="11">
        <v>564.54399999999998</v>
      </c>
      <c r="D10" s="11">
        <v>649.20000000000005</v>
      </c>
      <c r="E10" s="11">
        <v>611.10500000000002</v>
      </c>
      <c r="F10" s="11">
        <v>638.74099999999999</v>
      </c>
      <c r="G10" s="11">
        <v>694.7</v>
      </c>
    </row>
    <row r="11" spans="1:8" x14ac:dyDescent="0.2">
      <c r="A11" s="5" t="s">
        <v>13</v>
      </c>
      <c r="D11" s="4"/>
      <c r="E11" s="11">
        <v>49.095999999999997</v>
      </c>
      <c r="F11" s="11">
        <v>48.322000000000003</v>
      </c>
      <c r="G11" s="11">
        <v>46.1</v>
      </c>
    </row>
    <row r="12" spans="1:8" x14ac:dyDescent="0.2">
      <c r="H12" s="7"/>
    </row>
    <row r="13" spans="1:8" x14ac:dyDescent="0.2">
      <c r="A13" s="1" t="s">
        <v>161</v>
      </c>
      <c r="C13" s="10">
        <v>1.2E-2</v>
      </c>
      <c r="D13" s="10">
        <v>1.0999999999999999E-2</v>
      </c>
      <c r="E13" s="10">
        <v>1.2E-2</v>
      </c>
      <c r="F13" s="10">
        <v>0.01</v>
      </c>
      <c r="G13" s="10">
        <v>0.01</v>
      </c>
      <c r="H13" s="7"/>
    </row>
    <row r="14" spans="1:8" x14ac:dyDescent="0.2">
      <c r="A14" s="1" t="s">
        <v>14</v>
      </c>
      <c r="C14" s="12"/>
      <c r="D14" s="12"/>
      <c r="E14" s="10">
        <v>0.02</v>
      </c>
      <c r="F14" s="10">
        <v>0.02</v>
      </c>
      <c r="G14" s="10">
        <v>0.02</v>
      </c>
    </row>
    <row r="15" spans="1:8" x14ac:dyDescent="0.2">
      <c r="A15" s="1" t="s">
        <v>116</v>
      </c>
      <c r="G15" s="10">
        <v>1.4999999999999999E-2</v>
      </c>
      <c r="H15" s="2"/>
    </row>
    <row r="17" spans="1:8" x14ac:dyDescent="0.2">
      <c r="A17" s="1" t="s">
        <v>7</v>
      </c>
    </row>
    <row r="18" spans="1:8" x14ac:dyDescent="0.2">
      <c r="A18" s="5" t="s">
        <v>8</v>
      </c>
      <c r="C18" s="7">
        <f>C10/C2</f>
        <v>0.13441523809523809</v>
      </c>
      <c r="D18" s="7">
        <f>D10/D2</f>
        <v>0.15457142857142858</v>
      </c>
      <c r="E18" s="7">
        <f>E10/E2</f>
        <v>0.14211744186046513</v>
      </c>
      <c r="F18" s="10">
        <v>0.15</v>
      </c>
      <c r="G18" s="10">
        <v>0.15</v>
      </c>
    </row>
    <row r="19" spans="1:8" x14ac:dyDescent="0.2">
      <c r="A19" s="5" t="s">
        <v>9</v>
      </c>
      <c r="C19" s="9">
        <f>C10/((1-C7)*C2)</f>
        <v>0.27431681243926143</v>
      </c>
      <c r="D19" s="10">
        <v>0.27</v>
      </c>
      <c r="E19" s="10">
        <v>0.28000000000000003</v>
      </c>
      <c r="F19" s="10">
        <v>0.28999999999999998</v>
      </c>
      <c r="G19" s="9">
        <f>G10/((1-G7)*G2)</f>
        <v>0.30958110516934051</v>
      </c>
    </row>
    <row r="21" spans="1:8" x14ac:dyDescent="0.2">
      <c r="A21" s="1" t="s">
        <v>10</v>
      </c>
      <c r="F21" s="10">
        <v>0.04</v>
      </c>
    </row>
    <row r="23" spans="1:8" x14ac:dyDescent="0.2">
      <c r="A23" s="1" t="s">
        <v>22</v>
      </c>
      <c r="C23" s="11">
        <v>154</v>
      </c>
      <c r="D23" s="11">
        <v>177</v>
      </c>
      <c r="E23" s="11">
        <v>170</v>
      </c>
      <c r="F23" s="11">
        <v>184.7</v>
      </c>
      <c r="G23" s="11">
        <v>213.8</v>
      </c>
      <c r="H23" s="11">
        <f>(222+227)/2</f>
        <v>224.5</v>
      </c>
    </row>
    <row r="24" spans="1:8" x14ac:dyDescent="0.2">
      <c r="A24" s="14" t="s">
        <v>23</v>
      </c>
      <c r="D24" s="7">
        <f t="shared" ref="D24:G24" si="1">D23/C23-1</f>
        <v>0.14935064935064934</v>
      </c>
      <c r="E24" s="7">
        <f t="shared" si="1"/>
        <v>-3.9548022598870025E-2</v>
      </c>
      <c r="F24" s="7">
        <f t="shared" si="1"/>
        <v>8.6470588235294077E-2</v>
      </c>
      <c r="G24" s="7">
        <f t="shared" si="1"/>
        <v>0.15755278830536024</v>
      </c>
      <c r="H24" s="7">
        <f>H23/G23-1</f>
        <v>5.0046772684751994E-2</v>
      </c>
    </row>
    <row r="25" spans="1:8" x14ac:dyDescent="0.2">
      <c r="A25" s="1" t="s">
        <v>24</v>
      </c>
      <c r="C25" s="11">
        <v>101.2</v>
      </c>
      <c r="D25" s="11">
        <v>105.1</v>
      </c>
      <c r="E25" s="11">
        <v>101.5</v>
      </c>
      <c r="F25" s="11">
        <v>106.5</v>
      </c>
      <c r="G25" s="11">
        <v>120</v>
      </c>
      <c r="H25" s="11">
        <f>(127+133)/2</f>
        <v>130</v>
      </c>
    </row>
    <row r="26" spans="1:8" x14ac:dyDescent="0.2">
      <c r="A26" s="14" t="s">
        <v>23</v>
      </c>
      <c r="D26" s="7">
        <f t="shared" ref="D26:G26" si="2">D25/C25-1</f>
        <v>3.8537549407114513E-2</v>
      </c>
      <c r="E26" s="7">
        <f t="shared" si="2"/>
        <v>-3.4253092293054177E-2</v>
      </c>
      <c r="F26" s="7">
        <f t="shared" si="2"/>
        <v>4.9261083743842304E-2</v>
      </c>
      <c r="G26" s="7">
        <f t="shared" si="2"/>
        <v>0.12676056338028174</v>
      </c>
      <c r="H26" s="7">
        <f>H25/G25-1</f>
        <v>8.3333333333333259E-2</v>
      </c>
    </row>
    <row r="28" spans="1:8" s="2" customFormat="1" x14ac:dyDescent="0.2">
      <c r="C28" s="2">
        <f>C1</f>
        <v>2011</v>
      </c>
      <c r="D28" s="2">
        <f t="shared" ref="D28:H28" si="3">D1</f>
        <v>2012</v>
      </c>
      <c r="E28" s="2">
        <f t="shared" si="3"/>
        <v>2013</v>
      </c>
      <c r="F28" s="2">
        <f t="shared" si="3"/>
        <v>2014</v>
      </c>
      <c r="G28" s="2">
        <f t="shared" si="3"/>
        <v>2015</v>
      </c>
      <c r="H28" s="13">
        <f t="shared" si="3"/>
        <v>2016</v>
      </c>
    </row>
    <row r="29" spans="1:8" x14ac:dyDescent="0.2">
      <c r="A29" s="1" t="s">
        <v>15</v>
      </c>
      <c r="C29" s="4"/>
      <c r="D29" s="4"/>
      <c r="E29" s="11">
        <v>104.773</v>
      </c>
      <c r="F29" s="11">
        <v>107.944</v>
      </c>
      <c r="G29" s="11">
        <v>411.8</v>
      </c>
    </row>
    <row r="30" spans="1:8" x14ac:dyDescent="0.2">
      <c r="A30" s="1" t="s">
        <v>20</v>
      </c>
      <c r="C30" s="4"/>
      <c r="D30" s="4"/>
      <c r="E30" s="11">
        <v>250.13800000000001</v>
      </c>
      <c r="F30" s="11">
        <v>273.27300000000002</v>
      </c>
      <c r="G30" s="11"/>
    </row>
    <row r="31" spans="1:8" x14ac:dyDescent="0.2">
      <c r="A31" s="1" t="s">
        <v>16</v>
      </c>
      <c r="C31" s="4"/>
      <c r="D31" s="4"/>
      <c r="E31" s="11">
        <f>SUM(E29:E30)</f>
        <v>354.911</v>
      </c>
      <c r="F31" s="11">
        <f t="shared" ref="F31:G31" si="4">SUM(F29:F30)</f>
        <v>381.21700000000004</v>
      </c>
      <c r="G31" s="11">
        <f t="shared" si="4"/>
        <v>411.8</v>
      </c>
    </row>
    <row r="32" spans="1:8" x14ac:dyDescent="0.2">
      <c r="A32" s="1" t="s">
        <v>17</v>
      </c>
      <c r="C32" s="4"/>
      <c r="D32" s="4"/>
      <c r="E32" s="11">
        <v>203.16800000000001</v>
      </c>
      <c r="F32" s="11">
        <v>198.28100000000001</v>
      </c>
      <c r="G32" s="11">
        <v>215.9</v>
      </c>
    </row>
    <row r="33" spans="1:14" x14ac:dyDescent="0.2">
      <c r="A33" s="1" t="s">
        <v>18</v>
      </c>
      <c r="C33" s="4"/>
      <c r="D33" s="4"/>
      <c r="E33" s="11">
        <v>102.122</v>
      </c>
      <c r="F33" s="11">
        <v>107.565</v>
      </c>
      <c r="G33" s="11">
        <v>113.1</v>
      </c>
    </row>
    <row r="34" spans="1:14" x14ac:dyDescent="0.2">
      <c r="A34" s="1" t="s">
        <v>214</v>
      </c>
      <c r="C34" s="4"/>
      <c r="D34" s="4"/>
      <c r="E34" s="11">
        <f>SUM(E31:E33)</f>
        <v>660.20099999999991</v>
      </c>
      <c r="F34" s="11">
        <f t="shared" ref="F34:G34" si="5">SUM(F31:F33)</f>
        <v>687.0630000000001</v>
      </c>
      <c r="G34" s="11">
        <f t="shared" si="5"/>
        <v>740.80000000000007</v>
      </c>
      <c r="K34" s="24"/>
      <c r="L34" s="86"/>
      <c r="M34" s="86"/>
      <c r="N34" s="86"/>
    </row>
    <row r="36" spans="1:14" x14ac:dyDescent="0.2">
      <c r="A36" s="1" t="s">
        <v>19</v>
      </c>
      <c r="C36" s="11">
        <v>62.3</v>
      </c>
      <c r="D36" s="11">
        <v>70.7</v>
      </c>
      <c r="E36" s="11">
        <v>98</v>
      </c>
      <c r="F36" s="11">
        <v>61</v>
      </c>
      <c r="G36" s="11">
        <v>57.3</v>
      </c>
      <c r="H36" s="12">
        <f>(75+80)/2</f>
        <v>77.5</v>
      </c>
    </row>
    <row r="37" spans="1:14" x14ac:dyDescent="0.2">
      <c r="A37" s="14" t="s">
        <v>21</v>
      </c>
      <c r="C37" s="7">
        <f>C36/C9</f>
        <v>9.3429632340149837E-2</v>
      </c>
      <c r="D37" s="7">
        <f t="shared" ref="D37:H37" si="6">D36/D9</f>
        <v>9.3918042891453599E-2</v>
      </c>
      <c r="E37" s="7">
        <f t="shared" si="6"/>
        <v>0.14843986670705844</v>
      </c>
      <c r="F37" s="7">
        <f t="shared" si="6"/>
        <v>8.8778925920535587E-2</v>
      </c>
      <c r="G37" s="7">
        <f t="shared" si="6"/>
        <v>7.7348812095032402E-2</v>
      </c>
      <c r="H37" s="7">
        <f t="shared" si="6"/>
        <v>0.10163934426229508</v>
      </c>
    </row>
    <row r="39" spans="1:14" x14ac:dyDescent="0.2">
      <c r="A39" s="1" t="s">
        <v>25</v>
      </c>
      <c r="C39" s="4">
        <f>C23-C36</f>
        <v>91.7</v>
      </c>
      <c r="D39" s="4">
        <f t="shared" ref="D39:H39" si="7">D23-D36</f>
        <v>106.3</v>
      </c>
      <c r="E39" s="4">
        <f t="shared" si="7"/>
        <v>72</v>
      </c>
      <c r="F39" s="4">
        <f t="shared" si="7"/>
        <v>123.69999999999999</v>
      </c>
      <c r="G39" s="4">
        <f t="shared" si="7"/>
        <v>156.5</v>
      </c>
      <c r="H39" s="4">
        <f t="shared" si="7"/>
        <v>147</v>
      </c>
    </row>
    <row r="40" spans="1:14" x14ac:dyDescent="0.2">
      <c r="A40" s="14" t="s">
        <v>23</v>
      </c>
      <c r="D40" s="7">
        <f>D39/C39-1</f>
        <v>0.15921483097055611</v>
      </c>
      <c r="E40" s="7">
        <f t="shared" ref="E40:H40" si="8">E39/D39-1</f>
        <v>-0.32267168391345247</v>
      </c>
      <c r="F40" s="7">
        <f t="shared" si="8"/>
        <v>0.71805555555555545</v>
      </c>
      <c r="G40" s="7">
        <f t="shared" si="8"/>
        <v>0.26515763945028303</v>
      </c>
      <c r="H40" s="7">
        <f t="shared" si="8"/>
        <v>-6.0702875399361034E-2</v>
      </c>
    </row>
    <row r="43" spans="1:14" x14ac:dyDescent="0.2">
      <c r="A43" s="1" t="s">
        <v>189</v>
      </c>
    </row>
    <row r="44" spans="1:14" x14ac:dyDescent="0.2">
      <c r="A44" s="1" t="s">
        <v>190</v>
      </c>
    </row>
    <row r="45" spans="1:14" x14ac:dyDescent="0.2">
      <c r="A45" s="1" t="s">
        <v>191</v>
      </c>
    </row>
    <row r="46" spans="1:14" x14ac:dyDescent="0.2">
      <c r="A46" s="1" t="s">
        <v>193</v>
      </c>
    </row>
    <row r="47" spans="1:14" x14ac:dyDescent="0.2">
      <c r="A47" s="1" t="s">
        <v>194</v>
      </c>
    </row>
    <row r="48" spans="1:14" x14ac:dyDescent="0.2">
      <c r="A48" s="1" t="s">
        <v>195</v>
      </c>
    </row>
    <row r="50" spans="1:7" x14ac:dyDescent="0.2">
      <c r="A50" s="71" t="s">
        <v>198</v>
      </c>
    </row>
    <row r="52" spans="1:7" x14ac:dyDescent="0.2">
      <c r="F52" s="4"/>
      <c r="G52" s="4"/>
    </row>
    <row r="53" spans="1:7" x14ac:dyDescent="0.2">
      <c r="E53" s="7"/>
      <c r="F53" s="7"/>
      <c r="G53" s="7"/>
    </row>
  </sheetData>
  <hyperlinks>
    <hyperlink ref="A50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FS</vt:lpstr>
      <vt:lpstr>DCF</vt:lpstr>
      <vt:lpstr>Metrics</vt:lpstr>
      <vt:lpstr>Header</vt:lpstr>
      <vt:lpstr>Forecasts</vt:lpstr>
      <vt:lpstr>Mgmt Guidance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2016-04-20T10:04:05Z</dcterms:created>
  <dcterms:modified xsi:type="dcterms:W3CDTF">2016-04-26T09:42:08Z</dcterms:modified>
</cp:coreProperties>
</file>