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codeName="ThisWorkbook"/>
  <bookViews>
    <workbookView xWindow="165" yWindow="0" windowWidth="20730" windowHeight="11760" tabRatio="772"/>
  </bookViews>
  <sheets>
    <sheet name="Input sheet" sheetId="11" r:id="rId1"/>
    <sheet name="Valuation output" sheetId="13" r:id="rId2"/>
    <sheet name="Option value" sheetId="14" r:id="rId3"/>
    <sheet name="Diagnostics" sheetId="12" r:id="rId4"/>
    <sheet name="R&amp; D converter" sheetId="25" r:id="rId5"/>
    <sheet name="Operating lease converter" sheetId="18" r:id="rId6"/>
    <sheet name="Cost of capital worksheet" sheetId="19" r:id="rId7"/>
    <sheet name="Synthetic rating" sheetId="20" r:id="rId8"/>
    <sheet name="Industry Averages(US)" sheetId="8" r:id="rId9"/>
    <sheet name="Global industry averages" sheetId="26" r:id="rId10"/>
    <sheet name="Country tax rates" sheetId="22" r:id="rId11"/>
    <sheet name="Country equity risk premiums" sheetId="23" r:id="rId12"/>
    <sheet name="Traiing 12 month" sheetId="24" r:id="rId13"/>
    <sheet name="Answer keys" sheetId="21" r:id="rId14"/>
    <sheet name="Sheet1" sheetId="27" r:id="rId15"/>
  </sheets>
  <calcPr calcId="125725" iterate="1" concurrentCalc="0"/>
</workbook>
</file>

<file path=xl/calcChain.xml><?xml version="1.0" encoding="utf-8"?>
<calcChain xmlns="http://schemas.openxmlformats.org/spreadsheetml/2006/main">
  <c r="B4" i="19"/>
  <c r="B5"/>
  <c r="B46"/>
  <c r="B17"/>
  <c r="F7" i="20"/>
  <c r="C4"/>
  <c r="F6"/>
  <c r="D9"/>
  <c r="D11"/>
  <c r="D12"/>
  <c r="D13"/>
  <c r="B23" i="19"/>
  <c r="B16"/>
  <c r="C39"/>
  <c r="C40"/>
  <c r="B31"/>
  <c r="C41"/>
  <c r="C46"/>
  <c r="E46"/>
  <c r="B47"/>
  <c r="B10"/>
  <c r="B24"/>
  <c r="C43"/>
  <c r="J17"/>
  <c r="L17"/>
  <c r="J18"/>
  <c r="L18"/>
  <c r="J19"/>
  <c r="L19"/>
  <c r="J20"/>
  <c r="L20"/>
  <c r="J21"/>
  <c r="L21"/>
  <c r="J22"/>
  <c r="L22"/>
  <c r="J23"/>
  <c r="L23"/>
  <c r="J24"/>
  <c r="L24"/>
  <c r="J25"/>
  <c r="L25"/>
  <c r="L27"/>
  <c r="B13"/>
  <c r="B48"/>
  <c r="C47"/>
  <c r="C48"/>
  <c r="D47"/>
  <c r="E48"/>
  <c r="B28" i="11"/>
  <c r="C2" i="13"/>
  <c r="B3"/>
  <c r="C3"/>
  <c r="D2"/>
  <c r="D3"/>
  <c r="E2"/>
  <c r="E3"/>
  <c r="F2"/>
  <c r="F3"/>
  <c r="G2"/>
  <c r="G3"/>
  <c r="H2"/>
  <c r="H3"/>
  <c r="I2"/>
  <c r="I3"/>
  <c r="J2"/>
  <c r="J3"/>
  <c r="K2"/>
  <c r="K3"/>
  <c r="L2"/>
  <c r="L3"/>
  <c r="M2"/>
  <c r="M3"/>
  <c r="B5"/>
  <c r="B4"/>
  <c r="L4"/>
  <c r="M4"/>
  <c r="M5"/>
  <c r="M6"/>
  <c r="M7"/>
  <c r="M40"/>
  <c r="M8"/>
  <c r="M9"/>
  <c r="B16"/>
  <c r="M12"/>
  <c r="B17"/>
  <c r="B18"/>
  <c r="C12"/>
  <c r="C13"/>
  <c r="D12"/>
  <c r="D13"/>
  <c r="E12"/>
  <c r="E13"/>
  <c r="F12"/>
  <c r="F13"/>
  <c r="G12"/>
  <c r="G13"/>
  <c r="H12"/>
  <c r="H13"/>
  <c r="I12"/>
  <c r="I13"/>
  <c r="J12"/>
  <c r="J13"/>
  <c r="K12"/>
  <c r="K13"/>
  <c r="L12"/>
  <c r="L13"/>
  <c r="B19"/>
  <c r="C4"/>
  <c r="C5"/>
  <c r="B10"/>
  <c r="B6"/>
  <c r="C6"/>
  <c r="C7"/>
  <c r="C38"/>
  <c r="C8"/>
  <c r="C9"/>
  <c r="C14"/>
  <c r="D4"/>
  <c r="D5"/>
  <c r="C10"/>
  <c r="D6"/>
  <c r="D7"/>
  <c r="D38"/>
  <c r="D8"/>
  <c r="D9"/>
  <c r="D14"/>
  <c r="E4"/>
  <c r="E5"/>
  <c r="D10"/>
  <c r="E6"/>
  <c r="E7"/>
  <c r="E38"/>
  <c r="E8"/>
  <c r="E9"/>
  <c r="E14"/>
  <c r="F4"/>
  <c r="F5"/>
  <c r="E10"/>
  <c r="F6"/>
  <c r="F7"/>
  <c r="F38"/>
  <c r="F8"/>
  <c r="F9"/>
  <c r="F14"/>
  <c r="G4"/>
  <c r="G5"/>
  <c r="F10"/>
  <c r="G6"/>
  <c r="G7"/>
  <c r="G38"/>
  <c r="G8"/>
  <c r="G9"/>
  <c r="G14"/>
  <c r="H4"/>
  <c r="H5"/>
  <c r="G10"/>
  <c r="H6"/>
  <c r="H7"/>
  <c r="H38"/>
  <c r="H8"/>
  <c r="H9"/>
  <c r="H14"/>
  <c r="I4"/>
  <c r="I5"/>
  <c r="H10"/>
  <c r="I6"/>
  <c r="I7"/>
  <c r="I38"/>
  <c r="I8"/>
  <c r="I9"/>
  <c r="I14"/>
  <c r="J4"/>
  <c r="J5"/>
  <c r="I10"/>
  <c r="J6"/>
  <c r="J7"/>
  <c r="J38"/>
  <c r="J8"/>
  <c r="J9"/>
  <c r="J14"/>
  <c r="K4"/>
  <c r="K5"/>
  <c r="J10"/>
  <c r="K6"/>
  <c r="K7"/>
  <c r="K38"/>
  <c r="K8"/>
  <c r="K9"/>
  <c r="K14"/>
  <c r="L5"/>
  <c r="K10"/>
  <c r="L6"/>
  <c r="L7"/>
  <c r="L38"/>
  <c r="L8"/>
  <c r="L9"/>
  <c r="L14"/>
  <c r="B20"/>
  <c r="B21"/>
  <c r="B23"/>
  <c r="B22"/>
  <c r="B24"/>
  <c r="B25"/>
  <c r="B26"/>
  <c r="B27"/>
  <c r="B28"/>
  <c r="B29"/>
  <c r="B30"/>
  <c r="B31"/>
  <c r="B32"/>
  <c r="B33"/>
  <c r="H32" i="11"/>
  <c r="K22"/>
  <c r="I27" i="19"/>
  <c r="K17"/>
  <c r="K18"/>
  <c r="K19"/>
  <c r="K20"/>
  <c r="K21"/>
  <c r="K22"/>
  <c r="K23"/>
  <c r="K24"/>
  <c r="K25"/>
  <c r="K24" i="11"/>
  <c r="H25" i="19"/>
  <c r="H24"/>
  <c r="H23"/>
  <c r="H22"/>
  <c r="H21"/>
  <c r="H20"/>
  <c r="H19"/>
  <c r="H18"/>
  <c r="H17"/>
  <c r="I14"/>
  <c r="K7"/>
  <c r="J7"/>
  <c r="L7"/>
  <c r="J13"/>
  <c r="J12"/>
  <c r="J11"/>
  <c r="J10"/>
  <c r="J9"/>
  <c r="J8"/>
  <c r="J6"/>
  <c r="J5"/>
  <c r="J4"/>
  <c r="J3"/>
  <c r="B9" i="24"/>
  <c r="D9"/>
  <c r="K25" i="11"/>
  <c r="K23"/>
  <c r="L58" i="19"/>
  <c r="L57"/>
  <c r="L56"/>
  <c r="L55"/>
  <c r="L54"/>
  <c r="L53"/>
  <c r="L52"/>
  <c r="L51"/>
  <c r="L50"/>
  <c r="L49"/>
  <c r="L48"/>
  <c r="J58"/>
  <c r="J57"/>
  <c r="J56"/>
  <c r="J55"/>
  <c r="J54"/>
  <c r="J53"/>
  <c r="J52"/>
  <c r="J51"/>
  <c r="J50"/>
  <c r="J49"/>
  <c r="J48"/>
  <c r="L47"/>
  <c r="J47"/>
  <c r="K48"/>
  <c r="K49"/>
  <c r="K50"/>
  <c r="K51"/>
  <c r="K52"/>
  <c r="K53"/>
  <c r="K54"/>
  <c r="K55"/>
  <c r="K56"/>
  <c r="K57"/>
  <c r="K58"/>
  <c r="K47"/>
  <c r="K59"/>
  <c r="L59"/>
  <c r="L31"/>
  <c r="J31"/>
  <c r="K31"/>
  <c r="J32"/>
  <c r="K32"/>
  <c r="J33"/>
  <c r="K33"/>
  <c r="J34"/>
  <c r="K34"/>
  <c r="J35"/>
  <c r="K35"/>
  <c r="J36"/>
  <c r="K36"/>
  <c r="J37"/>
  <c r="K37"/>
  <c r="J38"/>
  <c r="K38"/>
  <c r="J39"/>
  <c r="K39"/>
  <c r="J40"/>
  <c r="K40"/>
  <c r="J41"/>
  <c r="K41"/>
  <c r="J42"/>
  <c r="K42"/>
  <c r="K43"/>
  <c r="L32"/>
  <c r="L33"/>
  <c r="L34"/>
  <c r="L35"/>
  <c r="L36"/>
  <c r="L37"/>
  <c r="L38"/>
  <c r="L39"/>
  <c r="L40"/>
  <c r="L41"/>
  <c r="L42"/>
  <c r="L43"/>
  <c r="I59"/>
  <c r="D46"/>
  <c r="E5" i="24"/>
  <c r="D14"/>
  <c r="E3"/>
  <c r="F7" i="25"/>
  <c r="E4" i="24"/>
  <c r="E2"/>
  <c r="D7"/>
  <c r="B14"/>
  <c r="B25" i="25"/>
  <c r="A25"/>
  <c r="E25"/>
  <c r="B26"/>
  <c r="A12"/>
  <c r="A26"/>
  <c r="E26"/>
  <c r="B27"/>
  <c r="A13"/>
  <c r="A27"/>
  <c r="E27"/>
  <c r="A14"/>
  <c r="A28"/>
  <c r="E28"/>
  <c r="A15"/>
  <c r="A29"/>
  <c r="E29"/>
  <c r="A16"/>
  <c r="A30"/>
  <c r="E30"/>
  <c r="A17"/>
  <c r="A31"/>
  <c r="E31"/>
  <c r="A18"/>
  <c r="A32"/>
  <c r="E32"/>
  <c r="A19"/>
  <c r="A33"/>
  <c r="E33"/>
  <c r="A20"/>
  <c r="A34"/>
  <c r="E34"/>
  <c r="E35"/>
  <c r="D37"/>
  <c r="D39"/>
  <c r="J24" i="11"/>
  <c r="D40" i="25"/>
  <c r="I22" i="11"/>
  <c r="K11" i="19"/>
  <c r="L11"/>
  <c r="K10"/>
  <c r="L10"/>
  <c r="K9"/>
  <c r="L9"/>
  <c r="K8"/>
  <c r="L8"/>
  <c r="K6"/>
  <c r="L6"/>
  <c r="K5"/>
  <c r="L5"/>
  <c r="K4"/>
  <c r="L4"/>
  <c r="K3"/>
  <c r="L3"/>
  <c r="K13"/>
  <c r="L13"/>
  <c r="K12"/>
  <c r="L12"/>
  <c r="L14"/>
  <c r="B24" i="25"/>
  <c r="C24"/>
  <c r="D24"/>
  <c r="C25"/>
  <c r="D25"/>
  <c r="C26"/>
  <c r="D26"/>
  <c r="C27"/>
  <c r="D27"/>
  <c r="B28"/>
  <c r="C28"/>
  <c r="D28"/>
  <c r="B29"/>
  <c r="C29"/>
  <c r="D29"/>
  <c r="B30"/>
  <c r="C30"/>
  <c r="D30"/>
  <c r="B31"/>
  <c r="C31"/>
  <c r="D31"/>
  <c r="B32"/>
  <c r="C32"/>
  <c r="D32"/>
  <c r="B33"/>
  <c r="C33"/>
  <c r="D33"/>
  <c r="B34"/>
  <c r="C34"/>
  <c r="D34"/>
  <c r="D35"/>
  <c r="D48" i="19"/>
  <c r="J27" i="11"/>
  <c r="C14" i="24"/>
  <c r="I43" i="19"/>
  <c r="B22" i="18"/>
  <c r="B23"/>
  <c r="B24"/>
  <c r="B25"/>
  <c r="B26"/>
  <c r="D18"/>
  <c r="B27"/>
  <c r="I24" i="11"/>
  <c r="I25"/>
  <c r="J26"/>
  <c r="J25"/>
  <c r="K27" i="19"/>
  <c r="K14"/>
  <c r="J23" i="11"/>
  <c r="J22"/>
  <c r="A27" i="18"/>
  <c r="A26"/>
  <c r="A25"/>
  <c r="A24"/>
  <c r="A23"/>
  <c r="A22"/>
  <c r="B34" i="13"/>
  <c r="D9" i="14"/>
  <c r="D8"/>
  <c r="D5"/>
  <c r="D4"/>
  <c r="D3"/>
  <c r="D2"/>
  <c r="D7"/>
  <c r="F17"/>
  <c r="C17"/>
  <c r="C13"/>
  <c r="F14"/>
  <c r="F15"/>
  <c r="F18"/>
  <c r="F16"/>
  <c r="C14"/>
  <c r="C16"/>
  <c r="F13"/>
  <c r="F5" i="20"/>
  <c r="C42" i="19"/>
  <c r="E47"/>
  <c r="B39" i="13"/>
  <c r="B2" i="12"/>
  <c r="C39" i="13"/>
  <c r="D39"/>
  <c r="E39"/>
  <c r="F39"/>
  <c r="G39"/>
  <c r="H39"/>
  <c r="I39"/>
  <c r="J39"/>
  <c r="K39"/>
  <c r="L39"/>
  <c r="B3" i="12"/>
  <c r="B4"/>
  <c r="B5"/>
  <c r="B6"/>
  <c r="L40" i="13"/>
  <c r="B7" i="12"/>
  <c r="B8"/>
  <c r="I23" i="11"/>
  <c r="C15" i="18"/>
  <c r="C22"/>
  <c r="C23"/>
  <c r="C24"/>
  <c r="C25"/>
  <c r="C26"/>
  <c r="C27"/>
  <c r="C28"/>
  <c r="F31"/>
  <c r="F32"/>
  <c r="F33"/>
  <c r="F34"/>
  <c r="D10" i="20"/>
  <c r="N5" i="13"/>
  <c r="B7"/>
  <c r="N8"/>
  <c r="L10"/>
  <c r="M10"/>
  <c r="B40"/>
  <c r="C40"/>
  <c r="D40"/>
  <c r="E40"/>
  <c r="F40"/>
  <c r="G40"/>
  <c r="H40"/>
  <c r="I40"/>
  <c r="J40"/>
  <c r="K40"/>
  <c r="B9" i="12"/>
  <c r="B10"/>
  <c r="B35" i="13"/>
  <c r="C15" i="14"/>
  <c r="B20"/>
  <c r="B21"/>
  <c r="B23"/>
  <c r="B24"/>
  <c r="C26"/>
  <c r="D27"/>
</calcChain>
</file>

<file path=xl/comments1.xml><?xml version="1.0" encoding="utf-8"?>
<comments xmlns="http://schemas.openxmlformats.org/spreadsheetml/2006/main">
  <authors>
    <author>Aswath Damodaran</author>
  </authors>
  <commentList>
    <comment ref="C4" authorId="0">
      <text>
        <r>
          <rPr>
            <b/>
            <sz val="9"/>
            <color indexed="81"/>
            <rFont val="Geneva"/>
          </rPr>
          <t>Aswath Damodaran:</t>
        </r>
        <r>
          <rPr>
            <sz val="9"/>
            <color indexed="81"/>
            <rFont val="Geneva"/>
          </rPr>
          <t xml:space="preserve">
If you are using trailing 12-month data, it is best if the last year is the 12-month period just prior to the one that you are using. Thus, if you are looking at June 2011-June 2012, your trailing 12 month for the income statement numbers will be June 2010-June 2011 and your balance sheet numbers should be as of June 2011.</t>
        </r>
      </text>
    </comment>
    <comment ref="B6" authorId="0">
      <text>
        <r>
          <rPr>
            <b/>
            <sz val="9"/>
            <color indexed="81"/>
            <rFont val="Geneva"/>
          </rPr>
          <t>Aswath Damodaran:</t>
        </r>
        <r>
          <rPr>
            <sz val="9"/>
            <color indexed="81"/>
            <rFont val="Geneva"/>
          </rPr>
          <t xml:space="preserve">
If you are in multiple businesses, you can construct your own weighted averages using the industry average table from this spreadsheet and your company's business breakdown.</t>
        </r>
      </text>
    </comment>
    <comment ref="B8" authorId="0">
      <text>
        <r>
          <rPr>
            <b/>
            <sz val="9"/>
            <color indexed="81"/>
            <rFont val="Geneva"/>
          </rPr>
          <t>Aswath Damodaran:</t>
        </r>
        <r>
          <rPr>
            <sz val="9"/>
            <color indexed="81"/>
            <rFont val="Geneva"/>
          </rPr>
          <t xml:space="preserve">
Enter the revenues from the most recent period (you can either use annual or the trailing 12 months). If your company had no revenues, enter a very small positive number. (You need a base for your growth rate)</t>
        </r>
      </text>
    </comment>
    <comment ref="B9" authorId="0">
      <text>
        <r>
          <rPr>
            <b/>
            <sz val="9"/>
            <color indexed="81"/>
            <rFont val="Geneva"/>
          </rPr>
          <t>Aswath Damodaran:</t>
        </r>
        <r>
          <rPr>
            <sz val="9"/>
            <color indexed="81"/>
            <rFont val="Geneva"/>
          </rPr>
          <t xml:space="preserve">
Enter the operating income or EBIT from the most recent time period, even if that number is negative. If you have operating leases, enter the adjusted operating income (see the operating lease worksheet for the amount you have to adjust operating income by).</t>
        </r>
      </text>
    </comment>
    <comment ref="B11" authorId="0">
      <text>
        <r>
          <rPr>
            <b/>
            <sz val="9"/>
            <color indexed="81"/>
            <rFont val="Geneva"/>
          </rPr>
          <t>Aswath Damodaran:</t>
        </r>
        <r>
          <rPr>
            <sz val="9"/>
            <color indexed="81"/>
            <rFont val="Geneva"/>
          </rPr>
          <t xml:space="preserve">
Enter the book value of equity (total) from the end of the most recent time period (i.e. the most recent balance sheet). This book equity will include everything - paid in capital, retained earnings etc. and may even be negative for companies that have been losing money for a while.</t>
        </r>
      </text>
    </comment>
    <comment ref="B12" authorId="0">
      <text>
        <r>
          <rPr>
            <b/>
            <sz val="9"/>
            <color indexed="81"/>
            <rFont val="Geneva"/>
          </rPr>
          <t>Aswath Damodaran:</t>
        </r>
        <r>
          <rPr>
            <sz val="9"/>
            <color indexed="81"/>
            <rFont val="Geneva"/>
          </rPr>
          <t xml:space="preserve">
Enter the book value of interest bearing debt (short and long term) at your company from the most recent balance sheet. (Do not include accounts payable, supplier credit or other non-interest bearing liabilities.) </t>
        </r>
      </text>
    </comment>
    <comment ref="B15" authorId="0">
      <text>
        <r>
          <rPr>
            <b/>
            <sz val="9"/>
            <color indexed="81"/>
            <rFont val="Geneva"/>
          </rPr>
          <t>Aswath Damodaran:</t>
        </r>
        <r>
          <rPr>
            <sz val="9"/>
            <color indexed="81"/>
            <rFont val="Geneva"/>
          </rPr>
          <t xml:space="preserve">
Enter the cash balance from the most recent balance sheet. This should include marketable securities.</t>
        </r>
      </text>
    </comment>
    <comment ref="B16" authorId="0">
      <text>
        <r>
          <rPr>
            <b/>
            <sz val="9"/>
            <color indexed="81"/>
            <rFont val="Geneva"/>
          </rPr>
          <t>Aswath Damodaran:</t>
        </r>
        <r>
          <rPr>
            <sz val="9"/>
            <color indexed="81"/>
            <rFont val="Geneva"/>
          </rPr>
          <t xml:space="preserve">
Enter the market value of those non-cash assets whose earnings are (and will never) show up as part of operating income. The most common non-operating assets are minority holdings in other companies (which are not consoldiated). You can find the book value of these holdings on the balance sheet, but see if you can convert to market value. (I apply a price to book ratio, based on the sector that the company is in to the book value).</t>
        </r>
      </text>
    </comment>
    <comment ref="B17" authorId="0">
      <text>
        <r>
          <rPr>
            <b/>
            <sz val="9"/>
            <color indexed="81"/>
            <rFont val="Geneva"/>
          </rPr>
          <t>Aswath Damodaran:</t>
        </r>
        <r>
          <rPr>
            <sz val="9"/>
            <color indexed="81"/>
            <rFont val="Geneva"/>
          </rPr>
          <t xml:space="preserve">
Enter the "market" value of minority interests. This is a uniquely accounting item and will be on the liability side of your company's balance sheet. It reflects the requirement that if you own more than 50% of another company or have effective control of it, you have to consolidate that company's statements with yours. Thus, you count 100% of that subsidiaries assets, revenues and operating income with your company, even if you own only 60%. The minority interest reflects the book value of the 40% of the equity in the subsidiary that does not belong to you. Again, it is best if you can convert the book value to a market value by applying the price to book ratio for the sector in which the subsidiary operates</t>
        </r>
      </text>
    </comment>
    <comment ref="B18" authorId="0">
      <text>
        <r>
          <rPr>
            <b/>
            <sz val="9"/>
            <color indexed="81"/>
            <rFont val="Geneva"/>
          </rPr>
          <t>Aswath Damodaran:</t>
        </r>
        <r>
          <rPr>
            <sz val="9"/>
            <color indexed="81"/>
            <rFont val="Geneva"/>
          </rPr>
          <t xml:space="preserve">
Enter the most recent update you have on the number of shares. If you have different classes of shares, aggregate them all and enter one number. Count restricted stock units (RSUs) as shares but don't count shares underlying employee options.</t>
        </r>
      </text>
    </comment>
    <comment ref="B19" authorId="0">
      <text>
        <r>
          <rPr>
            <b/>
            <sz val="9"/>
            <color indexed="81"/>
            <rFont val="Geneva"/>
          </rPr>
          <t>Aswath Damodaran:</t>
        </r>
        <r>
          <rPr>
            <sz val="9"/>
            <color indexed="81"/>
            <rFont val="Geneva"/>
          </rPr>
          <t xml:space="preserve">
Enter the most recent stock price (how about today's?) in here. </t>
        </r>
      </text>
    </comment>
    <comment ref="B20" authorId="0">
      <text>
        <r>
          <rPr>
            <b/>
            <sz val="9"/>
            <color indexed="81"/>
            <rFont val="Geneva"/>
          </rPr>
          <t>Aswath Damodaran:</t>
        </r>
        <r>
          <rPr>
            <sz val="9"/>
            <color indexed="81"/>
            <rFont val="Geneva"/>
          </rPr>
          <t xml:space="preserve">
Enter your effective (not marginal) tax rate for your firm. You will find this in your company's annual report. If you cannot, you can compute it as follows, from the income statement:
Effective tax rate = Taxes paid/ Taxable income
If your effective tax rate varies across years, you can use an average.</t>
        </r>
      </text>
    </comment>
    <comment ref="B21" authorId="0">
      <text>
        <r>
          <rPr>
            <b/>
            <sz val="9"/>
            <color indexed="81"/>
            <rFont val="Geneva"/>
          </rPr>
          <t>Aswath Damodaran:</t>
        </r>
        <r>
          <rPr>
            <sz val="9"/>
            <color indexed="81"/>
            <rFont val="Geneva"/>
          </rPr>
          <t xml:space="preserve">
This is a statutory tax rate. I use the tax rate of the country the company is domiciled in. See worksheet embedded in this spreadshseet for country tax rates.</t>
        </r>
      </text>
    </comment>
    <comment ref="B23" authorId="0">
      <text>
        <r>
          <rPr>
            <b/>
            <sz val="9"/>
            <color indexed="81"/>
            <rFont val="Geneva"/>
          </rPr>
          <t>Aswath Damodaran:</t>
        </r>
        <r>
          <rPr>
            <sz val="9"/>
            <color indexed="81"/>
            <rFont val="Geneva"/>
          </rPr>
          <t xml:space="preserve">
I don't have a crystal ball but you should look at 
a. Revenue growth in your company in recent years
b. Your company's revenues, relative to the overall market size and larger players in the sector. 
Suggestion: Check your revenues in year 10 against the overall market and see what market share are you giving your company. Check your company's revenues against other companies in the sector.
Note that this number can be negative for a declining firm.</t>
        </r>
      </text>
    </comment>
    <comment ref="B24" authorId="0">
      <text>
        <r>
          <rPr>
            <b/>
            <sz val="9"/>
            <color indexed="81"/>
            <rFont val="Geneva"/>
          </rPr>
          <t>Aswath Damodaran:</t>
        </r>
        <r>
          <rPr>
            <sz val="9"/>
            <color indexed="81"/>
            <rFont val="Geneva"/>
          </rPr>
          <t xml:space="preserve">
You should start by looking at your company's current pre-tax operating margin  but also look at the average for your industry. (You can check my estimates of industry averages in the last worksheet on this spreadsheet.) </t>
        </r>
      </text>
    </comment>
    <comment ref="B25" authorId="0">
      <text>
        <r>
          <rPr>
            <b/>
            <sz val="9"/>
            <color indexed="81"/>
            <rFont val="Geneva"/>
          </rPr>
          <t>Aswath Damodaran:</t>
        </r>
        <r>
          <rPr>
            <sz val="9"/>
            <color indexed="81"/>
            <rFont val="Geneva"/>
          </rPr>
          <t xml:space="preserve">
You are probably wondering what this is but it is how I compute how much you are going to reinvest to keep your business growing in future years. The higher you set this number, the more efficiently you are growing and the higher the value of your growth. Again, look at your company's current number (divide cell B3 by the sum of cells B5 and B6). Look at the industry averages as well in the worksheet.</t>
        </r>
      </text>
    </comment>
    <comment ref="B27" authorId="0">
      <text>
        <r>
          <rPr>
            <b/>
            <sz val="9"/>
            <color indexed="81"/>
            <rFont val="Geneva"/>
          </rPr>
          <t>Aswath Damodaran:</t>
        </r>
        <r>
          <rPr>
            <sz val="9"/>
            <color indexed="81"/>
            <rFont val="Geneva"/>
          </rPr>
          <t xml:space="preserve">
This should be today's long term riskfree rate. If you are working with a currency where the government has default risk, clean up the government bond rate to make it riskfree (by subtracting the default spread for the government).</t>
        </r>
      </text>
    </comment>
    <comment ref="B28" authorId="0">
      <text>
        <r>
          <rPr>
            <b/>
            <sz val="9"/>
            <color indexed="81"/>
            <rFont val="Geneva"/>
          </rPr>
          <t>Aswath Damodaran:</t>
        </r>
        <r>
          <rPr>
            <sz val="9"/>
            <color indexed="81"/>
            <rFont val="Geneva"/>
          </rPr>
          <t xml:space="preserve">
Enter the current cost of capital for your firm. If you don't know what it is, you can use the worksheet to compute it.</t>
        </r>
      </text>
    </comment>
    <comment ref="B31" authorId="0">
      <text>
        <r>
          <rPr>
            <b/>
            <sz val="9"/>
            <color indexed="81"/>
            <rFont val="Geneva"/>
          </rPr>
          <t>Aswath Damodaran:</t>
        </r>
        <r>
          <rPr>
            <sz val="9"/>
            <color indexed="81"/>
            <rFont val="Geneva"/>
          </rPr>
          <t xml:space="preserve">
Check your company's annual report or 10K. If it does have options outstanding, enter the total number here (vested and non vested, in the money and out…)</t>
        </r>
      </text>
    </comment>
    <comment ref="B32" authorId="0">
      <text>
        <r>
          <rPr>
            <b/>
            <sz val="9"/>
            <color indexed="81"/>
            <rFont val="Geneva"/>
          </rPr>
          <t>Aswath Damodaran:</t>
        </r>
        <r>
          <rPr>
            <sz val="9"/>
            <color indexed="81"/>
            <rFont val="Geneva"/>
          </rPr>
          <t xml:space="preserve">
Enter the weighted average strike price of your options. (Should be in your 10K or annual report.)</t>
        </r>
      </text>
    </comment>
    <comment ref="B33" authorId="0">
      <text>
        <r>
          <rPr>
            <b/>
            <sz val="9"/>
            <color indexed="81"/>
            <rFont val="Geneva"/>
          </rPr>
          <t>Aswath Damodaran:</t>
        </r>
        <r>
          <rPr>
            <sz val="9"/>
            <color indexed="81"/>
            <rFont val="Geneva"/>
          </rPr>
          <t xml:space="preserve">
The weighted average maturity of your options should be reported in your financial statements.</t>
        </r>
      </text>
    </comment>
    <comment ref="B34" authorId="0">
      <text>
        <r>
          <rPr>
            <b/>
            <sz val="9"/>
            <color indexed="81"/>
            <rFont val="Geneva"/>
          </rPr>
          <t>Aswath Damodaran:</t>
        </r>
        <r>
          <rPr>
            <sz val="9"/>
            <color indexed="81"/>
            <rFont val="Geneva"/>
          </rPr>
          <t xml:space="preserve">
If you have a standard deviation for your stock, enter that number. If not, use the industry average standard deviation from the worksheet.</t>
        </r>
      </text>
    </comment>
    <comment ref="B38" authorId="0">
      <text>
        <r>
          <rPr>
            <b/>
            <sz val="9"/>
            <color indexed="81"/>
            <rFont val="Geneva"/>
          </rPr>
          <t>Aswath Damodaran:</t>
        </r>
        <r>
          <rPr>
            <sz val="9"/>
            <color indexed="81"/>
            <rFont val="Geneva"/>
          </rPr>
          <t xml:space="preserve">
Mature companies tend to have costs of capital closer to the market average. While the riskfree rate + 4.5% is a close approximation of the average, you can use a slightly higher number (riskfree rate + 6%) for mature companies in riskier businesses and a slightly lower number (risfree rate + 4%) for safer companies.</t>
        </r>
      </text>
    </comment>
    <comment ref="B41" authorId="0">
      <text>
        <r>
          <rPr>
            <b/>
            <sz val="9"/>
            <color indexed="81"/>
            <rFont val="Geneva"/>
          </rPr>
          <t>Aswath Damodaran:</t>
        </r>
        <r>
          <rPr>
            <sz val="9"/>
            <color indexed="81"/>
            <rFont val="Geneva"/>
          </rPr>
          <t xml:space="preserve">
The default assumption is that competitive advantages will fade to zero over time. While this is a good assumption for many firms (about 7 in 10), there are some firms with sustainable competitive advantages (brand name, for instance), where the excess returns may continue beyond year 10. If your firm is one of those, you can enter a return on capital higher than your cost of capital in the cell below. Just don't get carried away. At the maximum, the excess return should not exceed 5% for a mature firm.</t>
        </r>
      </text>
    </comment>
    <comment ref="B42" authorId="0">
      <text>
        <r>
          <rPr>
            <b/>
            <sz val="9"/>
            <color indexed="81"/>
            <rFont val="Geneva"/>
          </rPr>
          <t>Aswath Damodaran:</t>
        </r>
        <r>
          <rPr>
            <sz val="9"/>
            <color indexed="81"/>
            <rFont val="Geneva"/>
          </rPr>
          <t xml:space="preserve">
Even if you believe your firm has significant competitive advantages, don't set this number to more than 5% more than your cost of capital. </t>
        </r>
      </text>
    </comment>
    <comment ref="B44" authorId="0">
      <text>
        <r>
          <rPr>
            <b/>
            <sz val="9"/>
            <color indexed="81"/>
            <rFont val="Geneva"/>
          </rPr>
          <t>Aswath Damodaran:</t>
        </r>
        <r>
          <rPr>
            <sz val="9"/>
            <color indexed="81"/>
            <rFont val="Geneva"/>
          </rPr>
          <t xml:space="preserve">
Companies at either end of the life cycle - young, growth and old, declining firms have a significant likelihood of failure. While we tend to ignore this in conventional DCF, it is worth thinking about whether you want to estimate a probability of failure. It is not easy to do but it can be done by looking at either history (with young, growth companies) or the debt market (with distressed companies).</t>
        </r>
      </text>
    </comment>
    <comment ref="B45" authorId="0">
      <text>
        <r>
          <rPr>
            <b/>
            <sz val="9"/>
            <color indexed="81"/>
            <rFont val="Geneva"/>
          </rPr>
          <t>Aswath Damodaran</t>
        </r>
        <r>
          <rPr>
            <sz val="9"/>
            <color indexed="81"/>
            <rFont val="Geneva"/>
          </rPr>
          <t xml:space="preserve">
If you want to look at ways of estimating this probability, try these papers I have on the topic:
For young growth companies: http://papers.ssrn.com/sol3/papers.cfm?abstract_id=1418687  
For declining, distressed companies: http://papers.ssrn.com/sol3/papers.cfm?abstract_id=1428022 </t>
        </r>
      </text>
    </comment>
    <comment ref="B46" authorId="0">
      <text>
        <r>
          <rPr>
            <b/>
            <sz val="9"/>
            <color indexed="81"/>
            <rFont val="Geneva"/>
          </rPr>
          <t>Aswath Damodaran:</t>
        </r>
        <r>
          <rPr>
            <sz val="9"/>
            <color indexed="81"/>
            <rFont val="Geneva"/>
          </rPr>
          <t xml:space="preserve">
If the firm fail and has to liquidate its assets, you need to specify what the liquidation proceeds will be tied to. For young growth companies, I would tie it to value and with distressed firms (especially ones with significant assets in place), I would use book value.</t>
        </r>
      </text>
    </comment>
    <comment ref="B47" authorId="0">
      <text>
        <r>
          <rPr>
            <b/>
            <sz val="9"/>
            <color indexed="81"/>
            <rFont val="Geneva"/>
          </rPr>
          <t>Aswath Damodaran:</t>
        </r>
        <r>
          <rPr>
            <sz val="9"/>
            <color indexed="81"/>
            <rFont val="Geneva"/>
          </rPr>
          <t xml:space="preserve">
You will generally not get 100% of fair value. How much less than 100% you get will depend on whether there are lots of potential buyers for your assets and how much of a hurry you are in to liquidate. It may well be zero for a young growth company with no tangible assets.</t>
        </r>
      </text>
    </comment>
    <comment ref="B49" authorId="0">
      <text>
        <r>
          <rPr>
            <b/>
            <sz val="9"/>
            <color indexed="81"/>
            <rFont val="Geneva"/>
          </rPr>
          <t>Aswath Damodaran:</t>
        </r>
        <r>
          <rPr>
            <sz val="9"/>
            <color indexed="81"/>
            <rFont val="Geneva"/>
          </rPr>
          <t xml:space="preserve">
Companies generally pay less than the marginal tax rate on their income. Some of that is due to tax deferral and others to quirks in the tax law. Over time, the conservative assumption is to require the tax rate to move towards the marginal tax rate. However, if you believe that your firm's tax benefits are permanent, you can override this assumption.</t>
        </r>
      </text>
    </comment>
    <comment ref="B51" authorId="0">
      <text>
        <r>
          <rPr>
            <b/>
            <sz val="9"/>
            <color indexed="81"/>
            <rFont val="Geneva"/>
          </rPr>
          <t>Aswath Damodaran:</t>
        </r>
        <r>
          <rPr>
            <sz val="9"/>
            <color indexed="81"/>
            <rFont val="Geneva"/>
          </rPr>
          <t xml:space="preserve">
If your company has been losing money for a while, there will be accumulated losses from prior periods. Check your financial statements.</t>
        </r>
      </text>
    </comment>
    <comment ref="B52" authorId="0">
      <text>
        <r>
          <rPr>
            <b/>
            <sz val="9"/>
            <color indexed="81"/>
            <rFont val="Geneva"/>
          </rPr>
          <t>Aswath Damodaran:</t>
        </r>
        <r>
          <rPr>
            <sz val="9"/>
            <color indexed="81"/>
            <rFont val="Geneva"/>
          </rPr>
          <t xml:space="preserve">
This is the NOL from prior years carried forward into this year.</t>
        </r>
      </text>
    </comment>
  </commentList>
</comments>
</file>

<file path=xl/comments2.xml><?xml version="1.0" encoding="utf-8"?>
<comments xmlns="http://schemas.openxmlformats.org/spreadsheetml/2006/main">
  <authors>
    <author>Aswath Damodaran</author>
  </authors>
  <commentList>
    <comment ref="D40" authorId="0">
      <text>
        <r>
          <rPr>
            <b/>
            <sz val="9"/>
            <color indexed="81"/>
            <rFont val="Geneva"/>
          </rPr>
          <t>Aswath Damodaran:</t>
        </r>
        <r>
          <rPr>
            <sz val="9"/>
            <color indexed="81"/>
            <rFont val="Geneva"/>
          </rPr>
          <t xml:space="preserve">
By expensing R&amp;D rather than capitalizing it, the firm gets a tax benefit. This is the dollar value of that tax benefit.</t>
        </r>
      </text>
    </comment>
  </commentList>
</comments>
</file>

<file path=xl/comments3.xml><?xml version="1.0" encoding="utf-8"?>
<comments xmlns="http://schemas.openxmlformats.org/spreadsheetml/2006/main">
  <authors>
    <author>Aswath Damodaran</author>
  </authors>
  <commentList>
    <comment ref="B9" authorId="0">
      <text>
        <r>
          <rPr>
            <b/>
            <sz val="9"/>
            <color indexed="81"/>
            <rFont val="Geneva"/>
          </rPr>
          <t>Aswath Damodaran:</t>
        </r>
        <r>
          <rPr>
            <sz val="9"/>
            <color indexed="81"/>
            <rFont val="Geneva"/>
          </rPr>
          <t xml:space="preserve">
Use a sector average beta, if need be.</t>
        </r>
      </text>
    </comment>
    <comment ref="B11" authorId="0">
      <text>
        <r>
          <rPr>
            <b/>
            <sz val="9"/>
            <color indexed="81"/>
            <rFont val="Geneva"/>
          </rPr>
          <t>Aswath Damodaran:</t>
        </r>
        <r>
          <rPr>
            <sz val="9"/>
            <color indexed="81"/>
            <rFont val="Geneva"/>
          </rPr>
          <t xml:space="preserve">
If you pick operating regions or countries, please input the revenues by country or region in the table to the right.</t>
        </r>
      </text>
    </comment>
    <comment ref="B13" authorId="0">
      <text>
        <r>
          <rPr>
            <b/>
            <sz val="9"/>
            <color indexed="81"/>
            <rFont val="Geneva"/>
          </rPr>
          <t>Aswath Damodaran:</t>
        </r>
        <r>
          <rPr>
            <sz val="9"/>
            <color indexed="81"/>
            <rFont val="Geneva"/>
          </rPr>
          <t xml:space="preserve">
If your company has risk exposure in emergiing markets, incorporate that risk premiums here. See worksheet on country risk premiums.</t>
        </r>
      </text>
    </comment>
    <comment ref="B17" authorId="0">
      <text>
        <r>
          <rPr>
            <b/>
            <sz val="9"/>
            <color indexed="81"/>
            <rFont val="Geneva"/>
          </rPr>
          <t>Aswath Damodaran:</t>
        </r>
        <r>
          <rPr>
            <sz val="9"/>
            <color indexed="81"/>
            <rFont val="Geneva"/>
          </rPr>
          <t xml:space="preserve">
Interest expense (gross) from most recent financial statement.</t>
        </r>
      </text>
    </comment>
    <comment ref="B18" authorId="0">
      <text>
        <r>
          <rPr>
            <b/>
            <sz val="9"/>
            <color indexed="81"/>
            <rFont val="Geneva"/>
          </rPr>
          <t>Aswath Damodaran:</t>
        </r>
        <r>
          <rPr>
            <sz val="9"/>
            <color indexed="81"/>
            <rFont val="Geneva"/>
          </rPr>
          <t xml:space="preserve">
Generally found in footnotes to financial statements.</t>
        </r>
      </text>
    </comment>
    <comment ref="B22" authorId="0">
      <text>
        <r>
          <rPr>
            <b/>
            <sz val="9"/>
            <color indexed="81"/>
            <rFont val="Geneva"/>
          </rPr>
          <t>Aswath Damodaran:</t>
        </r>
        <r>
          <rPr>
            <sz val="9"/>
            <color indexed="81"/>
            <rFont val="Geneva"/>
          </rPr>
          <t xml:space="preserve">
1: Large market cap (&gt;$5 billion) and safe.
2: Small market cap (&lt;$5 billion) or risky.
If company has volatile earnings or is in risky business, use 2, even if large market cap.</t>
        </r>
      </text>
    </comment>
    <comment ref="B23" authorId="0">
      <text>
        <r>
          <rPr>
            <b/>
            <sz val="9"/>
            <color indexed="81"/>
            <rFont val="Geneva"/>
          </rPr>
          <t>Aswath Damodaran:</t>
        </r>
        <r>
          <rPr>
            <sz val="9"/>
            <color indexed="81"/>
            <rFont val="Geneva"/>
          </rPr>
          <t xml:space="preserve">
Current, long term cost of borrowing money. If you have a rating use it, if not use a synthetic rating. See the worksheet attached.</t>
        </r>
      </text>
    </comment>
  </commentList>
</comments>
</file>

<file path=xl/comments4.xml><?xml version="1.0" encoding="utf-8"?>
<comments xmlns="http://schemas.openxmlformats.org/spreadsheetml/2006/main">
  <authors>
    <author>Aswath Damodaran</author>
  </authors>
  <commentList>
    <comment ref="F5" authorId="0">
      <text>
        <r>
          <rPr>
            <b/>
            <sz val="9"/>
            <color indexed="81"/>
            <rFont val="Geneva"/>
          </rPr>
          <t>Aswath Damodaran:</t>
        </r>
        <r>
          <rPr>
            <sz val="9"/>
            <color indexed="81"/>
            <rFont val="Geneva"/>
          </rPr>
          <t xml:space="preserve">
If your most recent year's operating income is unusually low or high, you can use the average operating income from the last few years. </t>
        </r>
      </text>
    </comment>
    <comment ref="F6" authorId="0">
      <text>
        <r>
          <rPr>
            <b/>
            <sz val="9"/>
            <color indexed="81"/>
            <rFont val="Geneva"/>
          </rPr>
          <t>Aswath Damodaran:</t>
        </r>
        <r>
          <rPr>
            <sz val="9"/>
            <color indexed="81"/>
            <rFont val="Geneva"/>
          </rPr>
          <t xml:space="preserve">
Enter the interest expense from the most recent income statement.</t>
        </r>
      </text>
    </comment>
    <comment ref="F7" authorId="0">
      <text>
        <r>
          <rPr>
            <b/>
            <sz val="9"/>
            <color indexed="81"/>
            <rFont val="Geneva"/>
          </rPr>
          <t>Aswath Damodaran:</t>
        </r>
        <r>
          <rPr>
            <sz val="9"/>
            <color indexed="81"/>
            <rFont val="Geneva"/>
          </rPr>
          <t xml:space="preserve">
I use a 10 year government bond rate.</t>
        </r>
      </text>
    </comment>
  </commentList>
</comments>
</file>

<file path=xl/sharedStrings.xml><?xml version="1.0" encoding="utf-8"?>
<sst xmlns="http://schemas.openxmlformats.org/spreadsheetml/2006/main" count="1325" uniqueCount="715">
  <si>
    <t>If calculated value is negative or looks too low</t>
    <phoneticPr fontId="5" type="noConversion"/>
  </si>
  <si>
    <t>If calculated value looks too high</t>
    <phoneticPr fontId="5" type="noConversion"/>
  </si>
  <si>
    <t>Increase revenue growth rate</t>
    <phoneticPr fontId="5" type="noConversion"/>
  </si>
  <si>
    <t>Decrease revenue growth rate</t>
    <phoneticPr fontId="5" type="noConversion"/>
  </si>
  <si>
    <t>Marginal ROIC over 10 years</t>
    <phoneticPr fontId="5" type="noConversion"/>
  </si>
  <si>
    <t>ROIC at end of valuation</t>
    <phoneticPr fontId="5" type="noConversion"/>
  </si>
  <si>
    <t>Inputs</t>
  </si>
  <si>
    <t>Invested capital at start of valuation</t>
    <phoneticPr fontId="5" type="noConversion"/>
  </si>
  <si>
    <t>Invested capital at end of valuation</t>
    <phoneticPr fontId="5" type="noConversion"/>
  </si>
  <si>
    <t>Change in invested capital over 10 years</t>
    <phoneticPr fontId="5" type="noConversion"/>
  </si>
  <si>
    <t>Change in EBIT*(1–t) (after-tax operating income) over 10 years</t>
    <phoneticPr fontId="5" type="noConversion"/>
  </si>
  <si>
    <t>Revenues</t>
  </si>
  <si>
    <t>EBIT(1-t)</t>
  </si>
  <si>
    <t>Number of shares</t>
    <phoneticPr fontId="4" type="noConversion"/>
  </si>
  <si>
    <t>Base year</t>
    <phoneticPr fontId="4" type="noConversion"/>
  </si>
  <si>
    <t xml:space="preserve"> - Reinvestment</t>
    <phoneticPr fontId="4" type="noConversion"/>
  </si>
  <si>
    <t>FCFF</t>
  </si>
  <si>
    <t>Pre-tax Operating Margin</t>
  </si>
  <si>
    <t>Implied variables</t>
    <phoneticPr fontId="4" type="noConversion"/>
  </si>
  <si>
    <t>Invested capital</t>
    <phoneticPr fontId="4" type="noConversion"/>
  </si>
  <si>
    <t>ROIC</t>
    <phoneticPr fontId="4" type="noConversion"/>
  </si>
  <si>
    <t>Revenue growth rate</t>
    <phoneticPr fontId="4" type="noConversion"/>
  </si>
  <si>
    <t>PV(FCFF)</t>
    <phoneticPr fontId="4" type="noConversion"/>
  </si>
  <si>
    <t>Terminal cash flow</t>
    <phoneticPr fontId="4" type="noConversion"/>
  </si>
  <si>
    <t>Terminal value</t>
    <phoneticPr fontId="4" type="noConversion"/>
  </si>
  <si>
    <t>PV(Terminal value)</t>
    <phoneticPr fontId="4" type="noConversion"/>
  </si>
  <si>
    <t>EBIT (Operating income)</t>
    <phoneticPr fontId="4" type="noConversion"/>
  </si>
  <si>
    <t>EBIT (Operating) margin</t>
    <phoneticPr fontId="4" type="noConversion"/>
  </si>
  <si>
    <t>Riskfree rate</t>
    <phoneticPr fontId="5" type="noConversion"/>
  </si>
  <si>
    <t>Your calculated value as a percent of current price</t>
    <phoneticPr fontId="5" type="noConversion"/>
  </si>
  <si>
    <t>Operating income or EBIT</t>
  </si>
  <si>
    <t>Book value of equity</t>
  </si>
  <si>
    <t>Book value of debt</t>
  </si>
  <si>
    <t>Number of shares outstanding =</t>
  </si>
  <si>
    <t>Current stock price =</t>
  </si>
  <si>
    <t>Company name</t>
  </si>
  <si>
    <t>The value drivers below:</t>
  </si>
  <si>
    <t xml:space="preserve">Market numbers </t>
  </si>
  <si>
    <t>Sales to capital ratio  (for computing reinvestment) =</t>
  </si>
  <si>
    <t>Sales to capital ratio</t>
  </si>
  <si>
    <t>Initial cost of capital =</t>
  </si>
  <si>
    <t>Do you want to override this assumption =</t>
  </si>
  <si>
    <t>If yes, enter the return on capital you expect after year 10</t>
  </si>
  <si>
    <t>If yes, enter the cost of capital after year 10 =</t>
  </si>
  <si>
    <t>After year 10</t>
  </si>
  <si>
    <t>Value of operating assets =</t>
  </si>
  <si>
    <t>Terminal year</t>
  </si>
  <si>
    <t>PV (CF over next 10 years)</t>
  </si>
  <si>
    <t>Sum of PV</t>
  </si>
  <si>
    <t>NOL</t>
  </si>
  <si>
    <t>Compounded annual revenue growth rate over next 5 years =</t>
  </si>
  <si>
    <t>If yes, enter the NOL that you are carrying over into year 1</t>
  </si>
  <si>
    <t>Target pre-tax operating margin (EBIT as % of sales in year 10) =</t>
  </si>
  <si>
    <t>Price as % of value</t>
  </si>
  <si>
    <t>No</t>
  </si>
  <si>
    <t>Value of equity</t>
  </si>
  <si>
    <t>Mature companies find it difficult to generate returns that exceed the cost of capital</t>
  </si>
  <si>
    <t>Mature companies generally see their risk levels approach the average</t>
  </si>
  <si>
    <t>Tough to estimate but a key input.</t>
  </si>
  <si>
    <t>Check the financial statements.</t>
  </si>
  <si>
    <t>Yes</t>
  </si>
  <si>
    <t xml:space="preserve"> - Value of options</t>
  </si>
  <si>
    <t>Value of equity in common stock</t>
  </si>
  <si>
    <t>Valuing Options or Warrants</t>
  </si>
  <si>
    <t>Enter the current stock price =</t>
  </si>
  <si>
    <t>Enter the strike price on the option =</t>
  </si>
  <si>
    <t>Enter the expiration of the option =</t>
  </si>
  <si>
    <t>Enter the standard deviation in stock prices =</t>
  </si>
  <si>
    <t>(volatility)</t>
  </si>
  <si>
    <t>Enter the annualized dividend yield on stock =</t>
  </si>
  <si>
    <t>Enter the treasury bond rate =</t>
  </si>
  <si>
    <t>Enter the number of warrants (options) outstanding =</t>
  </si>
  <si>
    <t>Enter the number of shares outstanding =</t>
  </si>
  <si>
    <t>Do not input any numbers below this line</t>
  </si>
  <si>
    <t>VALUING WARRANTS WHEN THERE IS DILUTION</t>
  </si>
  <si>
    <t>Stock Price=</t>
  </si>
  <si>
    <t># Warrants issued=</t>
  </si>
  <si>
    <t>Strike Price=</t>
  </si>
  <si>
    <t># Shares outstanding=</t>
  </si>
  <si>
    <t>Adjusted S =</t>
  </si>
  <si>
    <t>T.Bond rate=</t>
  </si>
  <si>
    <t>Adjusted K =</t>
  </si>
  <si>
    <t>Variance=</t>
  </si>
  <si>
    <t>Expiration (in years) =</t>
  </si>
  <si>
    <t>Annualized dividend yield=</t>
  </si>
  <si>
    <t>Div. Adj. interest rate=</t>
  </si>
  <si>
    <t xml:space="preserve">d1 = </t>
  </si>
  <si>
    <t>N (d1) =</t>
  </si>
  <si>
    <t xml:space="preserve">d2 = </t>
  </si>
  <si>
    <t>N (d2) =</t>
  </si>
  <si>
    <t xml:space="preserve">Value per option = </t>
  </si>
  <si>
    <t>Value of all options outstanding =</t>
  </si>
  <si>
    <t>Other inputs</t>
  </si>
  <si>
    <t>Number of options outstanding =</t>
  </si>
  <si>
    <t>Average strike price =</t>
  </si>
  <si>
    <t>Average maturity =</t>
  </si>
  <si>
    <t>Standard deviation on stock price =</t>
  </si>
  <si>
    <t>Estimated value /share</t>
  </si>
  <si>
    <t>VALUATION DIAGNOSTICS</t>
  </si>
  <si>
    <t>Industry Name</t>
  </si>
  <si>
    <t>Advertising</t>
  </si>
  <si>
    <t>Aerospace/Defense</t>
  </si>
  <si>
    <t>Air Transport</t>
  </si>
  <si>
    <t>Apparel</t>
  </si>
  <si>
    <t>Auto Parts</t>
  </si>
  <si>
    <t>Automotive</t>
  </si>
  <si>
    <t>Bank</t>
  </si>
  <si>
    <t>Bank (Midwest)</t>
  </si>
  <si>
    <t>Beverage</t>
  </si>
  <si>
    <t>Biotechnology</t>
  </si>
  <si>
    <t>Building Materials</t>
  </si>
  <si>
    <t>Cable TV</t>
  </si>
  <si>
    <t>Chemical (Basic)</t>
  </si>
  <si>
    <t>Chemical (Diversified)</t>
  </si>
  <si>
    <t>Chemical (Specialty)</t>
  </si>
  <si>
    <t>Coal</t>
  </si>
  <si>
    <t>Computers/Peripherals</t>
  </si>
  <si>
    <t>Diversified Co.</t>
  </si>
  <si>
    <t>Drug</t>
  </si>
  <si>
    <t>E-Commerce</t>
  </si>
  <si>
    <t>Educational Services</t>
  </si>
  <si>
    <t>Electric Util. (Central)</t>
  </si>
  <si>
    <t>Electric Utility (East)</t>
  </si>
  <si>
    <t>Electric Utility (West)</t>
  </si>
  <si>
    <t>Electrical Equipment</t>
  </si>
  <si>
    <t>Electronics</t>
  </si>
  <si>
    <t>Engineering &amp; Const</t>
  </si>
  <si>
    <t>Entertainment</t>
  </si>
  <si>
    <t>Entertainment Tech</t>
  </si>
  <si>
    <t>Environmental</t>
  </si>
  <si>
    <t>Financial Svcs. (Div.)</t>
  </si>
  <si>
    <t>Food Processing</t>
  </si>
  <si>
    <t>Foreign Electronics</t>
  </si>
  <si>
    <t>Funeral Services</t>
  </si>
  <si>
    <t>Furn/Home Furnishings</t>
  </si>
  <si>
    <t>Healthcare Information</t>
  </si>
  <si>
    <t>Homebuilding</t>
  </si>
  <si>
    <t>Hotel/Gaming</t>
  </si>
  <si>
    <t>Household Products</t>
  </si>
  <si>
    <t>Human Resources</t>
  </si>
  <si>
    <t>Industrial Services</t>
  </si>
  <si>
    <t>Information Services</t>
  </si>
  <si>
    <t>Insurance (Life)</t>
  </si>
  <si>
    <t>Insurance (Prop/Cas.)</t>
  </si>
  <si>
    <t>Internet</t>
  </si>
  <si>
    <t>Machinery</t>
  </si>
  <si>
    <t>Maritime</t>
  </si>
  <si>
    <t>Medical Services</t>
  </si>
  <si>
    <t>Metal Fabricating</t>
  </si>
  <si>
    <t>Metals &amp; Mining (Div.)</t>
  </si>
  <si>
    <t>Natural Gas (Div.)</t>
  </si>
  <si>
    <t>Natural Gas Utility</t>
  </si>
  <si>
    <t>Newspaper</t>
  </si>
  <si>
    <t>Office Equip/Supplies</t>
  </si>
  <si>
    <t>Oil/Gas Distribution</t>
  </si>
  <si>
    <t>Oilfield Svcs/Equip.</t>
  </si>
  <si>
    <t>Packaging &amp; Container</t>
  </si>
  <si>
    <t>Paper/Forest Products</t>
  </si>
  <si>
    <t>Petroleum (Integrated)</t>
  </si>
  <si>
    <t>Petroleum (Producing)</t>
  </si>
  <si>
    <t>Pharmacy Services</t>
  </si>
  <si>
    <t>Pipeline MLPs</t>
  </si>
  <si>
    <t>Power</t>
  </si>
  <si>
    <t>Precious Metals</t>
  </si>
  <si>
    <t>Precision Instrument</t>
  </si>
  <si>
    <t>Public/Private Equity</t>
  </si>
  <si>
    <t>Publishing</t>
  </si>
  <si>
    <t>R.E.I.T.</t>
  </si>
  <si>
    <t>Railroad</t>
  </si>
  <si>
    <t>Recreation</t>
  </si>
  <si>
    <t>Reinsurance</t>
  </si>
  <si>
    <t>Restaurant</t>
  </si>
  <si>
    <t>Retail Automotive</t>
  </si>
  <si>
    <t>Retail Building Supply</t>
  </si>
  <si>
    <t>Retail Store</t>
  </si>
  <si>
    <t>Retail/Wholesale Food</t>
  </si>
  <si>
    <t>Securities Brokerage</t>
  </si>
  <si>
    <t>Semiconductor</t>
  </si>
  <si>
    <t>Semiconductor Equip</t>
  </si>
  <si>
    <t>Shoe</t>
  </si>
  <si>
    <t>Telecom. Equipment</t>
  </si>
  <si>
    <t>Telecom. Services</t>
  </si>
  <si>
    <t>Telecom. Utility</t>
  </si>
  <si>
    <t>Thrift</t>
  </si>
  <si>
    <t>Tobacco</t>
  </si>
  <si>
    <t>Toiletries/Cosmetics</t>
  </si>
  <si>
    <t>Trucking</t>
  </si>
  <si>
    <t>Water Utility</t>
  </si>
  <si>
    <t>Wireless Networking</t>
  </si>
  <si>
    <t>NA</t>
  </si>
  <si>
    <t>Sales/Capital</t>
  </si>
  <si>
    <t>There should be a check against the iteration box. If there is not, you will get circular reasoning errors.</t>
  </si>
  <si>
    <t>Price</t>
  </si>
  <si>
    <t>B</t>
  </si>
  <si>
    <t>B: Book value of capital, V= Estimated fair value for the company</t>
  </si>
  <si>
    <t>Effective tax rate =</t>
  </si>
  <si>
    <t>Marginal tax rate =</t>
  </si>
  <si>
    <t xml:space="preserve">Default assumptions. </t>
  </si>
  <si>
    <t>In stable growth, I will assume that your firm will have a cost of capital similar to that of typical mature companies (riskfree rate + 4.5%)</t>
  </si>
  <si>
    <t>I will assume that your firm will earn a return on capital equal to its cost of capital after year 10. I am assuming that whatever competitive advantages you have today will fade over time.</t>
  </si>
  <si>
    <t>If yes, enter the probability of failure =</t>
  </si>
  <si>
    <t>Probability of failure =</t>
  </si>
  <si>
    <t>Proceeds if firm fails =</t>
  </si>
  <si>
    <t>What do you want to tie your proceeds in failure to?</t>
  </si>
  <si>
    <t>This can be zero, if the assets will be worth nothing if the firm fails.</t>
  </si>
  <si>
    <t>Many young, growth companies fail, especially if they have trouble raising cash. Many distressed companies fail, because they have trouble making debt payments.</t>
  </si>
  <si>
    <t>Operating Lease Converter</t>
  </si>
  <si>
    <t>Operating lease expense in current year =</t>
  </si>
  <si>
    <t>Operating Lease Commitments (From footnote to financials)</t>
  </si>
  <si>
    <t>Year</t>
  </si>
  <si>
    <t>Commitment</t>
  </si>
  <si>
    <t>! Year 1 is next year, ….</t>
  </si>
  <si>
    <t>6 and beyond</t>
  </si>
  <si>
    <t>Output</t>
  </si>
  <si>
    <t>Pre-tax Cost of Debt =</t>
  </si>
  <si>
    <t>Number of years embedded in yr 6 estimate =</t>
  </si>
  <si>
    <t>! I use the average lease expense over the first five years</t>
  </si>
  <si>
    <t>to estimate the number of years of expenses in yr 6</t>
  </si>
  <si>
    <t>Converting Operating Leases into debt</t>
  </si>
  <si>
    <t>Present Value</t>
  </si>
  <si>
    <t>! Commitment beyond year 6 converted into an annuity for ten years</t>
  </si>
  <si>
    <t>Debt Value of leases =</t>
  </si>
  <si>
    <t>Restated Financials</t>
  </si>
  <si>
    <t>Depreciation on Operating Lease Asset =</t>
  </si>
  <si>
    <t>! I use straight line depreciation</t>
  </si>
  <si>
    <t>Adjustment to Operating Earnings =</t>
  </si>
  <si>
    <t>Adjustment to Total Debt outstanding =</t>
  </si>
  <si>
    <t>! Add this amount to pre-tax operating income</t>
  </si>
  <si>
    <t>! Add this amount to debt</t>
  </si>
  <si>
    <t>I will assume that you have no losses carried forward from prior years ( NOL) coming into the valuation. If you have a money losing company, you may want to override tis.</t>
  </si>
  <si>
    <t>I will assume that your firm has no chance of failure over the foreseeable future.</t>
  </si>
  <si>
    <t>Tax rate</t>
  </si>
  <si>
    <t>I will assume that your effective tax rate will adjust to your marginal tax rate by your terminal year. If you override this assumption, I will leave the tax rate at your effective tax rate.</t>
  </si>
  <si>
    <t>Terminal cost of capital</t>
  </si>
  <si>
    <t>Though some sectors, even in stable growth, may have higher risk.</t>
  </si>
  <si>
    <t>But there are significant exceptions among companies with long-lasting competitive advantages.</t>
  </si>
  <si>
    <t>An NOL will shield your income from taxes, even after you start making money.</t>
  </si>
  <si>
    <t>Cost of capital</t>
  </si>
  <si>
    <t>Cumulated discount factor</t>
  </si>
  <si>
    <t>Decrease the sales/capital ratio</t>
  </si>
  <si>
    <t>Increase the sales/capital ratio</t>
  </si>
  <si>
    <t>Increase the target pre-tax operating margin</t>
  </si>
  <si>
    <t>Decrease the target pre-tax operating margin</t>
  </si>
  <si>
    <t>Revenue growth rate (input cell B3)</t>
  </si>
  <si>
    <t>Last period EBIT as % of revenue (Input cell B14)</t>
  </si>
  <si>
    <t>Sales to Capital Ratio or reinvestment (Input cell B15)</t>
  </si>
  <si>
    <t>Increase relative to your cost of capital</t>
  </si>
  <si>
    <t>If higher than your cost of capital, lower towards your cost of capital</t>
  </si>
  <si>
    <t xml:space="preserve"> </t>
  </si>
  <si>
    <t>T</t>
  </si>
  <si>
    <t>Return on capital in perpetuity (B30 &amp; B31)</t>
  </si>
  <si>
    <t>The yellow cells are input cells. Please enter them.</t>
  </si>
  <si>
    <t>Annual Average Revenue growth - Last 5 years</t>
  </si>
  <si>
    <t>Average effective tax rate</t>
  </si>
  <si>
    <t>Equity (Levered) Beta</t>
  </si>
  <si>
    <t>Cost of equity</t>
  </si>
  <si>
    <t>Std deviation in stock prices</t>
  </si>
  <si>
    <t>Pre-tax cost of debt</t>
  </si>
  <si>
    <t>Market Debt/Capital</t>
  </si>
  <si>
    <t>EV/Sales</t>
  </si>
  <si>
    <t>EV/EBITDA</t>
  </si>
  <si>
    <t>EV/EBIT</t>
  </si>
  <si>
    <t>Price/Book</t>
  </si>
  <si>
    <t>Trailing PE</t>
  </si>
  <si>
    <t>Number of firms</t>
  </si>
  <si>
    <t>Computer Software</t>
  </si>
  <si>
    <t>Heavy Truck &amp; Equip</t>
  </si>
  <si>
    <t>IT Services</t>
  </si>
  <si>
    <t>Med Supp Invasive</t>
  </si>
  <si>
    <t>Med Supp Non-Invasive</t>
  </si>
  <si>
    <t>Retail (Hardlines)</t>
  </si>
  <si>
    <t>Retail (Softlines)</t>
  </si>
  <si>
    <t>Steel</t>
  </si>
  <si>
    <t>Revenue growth in the most recent year =</t>
  </si>
  <si>
    <t>Pre-tax operating margin in the most recent year =</t>
  </si>
  <si>
    <t>Sales to capital ratio in most recent year =</t>
  </si>
  <si>
    <t>Return on invested capital in most recent year=</t>
  </si>
  <si>
    <t>This year</t>
  </si>
  <si>
    <t>Last year</t>
  </si>
  <si>
    <t>After-tax ROC</t>
  </si>
  <si>
    <t>Estimation of Current Cost of Capital</t>
  </si>
  <si>
    <t>Equity</t>
  </si>
  <si>
    <t>Number of Shares outstanding =</t>
  </si>
  <si>
    <t>Current Market Price per share =</t>
  </si>
  <si>
    <t>Riskfree Rate =</t>
  </si>
  <si>
    <t>Debt</t>
  </si>
  <si>
    <t>Book Value of Straight Debt =</t>
  </si>
  <si>
    <t>Interest Expense on Debt =</t>
  </si>
  <si>
    <t>Average Maturity =</t>
  </si>
  <si>
    <t>Tax Rate =</t>
  </si>
  <si>
    <t>Book Value of Convertible Debt =</t>
  </si>
  <si>
    <t>Interest Expense on Convertible =</t>
  </si>
  <si>
    <t>Maturity of Convertible Bond =</t>
  </si>
  <si>
    <t>Market Value of Convertible =</t>
  </si>
  <si>
    <t>Debt value of operating leases =</t>
  </si>
  <si>
    <t>Preferred Stock</t>
  </si>
  <si>
    <t>Number of Preferred Shares =</t>
  </si>
  <si>
    <t>Current Market Price per Share=</t>
  </si>
  <si>
    <t>Annual Dividend per Share =</t>
  </si>
  <si>
    <t>Estimating Market Value of Straight Debt =</t>
  </si>
  <si>
    <t>Estimated Value of Straight Debt in Convertible =</t>
  </si>
  <si>
    <t>Value of Debt in Operating leases =</t>
  </si>
  <si>
    <t>Estimated Value of Equity in Convertible =</t>
  </si>
  <si>
    <t xml:space="preserve">Debt </t>
  </si>
  <si>
    <t>Capital</t>
  </si>
  <si>
    <t>Market Value</t>
  </si>
  <si>
    <t>Weight in Cost of Capital</t>
  </si>
  <si>
    <t>Cost of Component</t>
  </si>
  <si>
    <t>Unlevered beta =</t>
  </si>
  <si>
    <t>Unlevered Beta</t>
  </si>
  <si>
    <t>Levered Beta for equity =</t>
  </si>
  <si>
    <t>Inputs for synthetic rating estimation</t>
  </si>
  <si>
    <t>Please read the special cases worksheet (see below) before you use this spreadsheet.</t>
  </si>
  <si>
    <t>Before you use this spreadsheet, make sure that the iteration box (under calculation options in excel) is checked.</t>
  </si>
  <si>
    <t>Enter the type of firm =</t>
  </si>
  <si>
    <t>Enter current Earnings before interest and taxes (EBIT) =</t>
  </si>
  <si>
    <t>(Add back only long term interest expense for financial firms)</t>
  </si>
  <si>
    <t>Enter current interest expenses =</t>
  </si>
  <si>
    <t>(Use only long term interest expense for financial firms)</t>
  </si>
  <si>
    <t>Interest  coverage ratio =</t>
  </si>
  <si>
    <t>Estimated Bond Rating =</t>
  </si>
  <si>
    <t>Note: If you get REF! All over the place, set the operating lease commitment question in cell F5</t>
  </si>
  <si>
    <t>to No, and then reset it to Yes. It should work.</t>
  </si>
  <si>
    <t>Estimated Cost of Debt =</t>
  </si>
  <si>
    <t xml:space="preserve"> If you want to update the spreads listed below, please visit http://www.bondsonline.com</t>
    <phoneticPr fontId="8"/>
  </si>
  <si>
    <t>For large manufacturing firms</t>
  </si>
  <si>
    <t>If interest coverage ratio is</t>
  </si>
  <si>
    <t>&gt;</t>
  </si>
  <si>
    <t>≤ to</t>
  </si>
  <si>
    <t>Rating is</t>
  </si>
  <si>
    <t>Spread is</t>
  </si>
  <si>
    <t>greater than</t>
  </si>
  <si>
    <t>For smaller and riskier firms</t>
  </si>
  <si>
    <t>Enter long term risk free rate  =</t>
  </si>
  <si>
    <t>! If you do not have a cost of debt, use the synthetic rating estimator</t>
  </si>
  <si>
    <t>V</t>
  </si>
  <si>
    <t>Enter the distress proceeds as percentage of book or fair value</t>
  </si>
  <si>
    <t>Average WACC over the 10 years (compounded)</t>
  </si>
  <si>
    <t>Company</t>
  </si>
  <si>
    <t>Yes/No</t>
  </si>
  <si>
    <t>Industry (US data)</t>
  </si>
  <si>
    <t>Book or Market Value</t>
  </si>
  <si>
    <t>Computed numbers: Here is what your company's numbers look like, relative to industry.</t>
  </si>
  <si>
    <t>Do you have operating lease commitments?</t>
  </si>
  <si>
    <t>Cash and cross holdings</t>
  </si>
  <si>
    <t>Do you have employee options outstanding?</t>
  </si>
  <si>
    <t>If you have operating leases, please enter your lease commitments in the lease worksheet below and I will convert to debt</t>
  </si>
  <si>
    <t>Albania</t>
  </si>
  <si>
    <t>Angola</t>
  </si>
  <si>
    <t>Argentina</t>
  </si>
  <si>
    <t>Armenia</t>
  </si>
  <si>
    <t>Aruba</t>
  </si>
  <si>
    <t>Australia</t>
  </si>
  <si>
    <t>Austria</t>
  </si>
  <si>
    <t>Bahamas</t>
  </si>
  <si>
    <t>Bahrain</t>
  </si>
  <si>
    <t>Bangladesh</t>
  </si>
  <si>
    <t>Barbados</t>
  </si>
  <si>
    <t>Belarus</t>
  </si>
  <si>
    <t>Belgium</t>
  </si>
  <si>
    <t>Bermuda</t>
  </si>
  <si>
    <t>Bolivia</t>
  </si>
  <si>
    <t>Bosnia and Herzegovina</t>
  </si>
  <si>
    <t>Botswana</t>
  </si>
  <si>
    <t>Brazil</t>
  </si>
  <si>
    <t>Bulgaria</t>
  </si>
  <si>
    <t>Cambodia</t>
  </si>
  <si>
    <t>Canada</t>
  </si>
  <si>
    <t>Cayman Islands</t>
  </si>
  <si>
    <t>Chile</t>
  </si>
  <si>
    <t>China</t>
  </si>
  <si>
    <t>Colombia</t>
  </si>
  <si>
    <t>Costa Rica</t>
  </si>
  <si>
    <t>Croatia</t>
  </si>
  <si>
    <t>Curacao</t>
  </si>
  <si>
    <t>Cyprus</t>
  </si>
  <si>
    <t>Czech Republic</t>
  </si>
  <si>
    <t>Denmark</t>
  </si>
  <si>
    <t>Dominican Republic</t>
  </si>
  <si>
    <t>Ecuador</t>
  </si>
  <si>
    <t>Egypt</t>
  </si>
  <si>
    <t>Estonia</t>
  </si>
  <si>
    <t>Fiji</t>
  </si>
  <si>
    <t>Finland</t>
  </si>
  <si>
    <t>France</t>
  </si>
  <si>
    <t>Germany</t>
  </si>
  <si>
    <t>Greece</t>
  </si>
  <si>
    <t>Guatemala</t>
  </si>
  <si>
    <t>Honduras</t>
  </si>
  <si>
    <t>Hong Kong</t>
  </si>
  <si>
    <t>Hungary</t>
  </si>
  <si>
    <t>Iceland</t>
  </si>
  <si>
    <t>India</t>
  </si>
  <si>
    <t>Indonesia</t>
  </si>
  <si>
    <t>Ireland</t>
  </si>
  <si>
    <t>Isle of Man</t>
  </si>
  <si>
    <t>Israel</t>
  </si>
  <si>
    <t>Italy</t>
  </si>
  <si>
    <t>Jamaica</t>
  </si>
  <si>
    <t>Japan</t>
  </si>
  <si>
    <t>Jordan</t>
  </si>
  <si>
    <t>Kazakhstan</t>
  </si>
  <si>
    <t>Kuwait</t>
  </si>
  <si>
    <t>Latvia</t>
  </si>
  <si>
    <t>Liechtenstein</t>
  </si>
  <si>
    <t>Lithuania</t>
  </si>
  <si>
    <t>Luxembourg</t>
  </si>
  <si>
    <t>Macau</t>
  </si>
  <si>
    <t>Macedonia</t>
  </si>
  <si>
    <t>Malaysia</t>
  </si>
  <si>
    <t>Malta</t>
  </si>
  <si>
    <t>Mauritius</t>
  </si>
  <si>
    <t>Mexico</t>
  </si>
  <si>
    <t>Montenegro</t>
  </si>
  <si>
    <t>Mozambique</t>
  </si>
  <si>
    <t>Namibia</t>
  </si>
  <si>
    <t>Netherlands</t>
  </si>
  <si>
    <t>New Zealand</t>
  </si>
  <si>
    <t>Nigeria</t>
  </si>
  <si>
    <t>Norway</t>
  </si>
  <si>
    <t>Oman</t>
  </si>
  <si>
    <t>Pakistan</t>
  </si>
  <si>
    <t>Panama</t>
  </si>
  <si>
    <t>Papua New Guinea</t>
  </si>
  <si>
    <t>Paraguay</t>
  </si>
  <si>
    <t>Peru</t>
  </si>
  <si>
    <t>Philippines</t>
  </si>
  <si>
    <t>Poland</t>
  </si>
  <si>
    <t>Portugal</t>
  </si>
  <si>
    <t>Qatar</t>
  </si>
  <si>
    <t>Romania</t>
  </si>
  <si>
    <t>Russia</t>
  </si>
  <si>
    <t>Saudi Arabia</t>
  </si>
  <si>
    <t>Serbia</t>
  </si>
  <si>
    <t>Singapore</t>
  </si>
  <si>
    <t>Slovenia</t>
  </si>
  <si>
    <t>South Africa</t>
  </si>
  <si>
    <t>Spain</t>
  </si>
  <si>
    <t>Sri Lanka</t>
  </si>
  <si>
    <t>Sudan</t>
  </si>
  <si>
    <t>Sweden</t>
  </si>
  <si>
    <t>Switzerland</t>
  </si>
  <si>
    <t>Taiwan</t>
  </si>
  <si>
    <t>Tanzania</t>
  </si>
  <si>
    <t>Thailand</t>
  </si>
  <si>
    <t>Tunisia</t>
  </si>
  <si>
    <t>Turkey</t>
  </si>
  <si>
    <t>Ukraine</t>
  </si>
  <si>
    <t>United Arab Emirates</t>
  </si>
  <si>
    <t>United Kingdom</t>
  </si>
  <si>
    <t>United States</t>
  </si>
  <si>
    <t>Uruguay</t>
  </si>
  <si>
    <t>Venezuela</t>
  </si>
  <si>
    <t>Vietnam</t>
  </si>
  <si>
    <t>Zambia</t>
  </si>
  <si>
    <t>Zimbabwe</t>
  </si>
  <si>
    <t>Country</t>
  </si>
  <si>
    <t>Long-Term Rating</t>
  </si>
  <si>
    <t>Adj. Default Spread</t>
  </si>
  <si>
    <t>Country Risk Premium</t>
  </si>
  <si>
    <t>Region</t>
  </si>
  <si>
    <t>Western Europe</t>
  </si>
  <si>
    <t>Eastern Europe &amp; Russia</t>
  </si>
  <si>
    <t>Africa</t>
  </si>
  <si>
    <t>Central and South America</t>
  </si>
  <si>
    <t>Australia &amp; New Zealand</t>
  </si>
  <si>
    <t>Azerbaijan</t>
  </si>
  <si>
    <t>Caribbean</t>
  </si>
  <si>
    <t>Middle East</t>
  </si>
  <si>
    <t>Belize</t>
  </si>
  <si>
    <t>North America</t>
  </si>
  <si>
    <t>Cuba</t>
  </si>
  <si>
    <t>El Salvador</t>
  </si>
  <si>
    <t>Georgia</t>
  </si>
  <si>
    <t>Lebanon</t>
  </si>
  <si>
    <t>Moldova</t>
  </si>
  <si>
    <t>Mongolia</t>
  </si>
  <si>
    <t>Morocco</t>
  </si>
  <si>
    <t>Nicaragua</t>
  </si>
  <si>
    <t>Senegal</t>
  </si>
  <si>
    <t>Slovakia</t>
  </si>
  <si>
    <t>St. Vincent &amp; the Grenadines</t>
  </si>
  <si>
    <t>Suriname</t>
  </si>
  <si>
    <t>United States of America</t>
  </si>
  <si>
    <t>ERP</t>
  </si>
  <si>
    <t>Weighted ERP</t>
  </si>
  <si>
    <t>Weight</t>
  </si>
  <si>
    <t>Total</t>
  </si>
  <si>
    <t>Cost of capital =</t>
  </si>
  <si>
    <t>Standard deviation in stock prices =</t>
  </si>
  <si>
    <t>Date of valuation</t>
  </si>
  <si>
    <r>
      <rPr>
        <b/>
        <sz val="10"/>
        <rFont val="Helv"/>
      </rPr>
      <t>Important:</t>
    </r>
    <r>
      <rPr>
        <sz val="10"/>
        <rFont val="Helv"/>
      </rPr>
      <t xml:space="preserve"> Before you run this spreadsheet, go into preferences in Excel and check under Calculation options</t>
    </r>
  </si>
  <si>
    <t xml:space="preserve">Non-operating assets </t>
  </si>
  <si>
    <t xml:space="preserve"> + Non-operating assets</t>
  </si>
  <si>
    <t xml:space="preserve"> +  Cash</t>
  </si>
  <si>
    <t xml:space="preserve"> - Debt</t>
  </si>
  <si>
    <t>Minority interests</t>
  </si>
  <si>
    <t xml:space="preserve"> - Minority interests</t>
  </si>
  <si>
    <t>Business</t>
  </si>
  <si>
    <t>Estimated Value</t>
  </si>
  <si>
    <t>Last 10K</t>
  </si>
  <si>
    <t>Trailing 12 month</t>
  </si>
  <si>
    <t>Lease commitments</t>
  </si>
  <si>
    <t>Year 1</t>
  </si>
  <si>
    <t>Year 2</t>
  </si>
  <si>
    <t>Year 3</t>
  </si>
  <si>
    <t>Year 4</t>
  </si>
  <si>
    <t>Year 5</t>
  </si>
  <si>
    <t>Beyond year 5</t>
  </si>
  <si>
    <t>R &amp; D Converter</t>
  </si>
  <si>
    <t>This spreadsheet converts R&amp;D expenses from operating to capital expenses. It makes the appropriate adjustments to operating income, net</t>
  </si>
  <si>
    <t>income, the book value of assets and the book value of equity.</t>
  </si>
  <si>
    <t>Over how many years do you want to amortize R&amp;D expenses</t>
  </si>
  <si>
    <t>! If in doubt, use the lookup table below</t>
  </si>
  <si>
    <t>Enter the current year's R&amp;D expense =</t>
  </si>
  <si>
    <t>The maximum allowed is ten years</t>
  </si>
  <si>
    <t>Enter R&amp; D expenses for past years: the number of years that you will need to enter will be determined by the amortization period</t>
  </si>
  <si>
    <t>Do not input numbers in the first column (Year). It will get automatically updated  based on the input above.</t>
  </si>
  <si>
    <t>R&amp; D Expenses</t>
  </si>
  <si>
    <t>! Year -1 is the year prior to the current year</t>
  </si>
  <si>
    <t>! Year -2 is the two years prior to the current year</t>
  </si>
  <si>
    <t>R&amp;D Expense</t>
  </si>
  <si>
    <t>Unamortized portion</t>
  </si>
  <si>
    <t>Amortization this year</t>
  </si>
  <si>
    <t>Current</t>
  </si>
  <si>
    <t>Value of Research Asset =</t>
  </si>
  <si>
    <t>Amortization of asset for current year =</t>
  </si>
  <si>
    <t>Adjustment to Operating Income =</t>
  </si>
  <si>
    <t>! A positive number indicates an increase in operating income (add to reported EBIT)</t>
  </si>
  <si>
    <t>Tax Effect of R&amp;D Expensing</t>
  </si>
  <si>
    <t>R&amp;D expense</t>
  </si>
  <si>
    <t>Do you have R&amp;D expenses to capitalize?</t>
  </si>
  <si>
    <t xml:space="preserve"> If you want to capitalize R&amp;D, you have to input the numbers into the R&amp;D worksheet. </t>
  </si>
  <si>
    <t>Don't adjust operating income for leases or R&amp;D, if you plan to use the spreadsheet option to do so. (see below)</t>
  </si>
  <si>
    <t>First X months: Last year</t>
  </si>
  <si>
    <t>First X months: Current year</t>
  </si>
  <si>
    <t>If you are not working in US dollars, you should add the inflation differential to the industry averages.</t>
  </si>
  <si>
    <t>Numbers from your base year below ( in consistent units)</t>
  </si>
  <si>
    <t>Total Risk Premium</t>
  </si>
  <si>
    <t>Asia</t>
  </si>
  <si>
    <t>Kenya</t>
  </si>
  <si>
    <t>St. Maarten</t>
  </si>
  <si>
    <t>Malawi</t>
  </si>
  <si>
    <t>Uganda</t>
  </si>
  <si>
    <t>Tax Rate</t>
  </si>
  <si>
    <t>Industry (US)</t>
  </si>
  <si>
    <t>Industry (Global)</t>
  </si>
  <si>
    <t>Market D/E Ratio</t>
  </si>
  <si>
    <t>Industry (Global data)</t>
  </si>
  <si>
    <t>Internet software and services</t>
  </si>
  <si>
    <t>Interest expense</t>
  </si>
  <si>
    <t>Interest expenses</t>
  </si>
  <si>
    <t>What approach do you want to use to input ERP?</t>
  </si>
  <si>
    <t>ERP choices</t>
  </si>
  <si>
    <t>Will input</t>
  </si>
  <si>
    <t>Operating countries</t>
  </si>
  <si>
    <t>Operating regions</t>
  </si>
  <si>
    <t>Country of incorporation</t>
  </si>
  <si>
    <t>Direct input for ERP (if you choose "will input"</t>
  </si>
  <si>
    <t>Equity Risk Premium used in cost of equity =</t>
  </si>
  <si>
    <t>Operating Regions ERP calculator</t>
  </si>
  <si>
    <t>Cost of debt</t>
  </si>
  <si>
    <t>Direct input</t>
  </si>
  <si>
    <t>Synthetic rating</t>
  </si>
  <si>
    <t>Actual rating</t>
  </si>
  <si>
    <t>Approach for estimating pre-tax cost of debt</t>
  </si>
  <si>
    <t>If actual rating, input the rating</t>
  </si>
  <si>
    <t>If direct input, input the pre-tax cost of debt</t>
  </si>
  <si>
    <t>D2/D</t>
  </si>
  <si>
    <t>Caa/CCC</t>
  </si>
  <si>
    <t>Ca2/CC</t>
  </si>
  <si>
    <t>C2/C</t>
  </si>
  <si>
    <t>B3/B-</t>
  </si>
  <si>
    <t>B2/B</t>
  </si>
  <si>
    <t>B1/B+</t>
  </si>
  <si>
    <t>Ba2/BB</t>
  </si>
  <si>
    <t>Ba1/BB+</t>
  </si>
  <si>
    <t>Baa2/BBB</t>
  </si>
  <si>
    <t>A3/A-</t>
  </si>
  <si>
    <t>A2/A</t>
  </si>
  <si>
    <t>A1/A+</t>
  </si>
  <si>
    <t>Aa2/AA</t>
  </si>
  <si>
    <t>Aaa/AAA</t>
  </si>
  <si>
    <t>If synethetic rating, input the type of company</t>
  </si>
  <si>
    <t>Estimated Company Default Spread =</t>
  </si>
  <si>
    <t>Estimated County Default Spread (if any) =</t>
  </si>
  <si>
    <t>Approach for estimating beta</t>
  </si>
  <si>
    <t>Beta</t>
  </si>
  <si>
    <t>If direct input, enter levered beta (or regression beta)</t>
  </si>
  <si>
    <t>Multi Business (US Industry Averages)</t>
  </si>
  <si>
    <t>Multi Business (Global Industry Averages)</t>
  </si>
  <si>
    <t>Multibusiness(Global)</t>
  </si>
  <si>
    <t>Single Business(US)</t>
  </si>
  <si>
    <t>Single Business(Global)</t>
  </si>
  <si>
    <t>Multibusiness(US)</t>
  </si>
  <si>
    <t>Revenue Growth rate: Last 5 years</t>
  </si>
  <si>
    <t>Expected Earnings growth: Next 5 years</t>
  </si>
  <si>
    <t>Unlevered beta corrected for cash</t>
  </si>
  <si>
    <t>Market Debt to Capital</t>
  </si>
  <si>
    <t>Effective tax rate</t>
  </si>
  <si>
    <t>Dividend Payout</t>
  </si>
  <si>
    <t>Net Margin</t>
  </si>
  <si>
    <t>ROE</t>
  </si>
  <si>
    <t>ROIC</t>
  </si>
  <si>
    <t>Investment Co.</t>
  </si>
  <si>
    <t>Grand Total</t>
  </si>
  <si>
    <t>Marginal tax rate</t>
  </si>
  <si>
    <t>Abu Dhabi</t>
  </si>
  <si>
    <t>Andorra</t>
  </si>
  <si>
    <t>Anguilla</t>
  </si>
  <si>
    <t>Benin</t>
  </si>
  <si>
    <t>British Virgin Islands</t>
  </si>
  <si>
    <t>Burkina Faso</t>
  </si>
  <si>
    <t>Cameroon</t>
  </si>
  <si>
    <t>Cape Verde</t>
  </si>
  <si>
    <t>Channel Islands</t>
  </si>
  <si>
    <t>Cook Islands</t>
  </si>
  <si>
    <t>Democratic Republic of Congo</t>
  </si>
  <si>
    <t>Falkland Islands</t>
  </si>
  <si>
    <t>Gabon</t>
  </si>
  <si>
    <t>Ghana</t>
  </si>
  <si>
    <t>Greenland</t>
  </si>
  <si>
    <t>Ivory Coast</t>
  </si>
  <si>
    <t>Kyrgyzstan</t>
  </si>
  <si>
    <t>Laos</t>
  </si>
  <si>
    <t>Marshall Islands</t>
  </si>
  <si>
    <t>Monaco</t>
  </si>
  <si>
    <t>Montserrat</t>
  </si>
  <si>
    <t>Netherlands Antilles</t>
  </si>
  <si>
    <t>Niger</t>
  </si>
  <si>
    <t>Palestinian Authority</t>
  </si>
  <si>
    <t>Ras Al Kaminah</t>
  </si>
  <si>
    <t>Republic of the Congo</t>
  </si>
  <si>
    <t>Reunion</t>
  </si>
  <si>
    <t>Rwanda</t>
  </si>
  <si>
    <t>Sierra Leone</t>
  </si>
  <si>
    <t>South Korea</t>
  </si>
  <si>
    <t>Togo</t>
  </si>
  <si>
    <t>Trinidad &amp; Tobago</t>
  </si>
  <si>
    <t>Turks &amp; Caicos Islands</t>
  </si>
  <si>
    <t>Global</t>
  </si>
  <si>
    <t>Weighted Average: TRP</t>
  </si>
  <si>
    <t>Weighted Average: CRP</t>
  </si>
  <si>
    <t>Weighted Average: Default Spreads</t>
  </si>
  <si>
    <t>Adjustment to Depreciation =</t>
  </si>
  <si>
    <t>Aa2</t>
  </si>
  <si>
    <t>B1</t>
  </si>
  <si>
    <t>A3</t>
  </si>
  <si>
    <t>Ba3</t>
  </si>
  <si>
    <t>B3</t>
  </si>
  <si>
    <t>Ba2</t>
  </si>
  <si>
    <t>Baa1</t>
  </si>
  <si>
    <t>Aaa</t>
  </si>
  <si>
    <t>Baa3</t>
  </si>
  <si>
    <t>Baa2</t>
  </si>
  <si>
    <t>Ba1</t>
  </si>
  <si>
    <t>Aa3</t>
  </si>
  <si>
    <t>Caa2</t>
  </si>
  <si>
    <t>B2</t>
  </si>
  <si>
    <t>A2</t>
  </si>
  <si>
    <t>Caa1</t>
  </si>
  <si>
    <t>Caa3</t>
  </si>
  <si>
    <t>A1</t>
  </si>
  <si>
    <t>Aa1</t>
  </si>
  <si>
    <t>Korea</t>
  </si>
  <si>
    <t>Macao</t>
  </si>
  <si>
    <t>Trinidad and Tobago</t>
  </si>
  <si>
    <t>Auto &amp; Truck</t>
  </si>
  <si>
    <t>Banks (Regional)</t>
  </si>
  <si>
    <t xml:space="preserve">Beverage </t>
  </si>
  <si>
    <t>Beverage (Alcoholic)</t>
  </si>
  <si>
    <t>Broadcasting</t>
  </si>
  <si>
    <t>Brokerage &amp; Investment Banking</t>
  </si>
  <si>
    <t>Business &amp; Consumer Services</t>
  </si>
  <si>
    <t>Coal &amp; Related Energy</t>
  </si>
  <si>
    <t>Computer Services</t>
  </si>
  <si>
    <t>Construction</t>
  </si>
  <si>
    <t>Diversified</t>
  </si>
  <si>
    <t>Electronics (Consumer &amp; Office)</t>
  </si>
  <si>
    <t>Engineering</t>
  </si>
  <si>
    <t>Environmental &amp; Waste Services</t>
  </si>
  <si>
    <t>Farming/Agriculture</t>
  </si>
  <si>
    <t>Financial Svcs.</t>
  </si>
  <si>
    <t>Financial Svcs. (Non-bank &amp; Insurance)</t>
  </si>
  <si>
    <t>Food Wholesalers</t>
  </si>
  <si>
    <t>Healthcare Equipment</t>
  </si>
  <si>
    <t>Healthcare Facilities</t>
  </si>
  <si>
    <t>Healthcare Products</t>
  </si>
  <si>
    <t>Healthcare Services</t>
  </si>
  <si>
    <t>Heathcare Information and Technology</t>
  </si>
  <si>
    <t>Heavy Construction</t>
  </si>
  <si>
    <t>Insurance (General)</t>
  </si>
  <si>
    <t>Metals &amp; Mining</t>
  </si>
  <si>
    <t>Office Equipment &amp; Services</t>
  </si>
  <si>
    <t>Oil/Gas (Integrated)</t>
  </si>
  <si>
    <t>Oil/Gas (Production and Exploration)</t>
  </si>
  <si>
    <t>Pharma &amp; Drugs</t>
  </si>
  <si>
    <t>Publshing &amp; Newspapers</t>
  </si>
  <si>
    <t>Real Estate</t>
  </si>
  <si>
    <t>Real Estate (Development)</t>
  </si>
  <si>
    <t>Real Estate (Operations &amp; Services)</t>
  </si>
  <si>
    <t>Retail (Automotive)</t>
  </si>
  <si>
    <t>Retail (Building Supply)</t>
  </si>
  <si>
    <t>Retail (Distributors)</t>
  </si>
  <si>
    <t>Retail (General)</t>
  </si>
  <si>
    <t>Retail (Grocery and Food)</t>
  </si>
  <si>
    <t>Retail (Internet)</t>
  </si>
  <si>
    <t>Retail (Special Lines)</t>
  </si>
  <si>
    <t>Rubber&amp; Tires</t>
  </si>
  <si>
    <t>Shipbuilding &amp; Marine</t>
  </si>
  <si>
    <t>Telecom (Wireless)</t>
  </si>
  <si>
    <t>Tranportation</t>
  </si>
  <si>
    <t>Utility (General)</t>
  </si>
  <si>
    <t>Utility (Water)</t>
  </si>
  <si>
    <t>Pilgrims pride</t>
  </si>
</sst>
</file>

<file path=xl/styles.xml><?xml version="1.0" encoding="utf-8"?>
<styleSheet xmlns="http://schemas.openxmlformats.org/spreadsheetml/2006/main">
  <numFmts count="11">
    <numFmt numFmtId="164" formatCode="&quot;$&quot;#,##0_);[Red]\(&quot;$&quot;#,##0\)"/>
    <numFmt numFmtId="165" formatCode="&quot;$&quot;#,##0.00_);[Red]\(&quot;$&quot;#,##0.00\)"/>
    <numFmt numFmtId="166" formatCode="_(&quot;$&quot;* #,##0.00_);_(&quot;$&quot;* \(#,##0.00\);_(&quot;$&quot;* &quot;-&quot;??_);_(@_)"/>
    <numFmt numFmtId="167" formatCode="_(* #,##0.00_);_(* \(#,##0.00\);_(* &quot;-&quot;??_);_(@_)"/>
    <numFmt numFmtId="168" formatCode="&quot;$&quot;#,##0.00"/>
    <numFmt numFmtId="169" formatCode="#,##0.0000"/>
    <numFmt numFmtId="170" formatCode="0.000%"/>
    <numFmt numFmtId="171" formatCode="0.0000%"/>
    <numFmt numFmtId="172" formatCode="_(&quot;$&quot;* #,##0_);_(&quot;$&quot;* \(#,##0\);_(&quot;$&quot;* &quot;-&quot;??_);_(@_)"/>
    <numFmt numFmtId="173" formatCode="0.0000"/>
    <numFmt numFmtId="174" formatCode="_([$$-409]* #,##0.00_);_([$$-409]* \(#,##0.00\);_([$$-409]* &quot;-&quot;??_);_(@_)"/>
  </numFmts>
  <fonts count="46">
    <font>
      <sz val="9"/>
      <name val="Geneva"/>
    </font>
    <font>
      <i/>
      <sz val="9"/>
      <name val="Geneva"/>
    </font>
    <font>
      <sz val="9"/>
      <name val="Geneva"/>
    </font>
    <font>
      <sz val="8"/>
      <name val="Geneva"/>
    </font>
    <font>
      <sz val="8"/>
      <name val="돋움"/>
      <family val="3"/>
    </font>
    <font>
      <sz val="8"/>
      <name val="Verdana"/>
    </font>
    <font>
      <sz val="9"/>
      <name val="Helv"/>
    </font>
    <font>
      <sz val="12"/>
      <name val="Arial"/>
      <family val="2"/>
    </font>
    <font>
      <b/>
      <i/>
      <sz val="12"/>
      <name val="Arial"/>
      <family val="2"/>
    </font>
    <font>
      <b/>
      <sz val="14"/>
      <name val="Times"/>
    </font>
    <font>
      <b/>
      <sz val="14"/>
      <name val="Geneva"/>
    </font>
    <font>
      <sz val="10"/>
      <name val="Times"/>
    </font>
    <font>
      <b/>
      <i/>
      <sz val="10"/>
      <name val="Times"/>
    </font>
    <font>
      <i/>
      <sz val="10"/>
      <name val="Times"/>
    </font>
    <font>
      <i/>
      <sz val="10"/>
      <name val="Geneva"/>
    </font>
    <font>
      <b/>
      <sz val="10"/>
      <name val="Times"/>
    </font>
    <font>
      <sz val="9"/>
      <color indexed="81"/>
      <name val="Geneva"/>
    </font>
    <font>
      <b/>
      <sz val="9"/>
      <color indexed="81"/>
      <name val="Geneva"/>
    </font>
    <font>
      <b/>
      <sz val="12"/>
      <name val="Times"/>
    </font>
    <font>
      <sz val="10"/>
      <name val="Geneva"/>
    </font>
    <font>
      <i/>
      <sz val="12"/>
      <name val="Times"/>
    </font>
    <font>
      <sz val="12"/>
      <name val="Times"/>
    </font>
    <font>
      <b/>
      <i/>
      <u/>
      <sz val="12"/>
      <name val="Times"/>
      <family val="1"/>
    </font>
    <font>
      <b/>
      <sz val="10"/>
      <name val="Helv"/>
    </font>
    <font>
      <sz val="10"/>
      <name val="Helv"/>
    </font>
    <font>
      <b/>
      <i/>
      <sz val="10"/>
      <name val="Helv"/>
    </font>
    <font>
      <i/>
      <sz val="10"/>
      <name val="Helv"/>
    </font>
    <font>
      <b/>
      <i/>
      <sz val="14"/>
      <name val="Times"/>
      <family val="1"/>
    </font>
    <font>
      <b/>
      <i/>
      <sz val="12"/>
      <name val="Times"/>
    </font>
    <font>
      <i/>
      <sz val="12"/>
      <name val="Geneva"/>
      <family val="2"/>
    </font>
    <font>
      <b/>
      <sz val="10"/>
      <name val="Geneva"/>
    </font>
    <font>
      <b/>
      <sz val="10"/>
      <name val="Arial"/>
      <family val="2"/>
    </font>
    <font>
      <sz val="10"/>
      <name val="Arial"/>
    </font>
    <font>
      <sz val="9"/>
      <name val="Times"/>
    </font>
    <font>
      <b/>
      <sz val="9"/>
      <name val="Times"/>
    </font>
    <font>
      <b/>
      <sz val="9"/>
      <name val="Helv"/>
    </font>
    <font>
      <i/>
      <sz val="14"/>
      <name val="Times"/>
    </font>
    <font>
      <i/>
      <sz val="10"/>
      <name val="Verdana"/>
    </font>
    <font>
      <b/>
      <sz val="10"/>
      <name val="Verdana"/>
    </font>
    <font>
      <b/>
      <sz val="12"/>
      <color theme="1"/>
      <name val="Calibri"/>
      <family val="2"/>
      <scheme val="minor"/>
    </font>
    <font>
      <i/>
      <sz val="10"/>
      <color rgb="FFFF0000"/>
      <name val="Helv"/>
    </font>
    <font>
      <sz val="12"/>
      <color rgb="FFFF0000"/>
      <name val="Times"/>
      <family val="1"/>
    </font>
    <font>
      <b/>
      <sz val="10"/>
      <color theme="1"/>
      <name val="Helv"/>
    </font>
    <font>
      <sz val="10"/>
      <name val="Calibri"/>
      <scheme val="minor"/>
    </font>
    <font>
      <sz val="12"/>
      <color rgb="FF000000"/>
      <name val="Times"/>
    </font>
    <font>
      <sz val="10"/>
      <color rgb="FFFF0000"/>
      <name val="Arial"/>
      <family val="2"/>
    </font>
  </fonts>
  <fills count="10">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rgb="FFFF0000"/>
        <bgColor indexed="64"/>
      </patternFill>
    </fill>
    <fill>
      <patternFill patternType="solid">
        <fgColor rgb="FFFFFF00"/>
        <bgColor rgb="FF000000"/>
      </patternFill>
    </fill>
    <fill>
      <patternFill patternType="solid">
        <fgColor rgb="FFFFFFFF"/>
        <bgColor rgb="FF000000"/>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6" tint="0.79998168889431442"/>
      </top>
      <bottom style="thin">
        <color theme="6" tint="0.79998168889431442"/>
      </bottom>
      <diagonal/>
    </border>
    <border>
      <left/>
      <right/>
      <top style="double">
        <color theme="6" tint="-0.249977111117893"/>
      </top>
      <bottom/>
      <diagonal/>
    </border>
  </borders>
  <cellStyleXfs count="4">
    <xf numFmtId="0" fontId="0" fillId="0" borderId="0"/>
    <xf numFmtId="167"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cellStyleXfs>
  <cellXfs count="284">
    <xf numFmtId="0" fontId="0" fillId="0" borderId="0" xfId="0"/>
    <xf numFmtId="0" fontId="0" fillId="0" borderId="1" xfId="0" applyBorder="1"/>
    <xf numFmtId="0" fontId="1" fillId="0" borderId="0" xfId="0" applyFont="1"/>
    <xf numFmtId="0" fontId="1" fillId="0" borderId="1" xfId="0" applyFont="1" applyBorder="1" applyAlignment="1">
      <alignment horizontal="center"/>
    </xf>
    <xf numFmtId="0" fontId="1" fillId="0" borderId="1" xfId="0" applyFont="1" applyBorder="1"/>
    <xf numFmtId="2" fontId="0" fillId="0" borderId="1" xfId="0" applyNumberFormat="1" applyBorder="1" applyAlignment="1">
      <alignment horizontal="center"/>
    </xf>
    <xf numFmtId="10" fontId="0" fillId="0" borderId="1" xfId="0" applyNumberFormat="1" applyBorder="1" applyAlignment="1">
      <alignment horizontal="center"/>
    </xf>
    <xf numFmtId="0" fontId="6" fillId="0" borderId="0" xfId="0" applyFont="1"/>
    <xf numFmtId="0" fontId="7" fillId="0" borderId="0" xfId="0" applyFont="1"/>
    <xf numFmtId="2" fontId="1" fillId="0" borderId="1" xfId="0" applyNumberFormat="1" applyFont="1" applyBorder="1" applyAlignment="1">
      <alignment horizontal="center"/>
    </xf>
    <xf numFmtId="10" fontId="1" fillId="0" borderId="1" xfId="0" applyNumberFormat="1" applyFont="1" applyBorder="1" applyAlignment="1">
      <alignment horizontal="center"/>
    </xf>
    <xf numFmtId="0" fontId="9" fillId="0" borderId="0" xfId="0" applyFont="1"/>
    <xf numFmtId="0" fontId="10" fillId="0" borderId="0" xfId="0" applyFont="1"/>
    <xf numFmtId="0" fontId="11" fillId="0" borderId="0" xfId="0" applyFont="1"/>
    <xf numFmtId="166" fontId="11" fillId="2" borderId="1" xfId="2" applyFont="1" applyFill="1" applyBorder="1"/>
    <xf numFmtId="10" fontId="11" fillId="2" borderId="1" xfId="3" applyNumberFormat="1" applyFont="1" applyFill="1" applyBorder="1"/>
    <xf numFmtId="10" fontId="11" fillId="2" borderId="1" xfId="0" applyNumberFormat="1" applyFont="1" applyFill="1" applyBorder="1"/>
    <xf numFmtId="2" fontId="11" fillId="2" borderId="1" xfId="0" applyNumberFormat="1" applyFont="1" applyFill="1" applyBorder="1"/>
    <xf numFmtId="4" fontId="11" fillId="2" borderId="1" xfId="0" applyNumberFormat="1" applyFont="1" applyFill="1" applyBorder="1"/>
    <xf numFmtId="0" fontId="12" fillId="0" borderId="0" xfId="0" applyFont="1"/>
    <xf numFmtId="0" fontId="13" fillId="0" borderId="0" xfId="0" applyFont="1"/>
    <xf numFmtId="0" fontId="14" fillId="0" borderId="0" xfId="0" applyFont="1"/>
    <xf numFmtId="0" fontId="15" fillId="0" borderId="0" xfId="0" applyFont="1"/>
    <xf numFmtId="0" fontId="15" fillId="0" borderId="1" xfId="0" applyFont="1" applyBorder="1"/>
    <xf numFmtId="0" fontId="11" fillId="0" borderId="1" xfId="0" applyFont="1" applyBorder="1"/>
    <xf numFmtId="10" fontId="15" fillId="0" borderId="0" xfId="0" applyNumberFormat="1" applyFont="1"/>
    <xf numFmtId="3" fontId="11" fillId="0" borderId="1" xfId="0" applyNumberFormat="1" applyFont="1" applyBorder="1"/>
    <xf numFmtId="10" fontId="15" fillId="0" borderId="1" xfId="0" applyNumberFormat="1" applyFont="1" applyBorder="1"/>
    <xf numFmtId="169" fontId="15" fillId="0" borderId="1" xfId="1" applyNumberFormat="1" applyFont="1" applyBorder="1"/>
    <xf numFmtId="10" fontId="11" fillId="0" borderId="1" xfId="0" applyNumberFormat="1" applyFont="1" applyBorder="1"/>
    <xf numFmtId="166" fontId="11" fillId="0" borderId="2" xfId="2" applyFont="1" applyBorder="1"/>
    <xf numFmtId="166" fontId="11" fillId="0" borderId="0" xfId="2" applyFont="1"/>
    <xf numFmtId="165" fontId="11" fillId="0" borderId="2" xfId="0" applyNumberFormat="1" applyFont="1" applyBorder="1"/>
    <xf numFmtId="166" fontId="11" fillId="2" borderId="1" xfId="0" applyNumberFormat="1" applyFont="1" applyFill="1" applyBorder="1"/>
    <xf numFmtId="0" fontId="9" fillId="0" borderId="0" xfId="0" applyFont="1" applyAlignment="1">
      <alignment horizontal="centerContinuous"/>
    </xf>
    <xf numFmtId="0" fontId="11" fillId="0" borderId="1" xfId="0" applyFont="1" applyBorder="1" applyAlignment="1">
      <alignment horizontal="center"/>
    </xf>
    <xf numFmtId="0" fontId="18" fillId="0" borderId="0" xfId="0" applyFont="1"/>
    <xf numFmtId="0" fontId="11" fillId="0" borderId="2" xfId="0" applyFont="1" applyBorder="1"/>
    <xf numFmtId="166" fontId="11" fillId="3" borderId="1" xfId="2" applyFont="1" applyFill="1" applyBorder="1"/>
    <xf numFmtId="166" fontId="11" fillId="0" borderId="0" xfId="2" applyFont="1" applyBorder="1"/>
    <xf numFmtId="0" fontId="11" fillId="2" borderId="1" xfId="0" applyFont="1" applyFill="1" applyBorder="1" applyAlignment="1">
      <alignment horizontal="center"/>
    </xf>
    <xf numFmtId="0" fontId="11" fillId="0" borderId="3" xfId="0" applyFont="1" applyBorder="1"/>
    <xf numFmtId="166" fontId="11" fillId="2" borderId="3" xfId="0" applyNumberFormat="1" applyFont="1" applyFill="1" applyBorder="1"/>
    <xf numFmtId="166" fontId="11" fillId="2" borderId="3" xfId="2" applyFont="1" applyFill="1" applyBorder="1"/>
    <xf numFmtId="0" fontId="11" fillId="2" borderId="2" xfId="0" applyFont="1" applyFill="1" applyBorder="1"/>
    <xf numFmtId="166" fontId="11" fillId="2" borderId="2" xfId="0" applyNumberFormat="1" applyFont="1" applyFill="1" applyBorder="1"/>
    <xf numFmtId="166" fontId="11" fillId="2" borderId="4" xfId="0" applyNumberFormat="1" applyFont="1" applyFill="1" applyBorder="1"/>
    <xf numFmtId="0" fontId="20" fillId="0" borderId="5" xfId="0" applyFont="1" applyBorder="1" applyAlignment="1">
      <alignment horizontal="center"/>
    </xf>
    <xf numFmtId="0" fontId="20" fillId="0" borderId="1" xfId="0" applyFont="1" applyBorder="1" applyAlignment="1">
      <alignment horizontal="center"/>
    </xf>
    <xf numFmtId="0" fontId="21" fillId="0" borderId="1" xfId="0" applyFont="1" applyBorder="1"/>
    <xf numFmtId="0" fontId="21" fillId="0" borderId="0" xfId="0" applyFont="1" applyBorder="1"/>
    <xf numFmtId="0" fontId="21" fillId="0" borderId="0" xfId="0" applyFont="1" applyFill="1" applyBorder="1"/>
    <xf numFmtId="0" fontId="21" fillId="0" borderId="0" xfId="0" applyFont="1"/>
    <xf numFmtId="0" fontId="21" fillId="0" borderId="1" xfId="0" applyFont="1" applyFill="1" applyBorder="1"/>
    <xf numFmtId="0" fontId="22" fillId="0" borderId="1" xfId="0" applyFont="1" applyBorder="1"/>
    <xf numFmtId="0" fontId="21" fillId="0" borderId="1" xfId="0" applyFont="1" applyBorder="1" applyAlignment="1">
      <alignment horizontal="center"/>
    </xf>
    <xf numFmtId="0" fontId="21" fillId="0" borderId="0" xfId="0" applyFont="1" applyBorder="1" applyAlignment="1">
      <alignment horizontal="center"/>
    </xf>
    <xf numFmtId="0" fontId="21" fillId="0" borderId="0" xfId="0" applyFont="1" applyAlignment="1">
      <alignment horizontal="center"/>
    </xf>
    <xf numFmtId="0" fontId="23" fillId="0" borderId="0" xfId="0" applyFont="1"/>
    <xf numFmtId="0" fontId="24" fillId="0" borderId="6" xfId="0" applyFont="1" applyBorder="1"/>
    <xf numFmtId="0" fontId="24" fillId="0" borderId="7" xfId="0" applyFont="1" applyBorder="1"/>
    <xf numFmtId="0" fontId="24" fillId="0" borderId="0" xfId="0" applyFont="1"/>
    <xf numFmtId="0" fontId="23" fillId="0" borderId="0" xfId="0" applyFont="1" applyAlignment="1"/>
    <xf numFmtId="0" fontId="24" fillId="0" borderId="8" xfId="0" applyFont="1" applyBorder="1"/>
    <xf numFmtId="0" fontId="24" fillId="0" borderId="9" xfId="0" applyFont="1" applyBorder="1"/>
    <xf numFmtId="0" fontId="24" fillId="0" borderId="10" xfId="0" applyFont="1" applyBorder="1"/>
    <xf numFmtId="0" fontId="24" fillId="0" borderId="1" xfId="0" applyFont="1" applyFill="1" applyBorder="1"/>
    <xf numFmtId="166" fontId="24" fillId="4" borderId="1" xfId="2" applyFont="1" applyFill="1" applyBorder="1" applyAlignment="1">
      <alignment horizontal="center"/>
    </xf>
    <xf numFmtId="0" fontId="40" fillId="0" borderId="0" xfId="0" applyFont="1"/>
    <xf numFmtId="0" fontId="24" fillId="0" borderId="0" xfId="0" applyFont="1" applyFill="1" applyBorder="1"/>
    <xf numFmtId="10" fontId="24" fillId="4" borderId="1" xfId="2" applyNumberFormat="1" applyFont="1" applyFill="1" applyBorder="1" applyAlignment="1">
      <alignment horizontal="center"/>
    </xf>
    <xf numFmtId="0" fontId="23" fillId="0" borderId="0" xfId="0" applyFont="1" applyFill="1" applyBorder="1"/>
    <xf numFmtId="166" fontId="24" fillId="0" borderId="0" xfId="2" applyFont="1" applyFill="1" applyBorder="1" applyAlignment="1">
      <alignment horizontal="center"/>
    </xf>
    <xf numFmtId="10" fontId="24" fillId="4" borderId="1" xfId="0" applyNumberFormat="1" applyFont="1" applyFill="1" applyBorder="1" applyAlignment="1">
      <alignment horizontal="center"/>
    </xf>
    <xf numFmtId="2" fontId="24" fillId="4" borderId="1" xfId="0" applyNumberFormat="1" applyFont="1" applyFill="1" applyBorder="1" applyAlignment="1">
      <alignment horizontal="center"/>
    </xf>
    <xf numFmtId="10" fontId="24" fillId="0" borderId="0" xfId="0" applyNumberFormat="1" applyFont="1" applyFill="1" applyBorder="1"/>
    <xf numFmtId="10" fontId="24" fillId="5" borderId="0" xfId="0" applyNumberFormat="1" applyFont="1" applyFill="1" applyBorder="1" applyAlignment="1">
      <alignment horizontal="center"/>
    </xf>
    <xf numFmtId="168" fontId="24" fillId="4" borderId="1" xfId="0" applyNumberFormat="1" applyFont="1" applyFill="1" applyBorder="1" applyAlignment="1">
      <alignment horizontal="center"/>
    </xf>
    <xf numFmtId="10" fontId="24" fillId="0" borderId="0" xfId="0" applyNumberFormat="1" applyFont="1" applyFill="1" applyBorder="1" applyAlignment="1">
      <alignment horizontal="center"/>
    </xf>
    <xf numFmtId="0" fontId="26" fillId="0" borderId="0" xfId="0" applyFont="1" applyFill="1" applyBorder="1" applyAlignment="1"/>
    <xf numFmtId="0" fontId="26" fillId="0" borderId="0" xfId="0" applyFont="1"/>
    <xf numFmtId="0" fontId="24" fillId="0" borderId="0" xfId="0" applyFont="1" applyFill="1" applyBorder="1" applyAlignment="1"/>
    <xf numFmtId="0" fontId="24" fillId="4" borderId="1" xfId="0" applyFont="1" applyFill="1" applyBorder="1" applyAlignment="1">
      <alignment horizontal="center"/>
    </xf>
    <xf numFmtId="9" fontId="24" fillId="4" borderId="1" xfId="0" applyNumberFormat="1" applyFont="1" applyFill="1" applyBorder="1" applyAlignment="1">
      <alignment horizontal="center"/>
    </xf>
    <xf numFmtId="9" fontId="24" fillId="5" borderId="0" xfId="0" applyNumberFormat="1" applyFont="1" applyFill="1" applyBorder="1" applyAlignment="1">
      <alignment horizontal="center"/>
    </xf>
    <xf numFmtId="0" fontId="7" fillId="0" borderId="0" xfId="0" applyFont="1" applyAlignment="1">
      <alignment horizontal="left"/>
    </xf>
    <xf numFmtId="10" fontId="11" fillId="4" borderId="2" xfId="0" applyNumberFormat="1" applyFont="1" applyFill="1" applyBorder="1" applyAlignment="1">
      <alignment horizontal="center"/>
    </xf>
    <xf numFmtId="165" fontId="11" fillId="2" borderId="2" xfId="0" applyNumberFormat="1" applyFont="1" applyFill="1" applyBorder="1"/>
    <xf numFmtId="0" fontId="24" fillId="0" borderId="0" xfId="0" applyFont="1" applyBorder="1"/>
    <xf numFmtId="0" fontId="25" fillId="5" borderId="0" xfId="0" applyFont="1" applyFill="1" applyBorder="1" applyAlignment="1"/>
    <xf numFmtId="0" fontId="26" fillId="5" borderId="0" xfId="0" applyFont="1" applyFill="1" applyBorder="1" applyAlignment="1"/>
    <xf numFmtId="166" fontId="24" fillId="4" borderId="1" xfId="2" applyFont="1" applyFill="1" applyBorder="1" applyAlignment="1">
      <alignment horizontal="center"/>
    </xf>
    <xf numFmtId="2" fontId="24" fillId="6" borderId="1" xfId="0" applyNumberFormat="1" applyFont="1" applyFill="1" applyBorder="1"/>
    <xf numFmtId="10" fontId="24" fillId="6" borderId="1" xfId="0" applyNumberFormat="1" applyFont="1" applyFill="1" applyBorder="1"/>
    <xf numFmtId="10" fontId="24" fillId="6" borderId="1" xfId="3" applyNumberFormat="1" applyFont="1" applyFill="1" applyBorder="1"/>
    <xf numFmtId="0" fontId="23" fillId="0" borderId="11" xfId="0" applyFont="1" applyBorder="1"/>
    <xf numFmtId="0" fontId="24" fillId="0" borderId="12" xfId="0" applyFont="1" applyBorder="1"/>
    <xf numFmtId="0" fontId="24" fillId="0" borderId="13" xfId="0" applyFont="1" applyBorder="1"/>
    <xf numFmtId="0" fontId="21" fillId="6" borderId="1" xfId="0" applyFont="1" applyFill="1" applyBorder="1"/>
    <xf numFmtId="10" fontId="21" fillId="6" borderId="1" xfId="3" applyNumberFormat="1" applyFont="1" applyFill="1" applyBorder="1" applyAlignment="1">
      <alignment horizontal="center"/>
    </xf>
    <xf numFmtId="10" fontId="21" fillId="6" borderId="1" xfId="0" applyNumberFormat="1" applyFont="1" applyFill="1" applyBorder="1" applyAlignment="1">
      <alignment horizontal="center"/>
    </xf>
    <xf numFmtId="166" fontId="21" fillId="6" borderId="1" xfId="2" applyFont="1" applyFill="1" applyBorder="1"/>
    <xf numFmtId="166" fontId="21" fillId="6" borderId="1" xfId="2" applyFont="1" applyFill="1" applyBorder="1" applyAlignment="1">
      <alignment horizontal="center"/>
    </xf>
    <xf numFmtId="10" fontId="21" fillId="6" borderId="1" xfId="3" applyNumberFormat="1" applyFont="1" applyFill="1" applyBorder="1"/>
    <xf numFmtId="10" fontId="21" fillId="6" borderId="1" xfId="2" applyNumberFormat="1" applyFont="1" applyFill="1" applyBorder="1"/>
    <xf numFmtId="10" fontId="21" fillId="6" borderId="1" xfId="2" applyNumberFormat="1" applyFont="1" applyFill="1" applyBorder="1" applyAlignment="1">
      <alignment horizontal="center"/>
    </xf>
    <xf numFmtId="166" fontId="21" fillId="6" borderId="1" xfId="0" applyNumberFormat="1" applyFont="1" applyFill="1" applyBorder="1" applyAlignment="1">
      <alignment horizontal="center"/>
    </xf>
    <xf numFmtId="0" fontId="21" fillId="6" borderId="1" xfId="0" applyFont="1" applyFill="1" applyBorder="1" applyAlignment="1">
      <alignment horizontal="center"/>
    </xf>
    <xf numFmtId="166" fontId="21" fillId="6" borderId="1" xfId="0" applyNumberFormat="1" applyFont="1" applyFill="1" applyBorder="1"/>
    <xf numFmtId="10" fontId="21" fillId="6" borderId="1" xfId="0" applyNumberFormat="1" applyFont="1" applyFill="1" applyBorder="1"/>
    <xf numFmtId="168" fontId="21" fillId="6" borderId="1" xfId="0" applyNumberFormat="1" applyFont="1" applyFill="1" applyBorder="1"/>
    <xf numFmtId="165" fontId="21" fillId="6" borderId="1" xfId="0" applyNumberFormat="1" applyFont="1" applyFill="1" applyBorder="1"/>
    <xf numFmtId="167" fontId="21" fillId="6" borderId="1" xfId="1" applyNumberFormat="1" applyFont="1" applyFill="1" applyBorder="1"/>
    <xf numFmtId="166" fontId="41" fillId="6" borderId="1" xfId="2" applyNumberFormat="1" applyFont="1" applyFill="1" applyBorder="1"/>
    <xf numFmtId="166" fontId="21" fillId="6" borderId="1" xfId="2" applyNumberFormat="1" applyFont="1" applyFill="1" applyBorder="1"/>
    <xf numFmtId="2" fontId="21" fillId="6" borderId="1" xfId="0" applyNumberFormat="1" applyFont="1" applyFill="1" applyBorder="1" applyAlignment="1">
      <alignment horizontal="center"/>
    </xf>
    <xf numFmtId="172" fontId="21" fillId="6" borderId="1" xfId="0" applyNumberFormat="1" applyFont="1" applyFill="1" applyBorder="1"/>
    <xf numFmtId="172" fontId="21" fillId="6" borderId="1" xfId="0" applyNumberFormat="1" applyFont="1" applyFill="1" applyBorder="1" applyAlignment="1">
      <alignment horizontal="center"/>
    </xf>
    <xf numFmtId="166" fontId="21" fillId="7" borderId="1" xfId="2" applyFont="1" applyFill="1" applyBorder="1" applyAlignment="1">
      <alignment horizontal="center"/>
    </xf>
    <xf numFmtId="10" fontId="21" fillId="7" borderId="1" xfId="3" applyNumberFormat="1" applyFont="1" applyFill="1" applyBorder="1" applyAlignment="1">
      <alignment horizontal="center"/>
    </xf>
    <xf numFmtId="166" fontId="0" fillId="7" borderId="1" xfId="0" applyNumberFormat="1" applyFill="1" applyBorder="1"/>
    <xf numFmtId="0" fontId="27" fillId="0" borderId="0" xfId="0" applyFont="1"/>
    <xf numFmtId="0" fontId="15" fillId="0" borderId="0" xfId="0" applyFont="1" applyBorder="1"/>
    <xf numFmtId="0" fontId="11" fillId="0" borderId="0" xfId="0" applyFont="1" applyBorder="1"/>
    <xf numFmtId="0" fontId="11" fillId="3" borderId="1" xfId="0" applyFont="1" applyFill="1" applyBorder="1"/>
    <xf numFmtId="0" fontId="11" fillId="0" borderId="0" xfId="0" applyFont="1" applyFill="1"/>
    <xf numFmtId="0" fontId="11" fillId="0" borderId="0" xfId="0" applyFont="1" applyFill="1" applyBorder="1"/>
    <xf numFmtId="0" fontId="13" fillId="0" borderId="0" xfId="0" applyFont="1" applyAlignment="1">
      <alignment horizontal="center"/>
    </xf>
    <xf numFmtId="0" fontId="13" fillId="0" borderId="1" xfId="0" applyFont="1" applyBorder="1" applyAlignment="1">
      <alignment horizontal="center"/>
    </xf>
    <xf numFmtId="2" fontId="11" fillId="6" borderId="1" xfId="0" applyNumberFormat="1" applyFont="1" applyFill="1" applyBorder="1"/>
    <xf numFmtId="166" fontId="11" fillId="6" borderId="1" xfId="0" applyNumberFormat="1" applyFont="1" applyFill="1" applyBorder="1"/>
    <xf numFmtId="166" fontId="11" fillId="6" borderId="1" xfId="2" applyFont="1" applyFill="1" applyBorder="1"/>
    <xf numFmtId="10" fontId="11" fillId="6" borderId="1" xfId="3" applyNumberFormat="1" applyFont="1" applyFill="1" applyBorder="1"/>
    <xf numFmtId="10" fontId="11" fillId="6" borderId="3" xfId="0" applyNumberFormat="1" applyFont="1" applyFill="1" applyBorder="1"/>
    <xf numFmtId="10" fontId="11" fillId="6" borderId="1" xfId="0" applyNumberFormat="1" applyFont="1" applyFill="1" applyBorder="1"/>
    <xf numFmtId="10" fontId="11" fillId="6" borderId="14" xfId="3" applyNumberFormat="1" applyFont="1" applyFill="1" applyBorder="1"/>
    <xf numFmtId="10" fontId="11" fillId="6" borderId="2" xfId="3" applyNumberFormat="1" applyFont="1" applyFill="1" applyBorder="1"/>
    <xf numFmtId="2" fontId="11" fillId="6" borderId="1" xfId="2" applyNumberFormat="1" applyFont="1" applyFill="1" applyBorder="1"/>
    <xf numFmtId="0" fontId="28" fillId="0" borderId="0" xfId="0" applyFont="1"/>
    <xf numFmtId="0" fontId="29" fillId="0" borderId="0" xfId="0" applyFont="1"/>
    <xf numFmtId="0" fontId="19" fillId="0" borderId="0" xfId="0" applyFont="1"/>
    <xf numFmtId="0" fontId="11" fillId="3" borderId="1" xfId="0" applyFont="1" applyFill="1" applyBorder="1" applyAlignment="1">
      <alignment horizontal="center"/>
    </xf>
    <xf numFmtId="10" fontId="15" fillId="0" borderId="0" xfId="0" applyNumberFormat="1" applyFont="1" applyBorder="1" applyAlignment="1">
      <alignment horizontal="center"/>
    </xf>
    <xf numFmtId="10" fontId="12" fillId="0" borderId="0" xfId="0" applyNumberFormat="1" applyFont="1" applyBorder="1" applyAlignment="1">
      <alignment horizontal="center"/>
    </xf>
    <xf numFmtId="0" fontId="13" fillId="0" borderId="1" xfId="0" applyFont="1" applyBorder="1" applyAlignment="1">
      <alignment horizontal="centerContinuous"/>
    </xf>
    <xf numFmtId="0" fontId="13" fillId="0" borderId="1" xfId="0" applyFont="1" applyBorder="1"/>
    <xf numFmtId="10" fontId="11" fillId="0" borderId="1" xfId="0" applyNumberFormat="1" applyFont="1" applyBorder="1" applyAlignment="1">
      <alignment horizontal="center"/>
    </xf>
    <xf numFmtId="10" fontId="11" fillId="0" borderId="15" xfId="0" applyNumberFormat="1" applyFont="1" applyBorder="1" applyAlignment="1">
      <alignment horizontal="center"/>
    </xf>
    <xf numFmtId="2" fontId="11" fillId="0" borderId="1" xfId="0" applyNumberFormat="1" applyFont="1" applyBorder="1" applyAlignment="1">
      <alignment horizontal="center"/>
    </xf>
    <xf numFmtId="0" fontId="11" fillId="0" borderId="1" xfId="0" applyFont="1" applyBorder="1" applyAlignment="1">
      <alignment horizontal="centerContinuous"/>
    </xf>
    <xf numFmtId="10" fontId="11" fillId="6" borderId="2" xfId="0" applyNumberFormat="1" applyFont="1" applyFill="1" applyBorder="1"/>
    <xf numFmtId="2" fontId="15" fillId="6" borderId="2" xfId="0" applyNumberFormat="1" applyFont="1" applyFill="1" applyBorder="1" applyAlignment="1">
      <alignment horizontal="center"/>
    </xf>
    <xf numFmtId="0" fontId="30" fillId="6" borderId="4" xfId="0" applyFont="1" applyFill="1" applyBorder="1" applyAlignment="1">
      <alignment horizontal="center"/>
    </xf>
    <xf numFmtId="10" fontId="15" fillId="6" borderId="2" xfId="3" applyNumberFormat="1" applyFont="1" applyFill="1" applyBorder="1" applyAlignment="1">
      <alignment horizontal="center"/>
    </xf>
    <xf numFmtId="10" fontId="15" fillId="6" borderId="2" xfId="0" applyNumberFormat="1" applyFont="1" applyFill="1" applyBorder="1" applyAlignment="1">
      <alignment horizontal="center"/>
    </xf>
    <xf numFmtId="0" fontId="32" fillId="0" borderId="0" xfId="0" applyFont="1"/>
    <xf numFmtId="0" fontId="6" fillId="5" borderId="0" xfId="0" applyFont="1" applyFill="1"/>
    <xf numFmtId="0" fontId="31" fillId="6" borderId="1" xfId="0" applyFont="1" applyFill="1" applyBorder="1"/>
    <xf numFmtId="0" fontId="32" fillId="6" borderId="1" xfId="0" applyFont="1" applyFill="1" applyBorder="1"/>
    <xf numFmtId="166" fontId="32" fillId="6" borderId="1" xfId="2" applyFont="1" applyFill="1" applyBorder="1"/>
    <xf numFmtId="10" fontId="32" fillId="6" borderId="1" xfId="0" applyNumberFormat="1" applyFont="1" applyFill="1" applyBorder="1"/>
    <xf numFmtId="0" fontId="32" fillId="6" borderId="3" xfId="0" applyFont="1" applyFill="1" applyBorder="1"/>
    <xf numFmtId="10" fontId="32" fillId="6" borderId="3" xfId="0" applyNumberFormat="1" applyFont="1" applyFill="1" applyBorder="1" applyAlignment="1">
      <alignment horizontal="right"/>
    </xf>
    <xf numFmtId="0" fontId="32" fillId="0" borderId="11" xfId="0" applyFont="1" applyBorder="1"/>
    <xf numFmtId="173" fontId="21" fillId="6" borderId="1" xfId="0" applyNumberFormat="1" applyFont="1" applyFill="1" applyBorder="1" applyAlignment="1">
      <alignment horizontal="center"/>
    </xf>
    <xf numFmtId="0" fontId="21" fillId="0" borderId="0" xfId="0" applyFont="1" applyBorder="1" applyAlignment="1">
      <alignment horizontal="left"/>
    </xf>
    <xf numFmtId="0" fontId="23" fillId="0" borderId="12" xfId="0" applyFont="1" applyBorder="1"/>
    <xf numFmtId="0" fontId="24" fillId="6" borderId="1" xfId="0" applyFont="1" applyFill="1" applyBorder="1"/>
    <xf numFmtId="0" fontId="24" fillId="0" borderId="0" xfId="0" applyFont="1" applyAlignment="1"/>
    <xf numFmtId="0" fontId="24" fillId="4" borderId="1" xfId="0" applyFont="1" applyFill="1" applyBorder="1" applyAlignment="1"/>
    <xf numFmtId="2" fontId="24" fillId="4" borderId="15" xfId="2" applyNumberFormat="1" applyFont="1" applyFill="1" applyBorder="1" applyAlignment="1">
      <alignment horizontal="center"/>
    </xf>
    <xf numFmtId="10" fontId="24" fillId="4" borderId="1" xfId="0" applyNumberFormat="1" applyFont="1" applyFill="1" applyBorder="1" applyAlignment="1">
      <alignment horizontal="center"/>
    </xf>
    <xf numFmtId="0" fontId="24" fillId="0" borderId="1" xfId="0" applyFont="1" applyBorder="1"/>
    <xf numFmtId="0" fontId="0" fillId="0" borderId="1" xfId="0" applyBorder="1" applyAlignment="1">
      <alignment horizontal="center"/>
    </xf>
    <xf numFmtId="0" fontId="28" fillId="0" borderId="1" xfId="0" applyFont="1" applyBorder="1"/>
    <xf numFmtId="0" fontId="11" fillId="4" borderId="1" xfId="0" applyFont="1" applyFill="1" applyBorder="1"/>
    <xf numFmtId="0" fontId="11" fillId="6" borderId="1" xfId="0" applyFont="1" applyFill="1" applyBorder="1"/>
    <xf numFmtId="0" fontId="12" fillId="0" borderId="1" xfId="0" applyFont="1" applyBorder="1"/>
    <xf numFmtId="171" fontId="11" fillId="6" borderId="1" xfId="3" applyNumberFormat="1" applyFont="1" applyFill="1" applyBorder="1"/>
    <xf numFmtId="171" fontId="11" fillId="6" borderId="1" xfId="0" applyNumberFormat="1" applyFont="1" applyFill="1" applyBorder="1"/>
    <xf numFmtId="10" fontId="24" fillId="6" borderId="16" xfId="3" applyNumberFormat="1" applyFont="1" applyFill="1" applyBorder="1"/>
    <xf numFmtId="2" fontId="11" fillId="3" borderId="1" xfId="0" applyNumberFormat="1" applyFont="1" applyFill="1" applyBorder="1"/>
    <xf numFmtId="10" fontId="24" fillId="6" borderId="3" xfId="3" applyNumberFormat="1" applyFont="1" applyFill="1" applyBorder="1"/>
    <xf numFmtId="10" fontId="24" fillId="5" borderId="0" xfId="3" applyNumberFormat="1" applyFont="1" applyFill="1" applyBorder="1"/>
    <xf numFmtId="0" fontId="24" fillId="0" borderId="17" xfId="0" applyFont="1" applyBorder="1"/>
    <xf numFmtId="0" fontId="6" fillId="0" borderId="18" xfId="0" applyFont="1" applyBorder="1"/>
    <xf numFmtId="0" fontId="6" fillId="0" borderId="19" xfId="0" applyFont="1" applyBorder="1"/>
    <xf numFmtId="0" fontId="23" fillId="0" borderId="0" xfId="0" applyFont="1" applyBorder="1"/>
    <xf numFmtId="166" fontId="24" fillId="4" borderId="15" xfId="2" applyFont="1" applyFill="1" applyBorder="1" applyAlignment="1">
      <alignment horizontal="center"/>
    </xf>
    <xf numFmtId="0" fontId="11" fillId="4" borderId="1" xfId="0" applyFont="1" applyFill="1" applyBorder="1"/>
    <xf numFmtId="174" fontId="11" fillId="4" borderId="1" xfId="2" applyNumberFormat="1" applyFont="1" applyFill="1" applyBorder="1"/>
    <xf numFmtId="173" fontId="11" fillId="6" borderId="1" xfId="0" applyNumberFormat="1" applyFont="1" applyFill="1" applyBorder="1"/>
    <xf numFmtId="174" fontId="11" fillId="6" borderId="1" xfId="0" applyNumberFormat="1" applyFont="1" applyFill="1" applyBorder="1"/>
    <xf numFmtId="0" fontId="0" fillId="6" borderId="1" xfId="0" applyFill="1" applyBorder="1"/>
    <xf numFmtId="174" fontId="2" fillId="6" borderId="1" xfId="2" applyNumberFormat="1" applyFont="1" applyFill="1" applyBorder="1"/>
    <xf numFmtId="173" fontId="0" fillId="6" borderId="1" xfId="0" applyNumberFormat="1" applyFill="1" applyBorder="1"/>
    <xf numFmtId="0" fontId="0" fillId="0" borderId="0" xfId="0" applyAlignment="1">
      <alignment horizontal="center"/>
    </xf>
    <xf numFmtId="10" fontId="0" fillId="0" borderId="1" xfId="3" applyNumberFormat="1" applyFont="1" applyBorder="1" applyAlignment="1">
      <alignment horizontal="center"/>
    </xf>
    <xf numFmtId="168" fontId="0" fillId="4" borderId="1" xfId="0" applyNumberFormat="1" applyFill="1" applyBorder="1" applyAlignment="1">
      <alignment horizontal="center"/>
    </xf>
    <xf numFmtId="2" fontId="33" fillId="0" borderId="1" xfId="0" applyNumberFormat="1" applyFont="1" applyBorder="1" applyAlignment="1">
      <alignment horizontal="center"/>
    </xf>
    <xf numFmtId="2" fontId="33" fillId="0" borderId="0" xfId="0" applyNumberFormat="1" applyFont="1"/>
    <xf numFmtId="2" fontId="11" fillId="0" borderId="0" xfId="0" applyNumberFormat="1" applyFont="1"/>
    <xf numFmtId="1" fontId="33" fillId="0" borderId="1" xfId="0" applyNumberFormat="1" applyFont="1" applyBorder="1" applyAlignment="1">
      <alignment horizontal="center"/>
    </xf>
    <xf numFmtId="2" fontId="33" fillId="3" borderId="1" xfId="0" applyNumberFormat="1" applyFont="1" applyFill="1" applyBorder="1" applyAlignment="1">
      <alignment horizontal="center"/>
    </xf>
    <xf numFmtId="2" fontId="34" fillId="0" borderId="0" xfId="0" applyNumberFormat="1" applyFont="1"/>
    <xf numFmtId="2" fontId="33" fillId="0" borderId="14" xfId="0" applyNumberFormat="1" applyFont="1" applyBorder="1" applyAlignment="1">
      <alignment horizontal="centerContinuous"/>
    </xf>
    <xf numFmtId="2" fontId="33" fillId="0" borderId="20" xfId="0" applyNumberFormat="1" applyFont="1" applyBorder="1" applyAlignment="1">
      <alignment horizontal="centerContinuous"/>
    </xf>
    <xf numFmtId="166" fontId="33" fillId="0" borderId="1" xfId="2" applyFont="1" applyBorder="1"/>
    <xf numFmtId="2" fontId="33" fillId="0" borderId="3" xfId="0" applyNumberFormat="1" applyFont="1" applyBorder="1" applyAlignment="1">
      <alignment horizontal="center"/>
    </xf>
    <xf numFmtId="166" fontId="33" fillId="0" borderId="3" xfId="2" applyFont="1" applyBorder="1"/>
    <xf numFmtId="168" fontId="11" fillId="0" borderId="2" xfId="0" applyNumberFormat="1" applyFont="1" applyBorder="1"/>
    <xf numFmtId="168" fontId="11" fillId="0" borderId="21" xfId="0" applyNumberFormat="1" applyFont="1" applyBorder="1"/>
    <xf numFmtId="164" fontId="11" fillId="0" borderId="1" xfId="2" applyNumberFormat="1" applyFont="1" applyBorder="1"/>
    <xf numFmtId="166" fontId="24" fillId="8" borderId="20" xfId="0" applyNumberFormat="1" applyFont="1" applyFill="1" applyBorder="1" applyAlignment="1">
      <alignment horizontal="center"/>
    </xf>
    <xf numFmtId="166" fontId="40" fillId="9" borderId="20" xfId="0" applyNumberFormat="1" applyFont="1" applyFill="1" applyBorder="1" applyAlignment="1">
      <alignment horizontal="left"/>
    </xf>
    <xf numFmtId="0" fontId="0" fillId="0" borderId="1" xfId="0" applyFill="1" applyBorder="1" applyAlignment="1">
      <alignment horizontal="center"/>
    </xf>
    <xf numFmtId="168" fontId="0" fillId="0" borderId="1" xfId="0" applyNumberFormat="1" applyBorder="1" applyAlignment="1">
      <alignment horizontal="center"/>
    </xf>
    <xf numFmtId="168" fontId="0" fillId="0" borderId="1" xfId="0" applyNumberFormat="1" applyBorder="1"/>
    <xf numFmtId="168" fontId="0" fillId="0" borderId="1" xfId="3" applyNumberFormat="1" applyFont="1" applyBorder="1" applyAlignment="1">
      <alignment horizontal="center"/>
    </xf>
    <xf numFmtId="168" fontId="0" fillId="0" borderId="0" xfId="0" applyNumberFormat="1" applyAlignment="1">
      <alignment horizontal="center"/>
    </xf>
    <xf numFmtId="168" fontId="0" fillId="0" borderId="0" xfId="0" applyNumberFormat="1"/>
    <xf numFmtId="168" fontId="11" fillId="6" borderId="2" xfId="0" applyNumberFormat="1" applyFont="1" applyFill="1" applyBorder="1"/>
    <xf numFmtId="0" fontId="26" fillId="0" borderId="12" xfId="0" applyFont="1" applyBorder="1"/>
    <xf numFmtId="0" fontId="35" fillId="0" borderId="0" xfId="0" applyFont="1"/>
    <xf numFmtId="0" fontId="24" fillId="0" borderId="22" xfId="0" applyFont="1" applyBorder="1"/>
    <xf numFmtId="0" fontId="24" fillId="0" borderId="23" xfId="0" applyFont="1" applyBorder="1"/>
    <xf numFmtId="0" fontId="15" fillId="5" borderId="24" xfId="0" applyFont="1" applyFill="1" applyBorder="1" applyAlignment="1">
      <alignment vertical="center" wrapText="1"/>
    </xf>
    <xf numFmtId="0" fontId="12" fillId="5" borderId="15"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1" fillId="6" borderId="1" xfId="0" applyFont="1" applyFill="1" applyBorder="1" applyAlignment="1">
      <alignment horizontal="left" vertical="center" wrapText="1"/>
    </xf>
    <xf numFmtId="0" fontId="11" fillId="6" borderId="26" xfId="0" applyFont="1" applyFill="1" applyBorder="1" applyAlignment="1">
      <alignment horizontal="left" vertical="center" wrapText="1"/>
    </xf>
    <xf numFmtId="9" fontId="11" fillId="6" borderId="1" xfId="3" applyFont="1" applyFill="1" applyBorder="1" applyAlignment="1">
      <alignment horizontal="left" vertical="center" wrapText="1"/>
    </xf>
    <xf numFmtId="0" fontId="11" fillId="6" borderId="26" xfId="0" applyFont="1" applyFill="1" applyBorder="1" applyAlignment="1">
      <alignment horizontal="left" vertical="center"/>
    </xf>
    <xf numFmtId="0" fontId="11" fillId="6" borderId="1" xfId="0" applyFont="1" applyFill="1" applyBorder="1" applyAlignment="1">
      <alignment horizontal="left"/>
    </xf>
    <xf numFmtId="0" fontId="11" fillId="6" borderId="26" xfId="0" applyFont="1" applyFill="1" applyBorder="1" applyAlignment="1">
      <alignment horizontal="left"/>
    </xf>
    <xf numFmtId="10" fontId="11" fillId="6" borderId="16" xfId="3" applyNumberFormat="1" applyFont="1" applyFill="1" applyBorder="1" applyAlignment="1">
      <alignment horizontal="left"/>
    </xf>
    <xf numFmtId="0" fontId="11" fillId="6" borderId="27" xfId="0" applyFont="1" applyFill="1" applyBorder="1" applyAlignment="1">
      <alignment horizontal="left"/>
    </xf>
    <xf numFmtId="0" fontId="11" fillId="5" borderId="24" xfId="0" applyFont="1" applyFill="1" applyBorder="1" applyAlignment="1">
      <alignment vertical="center"/>
    </xf>
    <xf numFmtId="0" fontId="11" fillId="5" borderId="28" xfId="0" applyFont="1" applyFill="1" applyBorder="1"/>
    <xf numFmtId="0" fontId="11" fillId="5" borderId="29" xfId="0" applyFont="1" applyFill="1" applyBorder="1"/>
    <xf numFmtId="0" fontId="26" fillId="0" borderId="0" xfId="0" applyFont="1" applyFill="1" applyBorder="1"/>
    <xf numFmtId="168" fontId="1" fillId="0" borderId="0" xfId="0" applyNumberFormat="1" applyFont="1" applyAlignment="1">
      <alignment horizontal="center"/>
    </xf>
    <xf numFmtId="168" fontId="1" fillId="0" borderId="0" xfId="0" applyNumberFormat="1" applyFont="1"/>
    <xf numFmtId="17" fontId="23" fillId="4" borderId="1" xfId="0" applyNumberFormat="1" applyFont="1" applyFill="1" applyBorder="1" applyAlignment="1">
      <alignment horizontal="center"/>
    </xf>
    <xf numFmtId="0" fontId="42" fillId="4" borderId="1" xfId="0" applyFont="1" applyFill="1" applyBorder="1" applyAlignment="1">
      <alignment horizontal="center"/>
    </xf>
    <xf numFmtId="0" fontId="11" fillId="4" borderId="1" xfId="0" applyFont="1" applyFill="1" applyBorder="1"/>
    <xf numFmtId="10" fontId="11" fillId="4" borderId="1" xfId="0" applyNumberFormat="1" applyFont="1" applyFill="1" applyBorder="1" applyAlignment="1">
      <alignment horizontal="center"/>
    </xf>
    <xf numFmtId="0" fontId="24" fillId="4" borderId="1" xfId="0" applyFont="1" applyFill="1" applyBorder="1" applyAlignment="1"/>
    <xf numFmtId="10" fontId="11" fillId="6" borderId="1" xfId="0" applyNumberFormat="1" applyFont="1" applyFill="1" applyBorder="1" applyAlignment="1">
      <alignment horizontal="center"/>
    </xf>
    <xf numFmtId="170" fontId="11" fillId="3" borderId="1" xfId="0" applyNumberFormat="1" applyFont="1" applyFill="1" applyBorder="1"/>
    <xf numFmtId="0" fontId="43" fillId="0" borderId="1" xfId="0" applyFont="1" applyBorder="1" applyAlignment="1">
      <alignment horizontal="center"/>
    </xf>
    <xf numFmtId="9" fontId="11" fillId="6" borderId="1" xfId="0" applyNumberFormat="1" applyFont="1" applyFill="1" applyBorder="1" applyAlignment="1">
      <alignment horizontal="center"/>
    </xf>
    <xf numFmtId="0" fontId="11" fillId="6" borderId="2" xfId="0" applyFont="1" applyFill="1" applyBorder="1" applyAlignment="1">
      <alignment horizontal="center"/>
    </xf>
    <xf numFmtId="0" fontId="36" fillId="0" borderId="0" xfId="0" applyFont="1"/>
    <xf numFmtId="2" fontId="11" fillId="4" borderId="1" xfId="0" applyNumberFormat="1" applyFont="1" applyFill="1" applyBorder="1"/>
    <xf numFmtId="0" fontId="27" fillId="0" borderId="0" xfId="0" applyFont="1" applyFill="1" applyBorder="1" applyAlignment="1">
      <alignment horizontal="left"/>
    </xf>
    <xf numFmtId="10" fontId="0" fillId="0" borderId="0" xfId="3" applyNumberFormat="1" applyFont="1" applyAlignment="1">
      <alignment horizontal="center"/>
    </xf>
    <xf numFmtId="0" fontId="36" fillId="5" borderId="1" xfId="0" applyFont="1" applyFill="1" applyBorder="1"/>
    <xf numFmtId="0" fontId="12" fillId="5" borderId="1" xfId="0" applyFont="1" applyFill="1" applyBorder="1"/>
    <xf numFmtId="10" fontId="0" fillId="0" borderId="0" xfId="0" applyNumberFormat="1" applyAlignment="1">
      <alignment horizontal="center"/>
    </xf>
    <xf numFmtId="2" fontId="0" fillId="0" borderId="0" xfId="0" applyNumberFormat="1" applyAlignment="1">
      <alignment horizontal="center"/>
    </xf>
    <xf numFmtId="0" fontId="28" fillId="0" borderId="1" xfId="0" applyFont="1" applyBorder="1" applyAlignment="1">
      <alignment horizontal="center"/>
    </xf>
    <xf numFmtId="10" fontId="28" fillId="0" borderId="1" xfId="3" applyNumberFormat="1" applyFont="1" applyBorder="1"/>
    <xf numFmtId="10" fontId="21" fillId="0" borderId="1" xfId="3" applyNumberFormat="1" applyFont="1" applyBorder="1" applyAlignment="1">
      <alignment horizontal="center"/>
    </xf>
    <xf numFmtId="10" fontId="21" fillId="0" borderId="1" xfId="3" applyNumberFormat="1" applyFont="1" applyBorder="1"/>
    <xf numFmtId="0" fontId="44" fillId="0" borderId="1" xfId="0" applyFont="1" applyBorder="1" applyAlignment="1">
      <alignment horizontal="left"/>
    </xf>
    <xf numFmtId="9" fontId="44" fillId="0" borderId="1" xfId="3" applyFont="1" applyBorder="1" applyAlignment="1">
      <alignment horizontal="left"/>
    </xf>
    <xf numFmtId="0" fontId="37" fillId="0" borderId="0" xfId="0" applyFont="1"/>
    <xf numFmtId="10" fontId="0" fillId="0" borderId="0" xfId="0" applyNumberFormat="1"/>
    <xf numFmtId="10" fontId="0" fillId="0" borderId="33" xfId="0" applyNumberFormat="1" applyFont="1" applyBorder="1"/>
    <xf numFmtId="0" fontId="38" fillId="0" borderId="0" xfId="0" applyFont="1"/>
    <xf numFmtId="10" fontId="39" fillId="0" borderId="34" xfId="0" applyNumberFormat="1" applyFont="1" applyBorder="1"/>
    <xf numFmtId="0" fontId="28" fillId="0" borderId="14" xfId="0" applyFont="1" applyBorder="1" applyAlignment="1">
      <alignment horizontal="center"/>
    </xf>
    <xf numFmtId="0" fontId="28" fillId="0" borderId="1" xfId="0" applyFont="1" applyFill="1" applyBorder="1"/>
    <xf numFmtId="10" fontId="21" fillId="0" borderId="14" xfId="0" applyNumberFormat="1" applyFont="1" applyBorder="1" applyAlignment="1">
      <alignment horizontal="center"/>
    </xf>
    <xf numFmtId="2" fontId="0" fillId="0" borderId="0" xfId="0" applyNumberFormat="1"/>
    <xf numFmtId="168" fontId="0" fillId="6" borderId="1" xfId="0" applyNumberFormat="1" applyFill="1" applyBorder="1"/>
    <xf numFmtId="0" fontId="25" fillId="0" borderId="0" xfId="0" applyFont="1" applyFill="1" applyBorder="1" applyAlignment="1"/>
    <xf numFmtId="0" fontId="23" fillId="0" borderId="30" xfId="0" applyFont="1" applyBorder="1" applyAlignment="1">
      <alignment horizontal="center"/>
    </xf>
    <xf numFmtId="0" fontId="23" fillId="0" borderId="9" xfId="0" applyFont="1" applyBorder="1" applyAlignment="1">
      <alignment horizontal="center"/>
    </xf>
    <xf numFmtId="0" fontId="23" fillId="0" borderId="31" xfId="0" applyFont="1" applyBorder="1" applyAlignment="1">
      <alignment horizontal="center"/>
    </xf>
    <xf numFmtId="0" fontId="23" fillId="0" borderId="32" xfId="0" applyFont="1" applyBorder="1" applyAlignment="1">
      <alignment horizontal="center"/>
    </xf>
    <xf numFmtId="10" fontId="45" fillId="0" borderId="30" xfId="0" applyNumberFormat="1" applyFont="1" applyBorder="1" applyAlignment="1">
      <alignment horizontal="center"/>
    </xf>
    <xf numFmtId="10" fontId="45" fillId="0" borderId="32" xfId="0" applyNumberFormat="1" applyFont="1" applyBorder="1" applyAlignment="1">
      <alignment horizontal="center"/>
    </xf>
  </cellXfs>
  <cellStyles count="4">
    <cellStyle name="Comma" xfId="1" builtinId="3"/>
    <cellStyle name="Currency" xfId="2" builtinId="4"/>
    <cellStyle name="Normal" xfId="0" builtinId="0"/>
    <cellStyle name="Percent" xfId="3" builtinId="5"/>
  </cellStyles>
  <dxfs count="1">
    <dxf>
      <border>
        <left/>
        <right/>
        <top/>
        <bottom/>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13</xdr:col>
      <xdr:colOff>60960</xdr:colOff>
      <xdr:row>0</xdr:row>
      <xdr:rowOff>60960</xdr:rowOff>
    </xdr:from>
    <xdr:ext cx="2215478" cy="609013"/>
    <xdr:sp macro="" textlink="">
      <xdr:nvSpPr>
        <xdr:cNvPr id="3" name="TextBox 2"/>
        <xdr:cNvSpPr txBox="1"/>
      </xdr:nvSpPr>
      <xdr:spPr>
        <a:xfrm>
          <a:off x="13022580" y="60960"/>
          <a:ext cx="2215478"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Check these revenues against</a:t>
          </a:r>
        </a:p>
        <a:p>
          <a:r>
            <a:rPr lang="en-US" sz="1100">
              <a:solidFill>
                <a:srgbClr val="FF0000"/>
              </a:solidFill>
            </a:rPr>
            <a:t>a.</a:t>
          </a:r>
          <a:r>
            <a:rPr lang="en-US" sz="1100" baseline="0">
              <a:solidFill>
                <a:srgbClr val="FF0000"/>
              </a:solidFill>
            </a:rPr>
            <a:t> Overall market size</a:t>
          </a:r>
        </a:p>
        <a:p>
          <a:r>
            <a:rPr lang="en-US" sz="1100" baseline="0">
              <a:solidFill>
                <a:srgbClr val="FF0000"/>
              </a:solidFill>
            </a:rPr>
            <a:t>b. Largest companies in this market</a:t>
          </a:r>
          <a:endParaRPr lang="en-US" sz="1100">
            <a:solidFill>
              <a:srgbClr val="FF0000"/>
            </a:solidFill>
          </a:endParaRPr>
        </a:p>
      </xdr:txBody>
    </xdr:sp>
    <xdr:clientData/>
  </xdr:oneCellAnchor>
  <xdr:oneCellAnchor>
    <xdr:from>
      <xdr:col>11</xdr:col>
      <xdr:colOff>40640</xdr:colOff>
      <xdr:row>41</xdr:row>
      <xdr:rowOff>50165</xdr:rowOff>
    </xdr:from>
    <xdr:ext cx="4613892" cy="781240"/>
    <xdr:sp macro="" textlink="">
      <xdr:nvSpPr>
        <xdr:cNvPr id="4" name="TextBox 3"/>
        <xdr:cNvSpPr txBox="1"/>
      </xdr:nvSpPr>
      <xdr:spPr>
        <a:xfrm>
          <a:off x="11097260" y="8173085"/>
          <a:ext cx="4613892"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Compare this return on capital</a:t>
          </a:r>
          <a:r>
            <a:rPr lang="en-US" sz="1100" baseline="0">
              <a:solidFill>
                <a:srgbClr val="FF0000"/>
              </a:solidFill>
            </a:rPr>
            <a:t> in year 10 against</a:t>
          </a:r>
        </a:p>
        <a:p>
          <a:r>
            <a:rPr lang="en-US" sz="1100" baseline="0">
              <a:solidFill>
                <a:srgbClr val="FF0000"/>
              </a:solidFill>
            </a:rPr>
            <a:t>a.  the industry average(column E of worksheet)</a:t>
          </a:r>
        </a:p>
        <a:p>
          <a:r>
            <a:rPr lang="en-US" sz="1100" baseline="0">
              <a:solidFill>
                <a:srgbClr val="FF0000"/>
              </a:solidFill>
            </a:rPr>
            <a:t>b. the return on capital after year 10</a:t>
          </a:r>
        </a:p>
        <a:p>
          <a:r>
            <a:rPr lang="en-US" sz="1100" baseline="0">
              <a:solidFill>
                <a:srgbClr val="FF0000"/>
              </a:solidFill>
            </a:rPr>
            <a:t>If it is too high (low), you may want to lower  (raise) your sales to capital ratio</a:t>
          </a:r>
          <a:endParaRPr lang="en-US" sz="1100">
            <a:solidFill>
              <a:srgbClr val="FF0000"/>
            </a:solidFill>
          </a:endParaRPr>
        </a:p>
      </xdr:txBody>
    </xdr:sp>
    <xdr:clientData/>
  </xdr:oneCellAnchor>
  <xdr:oneCellAnchor>
    <xdr:from>
      <xdr:col>14</xdr:col>
      <xdr:colOff>40005</xdr:colOff>
      <xdr:row>6</xdr:row>
      <xdr:rowOff>151130</xdr:rowOff>
    </xdr:from>
    <xdr:ext cx="2083041" cy="609013"/>
    <xdr:sp macro="" textlink="">
      <xdr:nvSpPr>
        <xdr:cNvPr id="2" name="TextBox 1"/>
        <xdr:cNvSpPr txBox="1"/>
      </xdr:nvSpPr>
      <xdr:spPr>
        <a:xfrm>
          <a:off x="13847445" y="1339850"/>
          <a:ext cx="208304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rgbClr val="FF0000"/>
              </a:solidFill>
            </a:rPr>
            <a:t>This is how much capital you invested over the</a:t>
          </a:r>
          <a:r>
            <a:rPr lang="en-US" sz="1100" baseline="0">
              <a:solidFill>
                <a:srgbClr val="FF0000"/>
              </a:solidFill>
            </a:rPr>
            <a:t> ten year period. </a:t>
          </a:r>
          <a:endParaRPr lang="en-US" sz="1100">
            <a:solidFill>
              <a:srgbClr val="FF0000"/>
            </a:solidFill>
          </a:endParaRPr>
        </a:p>
      </xdr:txBody>
    </xdr:sp>
    <xdr:clientData/>
  </xdr:oneCellAnchor>
  <xdr:oneCellAnchor>
    <xdr:from>
      <xdr:col>14</xdr:col>
      <xdr:colOff>10160</xdr:colOff>
      <xdr:row>3</xdr:row>
      <xdr:rowOff>141605</xdr:rowOff>
    </xdr:from>
    <xdr:ext cx="2865013" cy="436786"/>
    <xdr:sp macro="" textlink="">
      <xdr:nvSpPr>
        <xdr:cNvPr id="5" name="TextBox 4"/>
        <xdr:cNvSpPr txBox="1"/>
      </xdr:nvSpPr>
      <xdr:spPr>
        <a:xfrm>
          <a:off x="13817600" y="735965"/>
          <a:ext cx="286501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rgbClr val="FF0000"/>
              </a:solidFill>
            </a:rPr>
            <a:t>This is is how much your</a:t>
          </a:r>
          <a:r>
            <a:rPr lang="en-US" sz="1100" baseline="0">
              <a:solidFill>
                <a:srgbClr val="FF0000"/>
              </a:solidFill>
            </a:rPr>
            <a:t> operating income grew over the ten-year period.</a:t>
          </a:r>
          <a:endParaRPr lang="en-US" sz="1100">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dimension ref="A1:N58"/>
  <sheetViews>
    <sheetView tabSelected="1" topLeftCell="A4" zoomScaleNormal="100" workbookViewId="0">
      <selection activeCell="B25" sqref="B25"/>
    </sheetView>
  </sheetViews>
  <sheetFormatPr defaultColWidth="10.85546875" defaultRowHeight="10.5"/>
  <cols>
    <col min="1" max="1" width="49.7109375" style="7" customWidth="1"/>
    <col min="2" max="2" width="19.7109375" style="7" customWidth="1"/>
    <col min="3" max="3" width="12" style="7" bestFit="1" customWidth="1"/>
    <col min="4" max="7" width="10.85546875" style="7"/>
    <col min="8" max="8" width="11" style="7" bestFit="1" customWidth="1"/>
    <col min="9" max="9" width="10.85546875" style="7"/>
    <col min="10" max="10" width="15" style="7" bestFit="1" customWidth="1"/>
    <col min="11" max="11" width="17.42578125" style="7" bestFit="1" customWidth="1"/>
    <col min="12" max="16384" width="10.85546875" style="7"/>
  </cols>
  <sheetData>
    <row r="1" spans="1:10" ht="12.75">
      <c r="A1" s="223" t="s">
        <v>490</v>
      </c>
      <c r="B1" s="243">
        <v>40999</v>
      </c>
      <c r="C1" s="184" t="s">
        <v>491</v>
      </c>
      <c r="D1" s="185"/>
      <c r="E1" s="185"/>
      <c r="F1" s="185"/>
      <c r="G1" s="185"/>
      <c r="H1" s="185"/>
      <c r="I1" s="185"/>
      <c r="J1" s="186"/>
    </row>
    <row r="2" spans="1:10" s="61" customFormat="1" ht="13.5" thickBot="1">
      <c r="A2" s="58" t="s">
        <v>35</v>
      </c>
      <c r="B2" s="244" t="s">
        <v>714</v>
      </c>
      <c r="C2" s="224" t="s">
        <v>191</v>
      </c>
      <c r="D2" s="88"/>
      <c r="E2" s="88"/>
      <c r="F2" s="88"/>
      <c r="G2" s="88"/>
      <c r="H2" s="88"/>
      <c r="I2" s="88"/>
      <c r="J2" s="225"/>
    </row>
    <row r="3" spans="1:10" s="61" customFormat="1" ht="13.5" thickBot="1">
      <c r="A3" s="278" t="s">
        <v>537</v>
      </c>
      <c r="B3" s="279"/>
      <c r="C3" s="280"/>
      <c r="D3" s="280"/>
      <c r="E3" s="280"/>
      <c r="F3" s="280"/>
      <c r="G3" s="280"/>
      <c r="H3" s="280"/>
      <c r="I3" s="280"/>
      <c r="J3" s="281"/>
    </row>
    <row r="4" spans="1:10" s="61" customFormat="1" ht="12.75">
      <c r="A4" s="62"/>
      <c r="B4" s="62" t="s">
        <v>277</v>
      </c>
      <c r="C4" s="187" t="s">
        <v>278</v>
      </c>
      <c r="D4" s="88"/>
      <c r="E4" s="88"/>
      <c r="F4" s="88"/>
      <c r="G4" s="88"/>
      <c r="H4" s="88"/>
      <c r="I4" s="88"/>
    </row>
    <row r="5" spans="1:10" s="61" customFormat="1" ht="12.75">
      <c r="A5" s="168" t="s">
        <v>557</v>
      </c>
      <c r="B5" s="247" t="s">
        <v>483</v>
      </c>
      <c r="C5" s="187"/>
      <c r="D5" s="88"/>
      <c r="E5" s="88"/>
      <c r="F5" s="88"/>
      <c r="G5" s="88"/>
      <c r="H5" s="88"/>
      <c r="I5" s="88"/>
    </row>
    <row r="6" spans="1:10" s="61" customFormat="1" ht="12.75">
      <c r="A6" s="168" t="s">
        <v>545</v>
      </c>
      <c r="B6" s="169" t="s">
        <v>265</v>
      </c>
      <c r="C6" s="88"/>
      <c r="D6" s="88"/>
      <c r="E6" s="88"/>
      <c r="F6" s="88"/>
      <c r="G6" s="88"/>
      <c r="H6" s="88"/>
      <c r="I6" s="88"/>
    </row>
    <row r="7" spans="1:10" s="61" customFormat="1" ht="12.75">
      <c r="A7" s="168" t="s">
        <v>546</v>
      </c>
      <c r="B7" s="247" t="s">
        <v>265</v>
      </c>
      <c r="C7" s="88"/>
      <c r="D7" s="88"/>
      <c r="E7" s="88"/>
      <c r="F7" s="88"/>
      <c r="G7" s="88"/>
      <c r="H7" s="88"/>
      <c r="I7" s="88"/>
    </row>
    <row r="8" spans="1:10" s="61" customFormat="1" ht="12.75">
      <c r="A8" s="66" t="s">
        <v>11</v>
      </c>
      <c r="B8" s="67">
        <v>382090</v>
      </c>
      <c r="C8" s="91">
        <v>340758</v>
      </c>
      <c r="D8" s="68"/>
    </row>
    <row r="9" spans="1:10" s="61" customFormat="1" ht="12.75">
      <c r="A9" s="66" t="s">
        <v>30</v>
      </c>
      <c r="B9" s="67">
        <v>8510</v>
      </c>
      <c r="C9" s="91">
        <v>8297</v>
      </c>
      <c r="D9" s="68" t="s">
        <v>533</v>
      </c>
    </row>
    <row r="10" spans="1:10" s="61" customFormat="1" ht="12.75">
      <c r="A10" s="66" t="s">
        <v>550</v>
      </c>
      <c r="B10" s="91">
        <v>0</v>
      </c>
      <c r="C10" s="91">
        <v>0</v>
      </c>
      <c r="D10" s="68"/>
    </row>
    <row r="11" spans="1:10" s="61" customFormat="1" ht="12.75">
      <c r="A11" s="66" t="s">
        <v>31</v>
      </c>
      <c r="B11" s="67">
        <v>94081</v>
      </c>
      <c r="C11" s="91">
        <v>94981</v>
      </c>
      <c r="D11" s="68"/>
    </row>
    <row r="12" spans="1:10" s="61" customFormat="1" ht="12.75">
      <c r="A12" s="66" t="s">
        <v>32</v>
      </c>
      <c r="B12" s="67">
        <v>0</v>
      </c>
      <c r="C12" s="91">
        <v>0</v>
      </c>
      <c r="D12" s="68"/>
    </row>
    <row r="13" spans="1:10" s="61" customFormat="1" ht="12.75">
      <c r="A13" s="172" t="s">
        <v>531</v>
      </c>
      <c r="B13" s="213" t="s">
        <v>54</v>
      </c>
      <c r="C13" s="214" t="s">
        <v>532</v>
      </c>
      <c r="D13" s="68"/>
    </row>
    <row r="14" spans="1:10" s="61" customFormat="1" ht="12.75">
      <c r="A14" s="66" t="s">
        <v>343</v>
      </c>
      <c r="B14" s="91" t="s">
        <v>54</v>
      </c>
      <c r="C14" s="68" t="s">
        <v>346</v>
      </c>
      <c r="D14" s="68"/>
    </row>
    <row r="15" spans="1:10" s="61" customFormat="1" ht="12.75">
      <c r="A15" s="66" t="s">
        <v>344</v>
      </c>
      <c r="B15" s="67">
        <v>23823</v>
      </c>
      <c r="C15" s="91">
        <v>23124</v>
      </c>
      <c r="D15" s="68"/>
    </row>
    <row r="16" spans="1:10" s="61" customFormat="1" ht="12.75">
      <c r="A16" s="66" t="s">
        <v>492</v>
      </c>
      <c r="B16" s="188">
        <v>0</v>
      </c>
      <c r="C16" s="91">
        <v>0</v>
      </c>
      <c r="D16" s="68"/>
    </row>
    <row r="17" spans="1:11" s="61" customFormat="1" ht="12.75">
      <c r="A17" s="66" t="s">
        <v>496</v>
      </c>
      <c r="B17" s="188">
        <v>0</v>
      </c>
      <c r="C17" s="91">
        <v>0</v>
      </c>
      <c r="D17" s="68"/>
    </row>
    <row r="18" spans="1:11" s="61" customFormat="1" ht="13.5" thickBot="1">
      <c r="A18" s="66" t="s">
        <v>33</v>
      </c>
      <c r="B18" s="170">
        <v>5284</v>
      </c>
      <c r="C18" s="68"/>
    </row>
    <row r="19" spans="1:11" s="61" customFormat="1" ht="12.75">
      <c r="A19" s="66" t="s">
        <v>34</v>
      </c>
      <c r="B19" s="67">
        <v>16.5</v>
      </c>
      <c r="C19" s="68"/>
      <c r="E19" s="95" t="s">
        <v>342</v>
      </c>
      <c r="F19" s="59"/>
      <c r="G19" s="59"/>
      <c r="H19" s="59"/>
      <c r="I19" s="59"/>
      <c r="J19" s="59"/>
      <c r="K19" s="60"/>
    </row>
    <row r="20" spans="1:11" s="61" customFormat="1" ht="12.75">
      <c r="A20" s="69" t="s">
        <v>195</v>
      </c>
      <c r="B20" s="70">
        <v>0.34200000000000003</v>
      </c>
      <c r="C20" s="68"/>
      <c r="E20" s="222" t="s">
        <v>536</v>
      </c>
      <c r="F20" s="88"/>
      <c r="G20" s="88"/>
      <c r="H20" s="88"/>
      <c r="I20" s="88"/>
      <c r="J20" s="88"/>
      <c r="K20" s="97"/>
    </row>
    <row r="21" spans="1:11" s="61" customFormat="1" ht="12.75">
      <c r="A21" s="69" t="s">
        <v>196</v>
      </c>
      <c r="B21" s="70">
        <v>0.4</v>
      </c>
      <c r="C21" s="68"/>
      <c r="E21" s="166"/>
      <c r="F21" s="88"/>
      <c r="G21" s="88"/>
      <c r="H21" s="88"/>
      <c r="I21" s="172" t="s">
        <v>338</v>
      </c>
      <c r="J21" s="172" t="s">
        <v>340</v>
      </c>
      <c r="K21" s="97" t="s">
        <v>548</v>
      </c>
    </row>
    <row r="22" spans="1:11" s="61" customFormat="1" ht="12.75">
      <c r="A22" s="71" t="s">
        <v>36</v>
      </c>
      <c r="B22" s="72"/>
      <c r="C22" s="68"/>
      <c r="E22" s="96" t="s">
        <v>273</v>
      </c>
      <c r="F22" s="88"/>
      <c r="G22" s="88"/>
      <c r="H22" s="88"/>
      <c r="I22" s="93">
        <f>IF(C8&gt;0,B8/C8-1, "NA")</f>
        <v>0.12129429096308808</v>
      </c>
      <c r="J22" s="93">
        <f>VLOOKUP(B6,'Industry Averages(US)'!A2:S99,3)</f>
        <v>0.10341407407407406</v>
      </c>
      <c r="K22" s="94">
        <f>VLOOKUP(B7,'Global industry averages'!A2:N98,14)</f>
        <v>7.9593710191082787E-2</v>
      </c>
    </row>
    <row r="23" spans="1:11" s="61" customFormat="1" ht="12.75">
      <c r="A23" s="66" t="s">
        <v>50</v>
      </c>
      <c r="B23" s="73">
        <v>0.14799999999999999</v>
      </c>
      <c r="C23" s="68"/>
      <c r="E23" s="96" t="s">
        <v>274</v>
      </c>
      <c r="F23" s="88"/>
      <c r="G23" s="88"/>
      <c r="H23" s="88"/>
      <c r="I23" s="93">
        <f>'Valuation output'!B4</f>
        <v>2.2272239524719305E-2</v>
      </c>
      <c r="J23" s="94">
        <f>VLOOKUP(B6,'Industry Averages(US)'!A2:S99,4)</f>
        <v>0.26927595947326632</v>
      </c>
      <c r="K23" s="94">
        <f>VLOOKUP(B7,'Global industry averages'!A2:N98,9)</f>
        <v>0.2306549244547236</v>
      </c>
    </row>
    <row r="24" spans="1:11" s="61" customFormat="1" ht="12.75">
      <c r="A24" s="66" t="s">
        <v>52</v>
      </c>
      <c r="B24" s="171">
        <v>1.7999999999999999E-2</v>
      </c>
      <c r="C24" s="68"/>
      <c r="E24" s="96" t="s">
        <v>275</v>
      </c>
      <c r="F24" s="88"/>
      <c r="G24" s="88"/>
      <c r="H24" s="88"/>
      <c r="I24" s="92">
        <f>B8/(B11+B12-B15)</f>
        <v>5.4383842409405334</v>
      </c>
      <c r="J24" s="167">
        <f>VLOOKUP(B6,'Industry Averages(US)'!A2:S99,14)</f>
        <v>1.2576035133990107</v>
      </c>
      <c r="K24" s="92">
        <f>VLOOKUP(B7,'Global industry averages'!A2:N98,12)</f>
        <v>1.8917868223362226</v>
      </c>
    </row>
    <row r="25" spans="1:11" s="61" customFormat="1" ht="12.75">
      <c r="A25" s="66" t="s">
        <v>38</v>
      </c>
      <c r="B25" s="74">
        <v>10</v>
      </c>
      <c r="C25" s="68"/>
      <c r="E25" s="96" t="s">
        <v>276</v>
      </c>
      <c r="F25" s="88"/>
      <c r="G25" s="88"/>
      <c r="H25" s="88"/>
      <c r="I25" s="94">
        <f>B9*(1-B20)/(C11+C12-C15-C16+C17)</f>
        <v>7.7926715560070678E-2</v>
      </c>
      <c r="J25" s="94">
        <f>VLOOKUP(B6,'Industry Averages(US)'!A2:S99,5)</f>
        <v>0.25517096601566158</v>
      </c>
      <c r="K25" s="94">
        <f>VLOOKUP(B7,'Global industry averages'!A2:N97,11)</f>
        <v>0.38492859145648933</v>
      </c>
    </row>
    <row r="26" spans="1:11" s="61" customFormat="1" ht="12.75">
      <c r="A26" s="71" t="s">
        <v>37</v>
      </c>
      <c r="B26" s="75"/>
      <c r="C26" s="68"/>
      <c r="E26" s="96" t="s">
        <v>489</v>
      </c>
      <c r="F26" s="88"/>
      <c r="G26" s="88"/>
      <c r="H26" s="88"/>
      <c r="I26" s="183"/>
      <c r="J26" s="182">
        <f>VLOOKUP(B6,'Industry Averages(US)'!A2:S99,10)</f>
        <v>0.671378102189781</v>
      </c>
      <c r="K26" s="97"/>
    </row>
    <row r="27" spans="1:11" s="61" customFormat="1" ht="13.5" thickBot="1">
      <c r="A27" s="66" t="s">
        <v>28</v>
      </c>
      <c r="B27" s="73">
        <v>2.5000000000000001E-2</v>
      </c>
      <c r="C27" s="68"/>
      <c r="E27" s="63" t="s">
        <v>488</v>
      </c>
      <c r="F27" s="64"/>
      <c r="G27" s="64"/>
      <c r="H27" s="64"/>
      <c r="I27" s="64"/>
      <c r="J27" s="180">
        <f>VLOOKUP(B6,'Industry Averages(US)'!A2:S99,13)</f>
        <v>6.9786211445102053E-2</v>
      </c>
      <c r="K27" s="65"/>
    </row>
    <row r="28" spans="1:11" s="61" customFormat="1" ht="12.75">
      <c r="A28" s="66" t="s">
        <v>40</v>
      </c>
      <c r="B28" s="73">
        <f>'Cost of capital worksheet'!E48</f>
        <v>8.8454917930882032E-2</v>
      </c>
      <c r="C28" s="68"/>
    </row>
    <row r="29" spans="1:11" s="61" customFormat="1" ht="12.75">
      <c r="A29" s="71" t="s">
        <v>92</v>
      </c>
      <c r="B29" s="76"/>
      <c r="C29" s="68"/>
    </row>
    <row r="30" spans="1:11" s="61" customFormat="1" ht="12.75">
      <c r="A30" s="69" t="s">
        <v>345</v>
      </c>
      <c r="B30" s="171" t="s">
        <v>54</v>
      </c>
      <c r="C30" s="68"/>
    </row>
    <row r="31" spans="1:11" s="61" customFormat="1" ht="12.75">
      <c r="A31" s="69" t="s">
        <v>93</v>
      </c>
      <c r="B31" s="74">
        <v>0</v>
      </c>
      <c r="C31" s="68"/>
    </row>
    <row r="32" spans="1:11" s="61" customFormat="1" ht="12.75">
      <c r="A32" s="69" t="s">
        <v>94</v>
      </c>
      <c r="B32" s="77">
        <v>0</v>
      </c>
      <c r="C32" s="68"/>
      <c r="H32" s="61">
        <f>2^(1/5)</f>
        <v>1.1486983549970351</v>
      </c>
    </row>
    <row r="33" spans="1:14" s="61" customFormat="1" ht="12.75">
      <c r="A33" s="69" t="s">
        <v>95</v>
      </c>
      <c r="B33" s="74">
        <v>0</v>
      </c>
      <c r="C33" s="68"/>
    </row>
    <row r="34" spans="1:14" s="61" customFormat="1" ht="12.75">
      <c r="A34" s="69" t="s">
        <v>96</v>
      </c>
      <c r="B34" s="73">
        <v>0</v>
      </c>
      <c r="C34" s="68"/>
    </row>
    <row r="35" spans="1:14" s="61" customFormat="1" ht="12.75">
      <c r="A35" s="69"/>
      <c r="B35" s="78"/>
      <c r="C35" s="76"/>
      <c r="D35" s="68"/>
    </row>
    <row r="36" spans="1:14" s="61" customFormat="1" ht="12.75">
      <c r="A36" s="277" t="s">
        <v>197</v>
      </c>
      <c r="B36" s="277"/>
      <c r="C36" s="89"/>
      <c r="D36" s="68"/>
    </row>
    <row r="37" spans="1:14" s="80" customFormat="1" ht="12.75">
      <c r="A37" s="79" t="s">
        <v>198</v>
      </c>
      <c r="B37" s="79"/>
      <c r="C37" s="90"/>
      <c r="D37" s="68"/>
      <c r="H37" s="61"/>
      <c r="I37" s="61"/>
      <c r="J37" s="61"/>
      <c r="K37" s="61"/>
      <c r="L37" s="61"/>
      <c r="M37" s="61"/>
      <c r="N37" s="61"/>
    </row>
    <row r="38" spans="1:14" s="61" customFormat="1" ht="12.75">
      <c r="A38" s="81" t="s">
        <v>41</v>
      </c>
      <c r="B38" s="82" t="s">
        <v>60</v>
      </c>
      <c r="C38" s="68" t="s">
        <v>57</v>
      </c>
    </row>
    <row r="39" spans="1:14" s="61" customFormat="1" ht="12.75">
      <c r="A39" s="81" t="s">
        <v>43</v>
      </c>
      <c r="B39" s="83">
        <v>0.08</v>
      </c>
      <c r="C39" s="68" t="s">
        <v>234</v>
      </c>
      <c r="N39" s="80"/>
    </row>
    <row r="40" spans="1:14" s="80" customFormat="1" ht="12.75">
      <c r="A40" s="80" t="s">
        <v>199</v>
      </c>
      <c r="C40" s="68"/>
      <c r="N40" s="61"/>
    </row>
    <row r="41" spans="1:14" s="61" customFormat="1" ht="12.75">
      <c r="A41" s="61" t="s">
        <v>41</v>
      </c>
      <c r="B41" s="82" t="s">
        <v>60</v>
      </c>
      <c r="C41" s="68" t="s">
        <v>56</v>
      </c>
    </row>
    <row r="42" spans="1:14" s="61" customFormat="1" ht="12.75">
      <c r="A42" s="61" t="s">
        <v>42</v>
      </c>
      <c r="B42" s="83">
        <v>0.12</v>
      </c>
      <c r="C42" s="68" t="s">
        <v>235</v>
      </c>
      <c r="N42" s="80"/>
    </row>
    <row r="43" spans="1:14" s="61" customFormat="1" ht="12.75">
      <c r="A43" s="80" t="s">
        <v>230</v>
      </c>
      <c r="C43" s="68"/>
      <c r="H43" s="80"/>
      <c r="I43" s="80"/>
      <c r="J43" s="80"/>
      <c r="K43" s="80"/>
      <c r="L43" s="80"/>
      <c r="M43" s="80"/>
    </row>
    <row r="44" spans="1:14" s="61" customFormat="1" ht="12.75">
      <c r="A44" s="61" t="s">
        <v>41</v>
      </c>
      <c r="B44" s="82" t="s">
        <v>54</v>
      </c>
      <c r="C44" s="68" t="s">
        <v>205</v>
      </c>
    </row>
    <row r="45" spans="1:14" s="61" customFormat="1" ht="12.75">
      <c r="A45" s="61" t="s">
        <v>200</v>
      </c>
      <c r="B45" s="83">
        <v>0.2</v>
      </c>
      <c r="C45" s="68" t="s">
        <v>58</v>
      </c>
    </row>
    <row r="46" spans="1:14" s="61" customFormat="1" ht="12.75">
      <c r="A46" s="61" t="s">
        <v>203</v>
      </c>
      <c r="B46" s="83" t="s">
        <v>335</v>
      </c>
      <c r="C46" s="68" t="s">
        <v>194</v>
      </c>
    </row>
    <row r="47" spans="1:14" s="61" customFormat="1" ht="12.75">
      <c r="A47" s="61" t="s">
        <v>336</v>
      </c>
      <c r="B47" s="83">
        <v>0.5</v>
      </c>
      <c r="C47" s="68" t="s">
        <v>204</v>
      </c>
    </row>
    <row r="48" spans="1:14" s="61" customFormat="1" ht="12.75">
      <c r="A48" s="80" t="s">
        <v>232</v>
      </c>
      <c r="B48" s="84"/>
      <c r="C48" s="68"/>
    </row>
    <row r="49" spans="1:14" s="61" customFormat="1" ht="12.75">
      <c r="A49" s="61" t="s">
        <v>41</v>
      </c>
      <c r="B49" s="83" t="s">
        <v>54</v>
      </c>
      <c r="C49" s="68"/>
    </row>
    <row r="50" spans="1:14" s="61" customFormat="1" ht="12.75">
      <c r="A50" s="80" t="s">
        <v>229</v>
      </c>
      <c r="C50" s="68"/>
    </row>
    <row r="51" spans="1:14" s="61" customFormat="1" ht="12.75">
      <c r="A51" s="61" t="s">
        <v>41</v>
      </c>
      <c r="B51" s="82" t="s">
        <v>54</v>
      </c>
      <c r="C51" s="68" t="s">
        <v>59</v>
      </c>
    </row>
    <row r="52" spans="1:14" s="61" customFormat="1" ht="12.75">
      <c r="A52" s="61" t="s">
        <v>51</v>
      </c>
      <c r="B52" s="77">
        <v>250</v>
      </c>
      <c r="C52" s="68" t="s">
        <v>236</v>
      </c>
    </row>
    <row r="53" spans="1:14" ht="12.75">
      <c r="H53" s="61"/>
      <c r="I53" s="61"/>
      <c r="J53" s="61"/>
      <c r="K53" s="61"/>
      <c r="L53" s="61"/>
      <c r="M53" s="61"/>
      <c r="N53" s="61"/>
    </row>
    <row r="54" spans="1:14" ht="12.75">
      <c r="H54" s="61"/>
      <c r="I54" s="61"/>
      <c r="J54" s="61"/>
      <c r="K54" s="61"/>
      <c r="L54" s="61"/>
      <c r="M54" s="61"/>
      <c r="N54" s="61"/>
    </row>
    <row r="55" spans="1:14" ht="12.75">
      <c r="H55" s="61"/>
      <c r="I55" s="61"/>
      <c r="J55" s="61"/>
      <c r="K55" s="61"/>
      <c r="L55" s="61"/>
      <c r="M55" s="61"/>
    </row>
    <row r="58" spans="1:14">
      <c r="A58" s="156"/>
    </row>
  </sheetData>
  <mergeCells count="2">
    <mergeCell ref="A36:B36"/>
    <mergeCell ref="A3:J3"/>
  </mergeCells>
  <phoneticPr fontId="5" type="noConversion"/>
  <dataValidations count="5">
    <dataValidation type="list" allowBlank="1" showInputMessage="1" showErrorMessage="1" sqref="B38 B41 B44 B51 B49 B14 B30 B13">
      <formula1>'Answer keys'!$A$2:$A$3</formula1>
    </dataValidation>
    <dataValidation type="list" allowBlank="1" showInputMessage="1" showErrorMessage="1" sqref="B46">
      <formula1>'Answer keys'!$B$2:$B$3</formula1>
    </dataValidation>
    <dataValidation type="list" allowBlank="1" showInputMessage="1" showErrorMessage="1" sqref="B7">
      <formula1>'Global industry averages'!$A$2:$A$97</formula1>
    </dataValidation>
    <dataValidation type="list" allowBlank="1" showInputMessage="1" showErrorMessage="1" sqref="B5">
      <formula1>'Country equity risk premiums'!$A$2:$A$140</formula1>
    </dataValidation>
    <dataValidation type="list" allowBlank="1" showInputMessage="1" showErrorMessage="1" sqref="B6">
      <formula1>'Industry Averages(US)'!$A$2:$A$99</formula1>
    </dataValidation>
  </dataValidations>
  <pageMargins left="0.75" right="0.75" top="1" bottom="1" header="0.5" footer="0.5"/>
  <pageSetup orientation="portrait" horizontalDpi="4294967292" verticalDpi="4294967292"/>
  <headerFooter alignWithMargins="0"/>
  <legacyDrawing r:id="rId1"/>
</worksheet>
</file>

<file path=xl/worksheets/sheet10.xml><?xml version="1.0" encoding="utf-8"?>
<worksheet xmlns="http://schemas.openxmlformats.org/spreadsheetml/2006/main" xmlns:r="http://schemas.openxmlformats.org/officeDocument/2006/relationships">
  <dimension ref="A1:O98"/>
  <sheetViews>
    <sheetView workbookViewId="0">
      <pane ySplit="1" topLeftCell="A23" activePane="bottomLeft" state="frozen"/>
      <selection pane="bottomLeft" activeCell="A34" sqref="A34:J34"/>
    </sheetView>
  </sheetViews>
  <sheetFormatPr defaultColWidth="11.42578125" defaultRowHeight="12"/>
  <cols>
    <col min="1" max="1" width="29.7109375" bestFit="1" customWidth="1"/>
    <col min="2" max="2" width="13.140625" style="196" bestFit="1" customWidth="1"/>
    <col min="3" max="3" width="26.28515625" style="196" bestFit="1" customWidth="1"/>
    <col min="4" max="4" width="13.85546875" style="196" bestFit="1" customWidth="1"/>
    <col min="5" max="5" width="17.85546875" style="196" bestFit="1" customWidth="1"/>
    <col min="6" max="6" width="14.140625" style="256" bestFit="1" customWidth="1"/>
    <col min="7" max="7" width="13.140625" style="196" bestFit="1" customWidth="1"/>
    <col min="8" max="8" width="9.140625" style="256" bestFit="1" customWidth="1"/>
    <col min="9" max="9" width="19.42578125" style="256" bestFit="1" customWidth="1"/>
    <col min="10" max="10" width="7.7109375" style="256" bestFit="1" customWidth="1"/>
    <col min="11" max="11" width="7.140625" style="256" bestFit="1" customWidth="1"/>
    <col min="12" max="12" width="10.85546875" style="196" customWidth="1"/>
    <col min="13" max="13" width="7.85546875" style="196" bestFit="1" customWidth="1"/>
    <col min="14" max="14" width="26.85546875" style="196" bestFit="1" customWidth="1"/>
    <col min="15" max="15" width="30.7109375" style="196" bestFit="1" customWidth="1"/>
  </cols>
  <sheetData>
    <row r="1" spans="1:15">
      <c r="A1" t="s">
        <v>99</v>
      </c>
      <c r="B1" t="s">
        <v>264</v>
      </c>
      <c r="C1" s="275" t="s">
        <v>597</v>
      </c>
      <c r="D1" t="s">
        <v>547</v>
      </c>
      <c r="E1" s="268" t="s">
        <v>598</v>
      </c>
      <c r="F1" s="268" t="s">
        <v>599</v>
      </c>
      <c r="G1" s="268" t="s">
        <v>600</v>
      </c>
      <c r="H1" s="268" t="s">
        <v>601</v>
      </c>
      <c r="I1" s="268" t="s">
        <v>17</v>
      </c>
      <c r="J1" s="268" t="s">
        <v>602</v>
      </c>
      <c r="K1" s="268" t="s">
        <v>603</v>
      </c>
      <c r="L1" t="s">
        <v>190</v>
      </c>
      <c r="M1" t="s">
        <v>259</v>
      </c>
      <c r="N1" t="s">
        <v>595</v>
      </c>
      <c r="O1" t="s">
        <v>596</v>
      </c>
    </row>
    <row r="2" spans="1:15">
      <c r="A2" t="s">
        <v>100</v>
      </c>
      <c r="B2">
        <v>243</v>
      </c>
      <c r="C2" s="275">
        <v>0.89108098504441369</v>
      </c>
      <c r="D2" s="268">
        <v>0.29206073775203978</v>
      </c>
      <c r="E2" s="268">
        <v>0.22604257618738149</v>
      </c>
      <c r="F2" s="268">
        <v>0.17085714708824859</v>
      </c>
      <c r="G2" s="268">
        <v>0.4534072928638761</v>
      </c>
      <c r="H2" s="268">
        <v>4.0576863385172739E-2</v>
      </c>
      <c r="I2" s="268">
        <v>9.2405156473108221E-2</v>
      </c>
      <c r="J2" s="268">
        <v>9.9891142763854565E-2</v>
      </c>
      <c r="K2" s="268">
        <v>0.29681430921558205</v>
      </c>
      <c r="L2" s="275">
        <v>3.8739968730977905</v>
      </c>
      <c r="M2" s="275">
        <v>1.5981781168140481</v>
      </c>
      <c r="N2" s="268">
        <v>5.0361147540983614E-2</v>
      </c>
      <c r="O2" s="268">
        <v>0.16292553191489362</v>
      </c>
    </row>
    <row r="3" spans="1:15">
      <c r="A3" t="s">
        <v>101</v>
      </c>
      <c r="B3">
        <v>207</v>
      </c>
      <c r="C3" s="275">
        <v>0.90948206388019548</v>
      </c>
      <c r="D3" s="268">
        <v>0.20641890701764026</v>
      </c>
      <c r="E3" s="268">
        <v>0.17110052388678454</v>
      </c>
      <c r="F3" s="268">
        <v>0.132488702875039</v>
      </c>
      <c r="G3" s="268">
        <v>0.35516534402665512</v>
      </c>
      <c r="H3" s="268">
        <v>5.5457851688460326E-2</v>
      </c>
      <c r="I3" s="268">
        <v>9.5026705401981548E-2</v>
      </c>
      <c r="J3" s="268">
        <v>0.1777483398810806</v>
      </c>
      <c r="K3" s="268">
        <v>0.38238640619124353</v>
      </c>
      <c r="L3" s="275">
        <v>4.6385434945064565</v>
      </c>
      <c r="M3" s="275">
        <v>1.3996611189918278</v>
      </c>
      <c r="N3" s="268">
        <v>4.8634671532846702E-2</v>
      </c>
      <c r="O3" s="268">
        <v>0.13361111111111112</v>
      </c>
    </row>
    <row r="4" spans="1:15">
      <c r="A4" t="s">
        <v>102</v>
      </c>
      <c r="B4">
        <v>157</v>
      </c>
      <c r="C4" s="275">
        <v>0.59662397667622491</v>
      </c>
      <c r="D4" s="268">
        <v>1.1237495724907594</v>
      </c>
      <c r="E4" s="268">
        <v>0.52913469038292127</v>
      </c>
      <c r="F4" s="268">
        <v>0.15591964266536873</v>
      </c>
      <c r="G4" s="268">
        <v>0.38949482010639025</v>
      </c>
      <c r="H4" s="268">
        <v>2.3338076826704433E-2</v>
      </c>
      <c r="I4" s="268">
        <v>5.931252618924078E-2</v>
      </c>
      <c r="J4" s="268">
        <v>7.9874170245611567E-2</v>
      </c>
      <c r="K4" s="268">
        <v>6.4903339559265957E-2</v>
      </c>
      <c r="L4" s="275">
        <v>1.2963934505906061</v>
      </c>
      <c r="M4" s="275">
        <v>1.1067180847948528</v>
      </c>
      <c r="N4" s="268">
        <v>7.6675315315315323E-2</v>
      </c>
      <c r="O4" s="268">
        <v>0.19390328767123291</v>
      </c>
    </row>
    <row r="5" spans="1:15">
      <c r="A5" t="s">
        <v>103</v>
      </c>
      <c r="B5">
        <v>1170</v>
      </c>
      <c r="C5" s="275">
        <v>0.82368553170456693</v>
      </c>
      <c r="D5" s="268">
        <v>0.20198538357135506</v>
      </c>
      <c r="E5" s="268">
        <v>0.16804312792158368</v>
      </c>
      <c r="F5" s="268">
        <v>0.14746320338996974</v>
      </c>
      <c r="G5" s="268">
        <v>0.39232427652633284</v>
      </c>
      <c r="H5" s="268">
        <v>6.6334785432503957E-2</v>
      </c>
      <c r="I5" s="268">
        <v>0.14048821222051588</v>
      </c>
      <c r="J5" s="268">
        <v>0.12940528443355459</v>
      </c>
      <c r="K5" s="268">
        <v>0.18758150469582688</v>
      </c>
      <c r="L5" s="275">
        <v>1.566163132783007</v>
      </c>
      <c r="M5" s="275">
        <v>1.7820900063340719</v>
      </c>
      <c r="N5" s="268">
        <v>6.37826522327469E-2</v>
      </c>
      <c r="O5" s="268">
        <v>0.2050674603174604</v>
      </c>
    </row>
    <row r="6" spans="1:15">
      <c r="A6" t="s">
        <v>667</v>
      </c>
      <c r="B6">
        <v>129</v>
      </c>
      <c r="C6" s="275">
        <v>0.85013025171471401</v>
      </c>
      <c r="D6" s="268">
        <v>0.79902977923875385</v>
      </c>
      <c r="E6" s="268">
        <v>0.4441448320976974</v>
      </c>
      <c r="F6" s="268">
        <v>0.13899395589534005</v>
      </c>
      <c r="G6" s="268">
        <v>0.26995081991290359</v>
      </c>
      <c r="H6" s="268">
        <v>4.5183203943342715E-2</v>
      </c>
      <c r="I6" s="268">
        <v>5.8616243063309814E-2</v>
      </c>
      <c r="J6" s="268">
        <v>0.13131352921524123</v>
      </c>
      <c r="K6" s="268">
        <v>7.8288907980169728E-2</v>
      </c>
      <c r="L6" s="275">
        <v>1.5512295019941607</v>
      </c>
      <c r="M6" s="275">
        <v>0.91772012958231508</v>
      </c>
      <c r="N6" s="268">
        <v>6.7079444444444483E-2</v>
      </c>
      <c r="O6" s="268">
        <v>0.22716734693877547</v>
      </c>
    </row>
    <row r="7" spans="1:15">
      <c r="A7" t="s">
        <v>104</v>
      </c>
      <c r="B7">
        <v>609</v>
      </c>
      <c r="C7" s="275">
        <v>1.1135656530370999</v>
      </c>
      <c r="D7" s="268">
        <v>0.28986879004318022</v>
      </c>
      <c r="E7" s="268">
        <v>0.22472734613066842</v>
      </c>
      <c r="F7" s="268">
        <v>0.18976029133466199</v>
      </c>
      <c r="G7" s="268">
        <v>0.18298446843563665</v>
      </c>
      <c r="H7" s="268">
        <v>4.2294387455079428E-2</v>
      </c>
      <c r="I7" s="268">
        <v>6.7339530788218679E-2</v>
      </c>
      <c r="J7" s="268">
        <v>0.1275307478634512</v>
      </c>
      <c r="K7" s="268">
        <v>0.14349228235268841</v>
      </c>
      <c r="L7" s="275">
        <v>2.6299345101728733</v>
      </c>
      <c r="M7" s="275">
        <v>0.77843652357129434</v>
      </c>
      <c r="N7" s="268">
        <v>6.0433910112359553E-2</v>
      </c>
      <c r="O7" s="268">
        <v>0.1825703296703296</v>
      </c>
    </row>
    <row r="8" spans="1:15">
      <c r="A8" t="s">
        <v>106</v>
      </c>
      <c r="B8">
        <v>580</v>
      </c>
      <c r="C8" s="275">
        <v>0.40293384398273246</v>
      </c>
      <c r="D8" s="268">
        <v>2.9246954222720354</v>
      </c>
      <c r="E8" s="268">
        <v>0.74520315784884716</v>
      </c>
      <c r="F8" s="268">
        <v>0.18140002094907651</v>
      </c>
      <c r="G8" s="268">
        <v>0.5519142129873521</v>
      </c>
      <c r="H8" s="268">
        <v>0.27019807607494112</v>
      </c>
      <c r="I8" s="268">
        <v>1.2870691510960762E-2</v>
      </c>
      <c r="J8" s="268">
        <v>0.11607308387944849</v>
      </c>
      <c r="K8" s="268">
        <v>1.0527425935890201E-3</v>
      </c>
      <c r="L8" s="275">
        <v>9.9919116291064272E-2</v>
      </c>
      <c r="M8" s="275">
        <v>9.8361902531748608</v>
      </c>
      <c r="N8" s="268">
        <v>8.9818500000000009E-2</v>
      </c>
      <c r="O8" s="268">
        <v>0.1237898387096775</v>
      </c>
    </row>
    <row r="9" spans="1:15">
      <c r="A9" t="s">
        <v>668</v>
      </c>
      <c r="B9">
        <v>947</v>
      </c>
      <c r="C9" s="275">
        <v>0.49720456097225779</v>
      </c>
      <c r="D9" s="268">
        <v>1.0837315872505229</v>
      </c>
      <c r="E9" s="268">
        <v>0.52009174016529802</v>
      </c>
      <c r="F9" s="268">
        <v>0.19854944929143359</v>
      </c>
      <c r="G9" s="268">
        <v>0.22182118803342318</v>
      </c>
      <c r="H9" s="268">
        <v>0.22312318142018014</v>
      </c>
      <c r="I9" s="268">
        <v>5.1604014829086083E-3</v>
      </c>
      <c r="J9" s="268">
        <v>8.1580759569740674E-2</v>
      </c>
      <c r="K9" s="268">
        <v>9.7573956061553814E-4</v>
      </c>
      <c r="L9" s="275">
        <v>0.23592485155681028</v>
      </c>
      <c r="M9" s="275">
        <v>4.1214708131993039</v>
      </c>
      <c r="N9" s="268">
        <v>6.435978056426335E-2</v>
      </c>
      <c r="O9" s="268">
        <v>8.3427411167512705E-2</v>
      </c>
    </row>
    <row r="10" spans="1:15">
      <c r="A10" t="s">
        <v>669</v>
      </c>
      <c r="B10">
        <v>107</v>
      </c>
      <c r="C10" s="275">
        <v>0.89264247937189356</v>
      </c>
      <c r="D10" s="268">
        <v>0.22459784158716928</v>
      </c>
      <c r="E10" s="268">
        <v>0.18340538743402804</v>
      </c>
      <c r="F10" s="268">
        <v>0.10401104232359901</v>
      </c>
      <c r="G10" s="268">
        <v>0.48834093424069125</v>
      </c>
      <c r="H10" s="268">
        <v>0.10129572695080637</v>
      </c>
      <c r="I10" s="268">
        <v>0.14535062295618159</v>
      </c>
      <c r="J10" s="268">
        <v>0.22393216934378007</v>
      </c>
      <c r="K10" s="268">
        <v>0.22044345820291864</v>
      </c>
      <c r="L10" s="275">
        <v>1.692690904492036</v>
      </c>
      <c r="M10" s="275">
        <v>2.4228316325637618</v>
      </c>
      <c r="N10" s="268">
        <v>6.0402363636363636E-2</v>
      </c>
      <c r="O10" s="268">
        <v>0.1258809523809524</v>
      </c>
    </row>
    <row r="11" spans="1:15">
      <c r="A11" t="s">
        <v>670</v>
      </c>
      <c r="B11">
        <v>209</v>
      </c>
      <c r="C11" s="275">
        <v>0.71421285147424307</v>
      </c>
      <c r="D11" s="268">
        <v>0.23021708307977687</v>
      </c>
      <c r="E11" s="268">
        <v>0.18713533265482041</v>
      </c>
      <c r="F11" s="268">
        <v>0.18097472985860913</v>
      </c>
      <c r="G11" s="268">
        <v>0.3109231953335892</v>
      </c>
      <c r="H11" s="268">
        <v>0.17363545161882959</v>
      </c>
      <c r="I11" s="268">
        <v>0.20215920646869109</v>
      </c>
      <c r="J11" s="268">
        <v>0.23053463659041154</v>
      </c>
      <c r="K11" s="268">
        <v>0.15317645126576798</v>
      </c>
      <c r="L11" s="275">
        <v>0.92512662037140092</v>
      </c>
      <c r="M11" s="275">
        <v>3.5498010086350651</v>
      </c>
      <c r="N11" s="268">
        <v>6.8847253521126736E-2</v>
      </c>
      <c r="O11" s="268">
        <v>0.10936825396825395</v>
      </c>
    </row>
    <row r="12" spans="1:15">
      <c r="A12" t="s">
        <v>109</v>
      </c>
      <c r="B12">
        <v>707</v>
      </c>
      <c r="C12" s="275">
        <v>1.0292350174070957</v>
      </c>
      <c r="D12" s="268">
        <v>8.6943628957699456E-2</v>
      </c>
      <c r="E12" s="268">
        <v>7.998908742035879E-2</v>
      </c>
      <c r="F12" s="268">
        <v>2.9065721037236827E-2</v>
      </c>
      <c r="G12" s="268">
        <v>0.48089091524983746</v>
      </c>
      <c r="H12" s="268">
        <v>6.8072053258421542E-2</v>
      </c>
      <c r="I12" s="268">
        <v>0.15513940578532587</v>
      </c>
      <c r="J12" s="268">
        <v>6.6003609786157186E-2</v>
      </c>
      <c r="K12" s="268">
        <v>0.12881351505309924</v>
      </c>
      <c r="L12" s="275">
        <v>0.85516412507167561</v>
      </c>
      <c r="M12" s="275">
        <v>9.5813130568084457</v>
      </c>
      <c r="N12" s="268">
        <v>0.11032312101910828</v>
      </c>
      <c r="O12" s="268">
        <v>0.32548205128205127</v>
      </c>
    </row>
    <row r="13" spans="1:15">
      <c r="A13" t="s">
        <v>671</v>
      </c>
      <c r="B13">
        <v>134</v>
      </c>
      <c r="C13" s="275">
        <v>1.0845832405822511</v>
      </c>
      <c r="D13" s="268">
        <v>0.34414723804311459</v>
      </c>
      <c r="E13" s="268">
        <v>0.25603388401418253</v>
      </c>
      <c r="F13" s="268">
        <v>0.17818938590653957</v>
      </c>
      <c r="G13" s="268">
        <v>0.33527430551632631</v>
      </c>
      <c r="H13" s="268">
        <v>0.14139630290688607</v>
      </c>
      <c r="I13" s="268">
        <v>0.18156335663100029</v>
      </c>
      <c r="J13" s="268">
        <v>0.2125433615673151</v>
      </c>
      <c r="K13" s="268">
        <v>0.17386011007618857</v>
      </c>
      <c r="L13" s="275">
        <v>1.1651987258423855</v>
      </c>
      <c r="M13" s="275">
        <v>2.7809210906574449</v>
      </c>
      <c r="N13" s="268">
        <v>4.1237326732673295E-2</v>
      </c>
      <c r="O13" s="268">
        <v>0.11193078431372548</v>
      </c>
    </row>
    <row r="14" spans="1:15">
      <c r="A14" t="s">
        <v>672</v>
      </c>
      <c r="B14">
        <v>521</v>
      </c>
      <c r="C14" s="275">
        <v>0.34517394841138838</v>
      </c>
      <c r="D14" s="268">
        <v>3.1989188159902131</v>
      </c>
      <c r="E14" s="268">
        <v>0.76184345451218871</v>
      </c>
      <c r="F14" s="268">
        <v>0.1168603038282247</v>
      </c>
      <c r="G14" s="268">
        <v>0.26209799893298075</v>
      </c>
      <c r="H14" s="268">
        <v>9.2175051933212918E-2</v>
      </c>
      <c r="I14" s="268">
        <v>1.7919425265242941E-2</v>
      </c>
      <c r="J14" s="268">
        <v>7.7307841646660186E-2</v>
      </c>
      <c r="K14" s="268">
        <v>2.8427749484136824E-3</v>
      </c>
      <c r="L14" s="275">
        <v>0.17963418877637105</v>
      </c>
      <c r="M14" s="275">
        <v>5.9817410554770793</v>
      </c>
      <c r="N14" s="268">
        <v>4.5851063122923585E-2</v>
      </c>
      <c r="O14" s="268">
        <v>0.17898333333333338</v>
      </c>
    </row>
    <row r="15" spans="1:15">
      <c r="A15" t="s">
        <v>110</v>
      </c>
      <c r="B15">
        <v>414</v>
      </c>
      <c r="C15" s="275">
        <v>0.80648455574979094</v>
      </c>
      <c r="D15" s="268">
        <v>0.3658497657463457</v>
      </c>
      <c r="E15" s="268">
        <v>0.26785505618652961</v>
      </c>
      <c r="F15" s="268">
        <v>0.18244866736650805</v>
      </c>
      <c r="G15" s="268">
        <v>0.43428482568897725</v>
      </c>
      <c r="H15" s="268">
        <v>2.9956740079687374E-2</v>
      </c>
      <c r="I15" s="268">
        <v>7.1149400760292594E-2</v>
      </c>
      <c r="J15" s="268">
        <v>6.422984140445423E-2</v>
      </c>
      <c r="K15" s="268">
        <v>0.10130707245827109</v>
      </c>
      <c r="L15" s="275">
        <v>1.7416203394178817</v>
      </c>
      <c r="M15" s="275">
        <v>1.1488580110817259</v>
      </c>
      <c r="N15" s="268">
        <v>5.3661089108910792E-2</v>
      </c>
      <c r="O15" s="268">
        <v>0.1779015151515152</v>
      </c>
    </row>
    <row r="16" spans="1:15">
      <c r="A16" t="s">
        <v>673</v>
      </c>
      <c r="B16">
        <v>714</v>
      </c>
      <c r="C16" s="275">
        <v>0.76672107700297487</v>
      </c>
      <c r="D16" s="268">
        <v>0.24949146337030603</v>
      </c>
      <c r="E16" s="268">
        <v>0.1996744040950405</v>
      </c>
      <c r="F16" s="268">
        <v>0.1775498421601851</v>
      </c>
      <c r="G16" s="268">
        <v>0.4904360874686769</v>
      </c>
      <c r="H16" s="268">
        <v>3.9850419594463594E-2</v>
      </c>
      <c r="I16" s="268">
        <v>8.6868443724881561E-2</v>
      </c>
      <c r="J16" s="268">
        <v>0.1234831163332781</v>
      </c>
      <c r="K16" s="268">
        <v>0.21524845797070155</v>
      </c>
      <c r="L16" s="275">
        <v>3.0127869361960622</v>
      </c>
      <c r="M16" s="275">
        <v>1.3880286331072194</v>
      </c>
      <c r="N16" s="268">
        <v>7.5243222958057424E-2</v>
      </c>
      <c r="O16" s="268">
        <v>0.16513389830508465</v>
      </c>
    </row>
    <row r="17" spans="1:15">
      <c r="A17" t="s">
        <v>111</v>
      </c>
      <c r="B17">
        <v>63</v>
      </c>
      <c r="C17" s="275">
        <v>0.7187768901359336</v>
      </c>
      <c r="D17" s="268">
        <v>0.50824993106035898</v>
      </c>
      <c r="E17" s="268">
        <v>0.33697991333773131</v>
      </c>
      <c r="F17" s="268">
        <v>0.15617652391115303</v>
      </c>
      <c r="G17" s="268">
        <v>0.29694841082763784</v>
      </c>
      <c r="H17" s="268">
        <v>7.6918942003215959E-2</v>
      </c>
      <c r="I17" s="268">
        <v>0.18877097773014001</v>
      </c>
      <c r="J17" s="268">
        <v>0.21291748381101089</v>
      </c>
      <c r="K17" s="268">
        <v>0.19075702796830793</v>
      </c>
      <c r="L17" s="275">
        <v>1.1975501746518487</v>
      </c>
      <c r="M17" s="275">
        <v>3.1723775363822941</v>
      </c>
      <c r="N17" s="268">
        <v>0.10404782608695651</v>
      </c>
      <c r="O17" s="268">
        <v>0.11064444444444446</v>
      </c>
    </row>
    <row r="18" spans="1:15">
      <c r="A18" t="s">
        <v>112</v>
      </c>
      <c r="B18">
        <v>735</v>
      </c>
      <c r="C18" s="275">
        <v>0.92447942764083324</v>
      </c>
      <c r="D18" s="268">
        <v>0.14597366667492806</v>
      </c>
      <c r="E18" s="268">
        <v>0.12737959947934438</v>
      </c>
      <c r="F18" s="268">
        <v>0.15403120466003598</v>
      </c>
      <c r="G18" s="268">
        <v>0.54601298733898873</v>
      </c>
      <c r="H18" s="268">
        <v>4.1741441144037307E-2</v>
      </c>
      <c r="I18" s="268">
        <v>8.9403889879255377E-2</v>
      </c>
      <c r="J18" s="268">
        <v>8.7988632889980878E-2</v>
      </c>
      <c r="K18" s="268">
        <v>0.10996800338410602</v>
      </c>
      <c r="L18" s="275">
        <v>1.4539704533511082</v>
      </c>
      <c r="M18" s="275">
        <v>2.6765377434437676</v>
      </c>
      <c r="N18" s="268">
        <v>6.0855082987551851E-2</v>
      </c>
      <c r="O18" s="268">
        <v>0.22471624999999995</v>
      </c>
    </row>
    <row r="19" spans="1:15">
      <c r="A19" t="s">
        <v>113</v>
      </c>
      <c r="B19">
        <v>84</v>
      </c>
      <c r="C19" s="275">
        <v>1.024130599328823</v>
      </c>
      <c r="D19" s="268">
        <v>0.38570093332751842</v>
      </c>
      <c r="E19" s="268">
        <v>0.27834356176792424</v>
      </c>
      <c r="F19" s="268">
        <v>0.226315248859597</v>
      </c>
      <c r="G19" s="268">
        <v>0.47409620304799971</v>
      </c>
      <c r="H19" s="268">
        <v>4.7635538994753167E-2</v>
      </c>
      <c r="I19" s="268">
        <v>7.527970051514557E-2</v>
      </c>
      <c r="J19" s="268">
        <v>0.12912756458963498</v>
      </c>
      <c r="K19" s="268">
        <v>9.9219390405225052E-2</v>
      </c>
      <c r="L19" s="275">
        <v>1.7035490180732071</v>
      </c>
      <c r="M19" s="275">
        <v>1.1552482463780185</v>
      </c>
      <c r="N19" s="268">
        <v>2.7757419354838709E-2</v>
      </c>
      <c r="O19" s="268">
        <v>0.22261481481481485</v>
      </c>
    </row>
    <row r="20" spans="1:15">
      <c r="A20" t="s">
        <v>114</v>
      </c>
      <c r="B20">
        <v>681</v>
      </c>
      <c r="C20" s="275">
        <v>0.8770086521270124</v>
      </c>
      <c r="D20" s="268">
        <v>0.22781864969305335</v>
      </c>
      <c r="E20" s="268">
        <v>0.18554747458022935</v>
      </c>
      <c r="F20" s="268">
        <v>0.17608429142535204</v>
      </c>
      <c r="G20" s="268">
        <v>0.38202735633168872</v>
      </c>
      <c r="H20" s="268">
        <v>7.9925480146528893E-2</v>
      </c>
      <c r="I20" s="268">
        <v>0.11622548527871711</v>
      </c>
      <c r="J20" s="268">
        <v>0.1461589772174216</v>
      </c>
      <c r="K20" s="268">
        <v>0.15000189893163779</v>
      </c>
      <c r="L20" s="275">
        <v>1.5664358201933737</v>
      </c>
      <c r="M20" s="275">
        <v>1.6200936578504883</v>
      </c>
      <c r="N20" s="268">
        <v>8.5705607064017711E-2</v>
      </c>
      <c r="O20" s="268">
        <v>0.16904804054054051</v>
      </c>
    </row>
    <row r="21" spans="1:15">
      <c r="A21" t="s">
        <v>674</v>
      </c>
      <c r="B21">
        <v>322</v>
      </c>
      <c r="C21" s="275">
        <v>0.89625112303256516</v>
      </c>
      <c r="D21" s="268">
        <v>0.57620289142670522</v>
      </c>
      <c r="E21" s="268">
        <v>0.36556390967228419</v>
      </c>
      <c r="F21" s="268">
        <v>6.274466609246579E-2</v>
      </c>
      <c r="G21" s="268" t="s">
        <v>189</v>
      </c>
      <c r="H21" s="268">
        <v>-9.7030704971948125E-3</v>
      </c>
      <c r="I21" s="268">
        <v>6.1281805874111202E-2</v>
      </c>
      <c r="J21" s="268">
        <v>-2.0113180736987875E-2</v>
      </c>
      <c r="K21" s="268">
        <v>8.9839380617662626E-2</v>
      </c>
      <c r="L21" s="275">
        <v>1.5641459469977084</v>
      </c>
      <c r="M21" s="275">
        <v>0.99492587133987176</v>
      </c>
      <c r="N21" s="268">
        <v>0.15675134453781508</v>
      </c>
      <c r="O21" s="268">
        <v>-7.850000000000008E-3</v>
      </c>
    </row>
    <row r="22" spans="1:15">
      <c r="A22" t="s">
        <v>675</v>
      </c>
      <c r="B22">
        <v>939</v>
      </c>
      <c r="C22" s="275">
        <v>0.86591225208231337</v>
      </c>
      <c r="D22" s="268">
        <v>0.18059410694101669</v>
      </c>
      <c r="E22" s="268">
        <v>0.15296883651989912</v>
      </c>
      <c r="F22" s="268">
        <v>0.17304397249911879</v>
      </c>
      <c r="G22" s="268">
        <v>0.26589746878078674</v>
      </c>
      <c r="H22" s="268">
        <v>5.0196287500902645E-2</v>
      </c>
      <c r="I22" s="268">
        <v>7.9755795887617539E-2</v>
      </c>
      <c r="J22" s="268">
        <v>0.19463325572816773</v>
      </c>
      <c r="K22" s="268">
        <v>0.27786359959386414</v>
      </c>
      <c r="L22" s="275">
        <v>4.2129566193146086</v>
      </c>
      <c r="M22" s="275">
        <v>1.0250703777284731</v>
      </c>
      <c r="N22" s="268">
        <v>6.2944977099236701E-2</v>
      </c>
      <c r="O22" s="268">
        <v>0.13728666666666658</v>
      </c>
    </row>
    <row r="23" spans="1:15">
      <c r="A23" t="s">
        <v>265</v>
      </c>
      <c r="B23">
        <v>1059</v>
      </c>
      <c r="C23" s="275">
        <v>1.0246006034733501</v>
      </c>
      <c r="D23" s="268">
        <v>8.1187076840791003E-2</v>
      </c>
      <c r="E23" s="268">
        <v>7.50906837307177E-2</v>
      </c>
      <c r="F23" s="268">
        <v>0.11784430257346268</v>
      </c>
      <c r="G23" s="268">
        <v>0.28005056897662206</v>
      </c>
      <c r="H23" s="268">
        <v>0.1692011642592566</v>
      </c>
      <c r="I23" s="268">
        <v>0.2306549244547236</v>
      </c>
      <c r="J23" s="268">
        <v>0.18212947257369855</v>
      </c>
      <c r="K23" s="268">
        <v>0.38492859145648933</v>
      </c>
      <c r="L23" s="275">
        <v>1.8917868223362226</v>
      </c>
      <c r="M23" s="275">
        <v>4.0506832705099187</v>
      </c>
      <c r="N23" s="268">
        <v>7.9593710191082787E-2</v>
      </c>
      <c r="O23" s="268">
        <v>0.21435893719806765</v>
      </c>
    </row>
    <row r="24" spans="1:15">
      <c r="A24" t="s">
        <v>116</v>
      </c>
      <c r="B24">
        <v>316</v>
      </c>
      <c r="C24" s="275">
        <v>1.1127839127939718</v>
      </c>
      <c r="D24" s="268">
        <v>0.13702996974348222</v>
      </c>
      <c r="E24" s="268">
        <v>0.12051570617298385</v>
      </c>
      <c r="F24" s="268">
        <v>0.11984213471814516</v>
      </c>
      <c r="G24" s="268">
        <v>0.30461803320593633</v>
      </c>
      <c r="H24" s="268">
        <v>7.4799895608885156E-2</v>
      </c>
      <c r="I24" s="268">
        <v>0.10586431307794994</v>
      </c>
      <c r="J24" s="268">
        <v>0.20018975526469823</v>
      </c>
      <c r="K24" s="268">
        <v>0.29248184751186396</v>
      </c>
      <c r="L24" s="275">
        <v>3.13898152234515</v>
      </c>
      <c r="M24" s="275">
        <v>1.204839454328468</v>
      </c>
      <c r="N24" s="268">
        <v>-8.3829032258064505E-3</v>
      </c>
      <c r="O24" s="268">
        <v>0.16869419354838711</v>
      </c>
    </row>
    <row r="25" spans="1:15">
      <c r="A25" t="s">
        <v>676</v>
      </c>
      <c r="B25">
        <v>477</v>
      </c>
      <c r="C25" s="275">
        <v>0.67672503781025517</v>
      </c>
      <c r="D25" s="268">
        <v>0.52367363362716257</v>
      </c>
      <c r="E25" s="268">
        <v>0.34369147176258324</v>
      </c>
      <c r="F25" s="268">
        <v>0.14841310487543394</v>
      </c>
      <c r="G25" s="268">
        <v>0.53840052085969603</v>
      </c>
      <c r="H25" s="268">
        <v>5.4108822320432785E-2</v>
      </c>
      <c r="I25" s="268">
        <v>0.11542717019691637</v>
      </c>
      <c r="J25" s="268">
        <v>7.7854742812265551E-2</v>
      </c>
      <c r="K25" s="268">
        <v>9.7791906600236594E-2</v>
      </c>
      <c r="L25" s="275">
        <v>0.99486899244541782</v>
      </c>
      <c r="M25" s="275">
        <v>1.720099192983124</v>
      </c>
      <c r="N25" s="268">
        <v>6.2444266211604094E-2</v>
      </c>
      <c r="O25" s="268">
        <v>0.21192183908045967</v>
      </c>
    </row>
    <row r="26" spans="1:15">
      <c r="A26" t="s">
        <v>677</v>
      </c>
      <c r="B26">
        <v>341</v>
      </c>
      <c r="C26" s="275">
        <v>0.59498777899622524</v>
      </c>
      <c r="D26" s="268">
        <v>0.71912614748467152</v>
      </c>
      <c r="E26" s="268">
        <v>0.41830912090823374</v>
      </c>
      <c r="F26" s="268">
        <v>0.14264106174124525</v>
      </c>
      <c r="G26" s="268">
        <v>0.34405122076299388</v>
      </c>
      <c r="H26" s="268">
        <v>5.9788902263017231E-2</v>
      </c>
      <c r="I26" s="268">
        <v>9.1768386657403223E-2</v>
      </c>
      <c r="J26" s="268">
        <v>0.11783911627697281</v>
      </c>
      <c r="K26" s="268">
        <v>7.8563334734265217E-2</v>
      </c>
      <c r="L26" s="275">
        <v>0.99853693328869586</v>
      </c>
      <c r="M26" s="275">
        <v>1.571507789021706</v>
      </c>
      <c r="N26" s="268">
        <v>7.9706762295081959E-2</v>
      </c>
      <c r="O26" s="268">
        <v>0.15320703125000001</v>
      </c>
    </row>
    <row r="27" spans="1:15">
      <c r="A27" t="s">
        <v>120</v>
      </c>
      <c r="B27">
        <v>161</v>
      </c>
      <c r="C27" s="275">
        <v>0.79400960924014785</v>
      </c>
      <c r="D27" s="268">
        <v>0.27721279000620097</v>
      </c>
      <c r="E27" s="268">
        <v>0.21704510961314058</v>
      </c>
      <c r="F27" s="268">
        <v>0.14130702508814183</v>
      </c>
      <c r="G27" s="268">
        <v>0.51197663218431444</v>
      </c>
      <c r="H27" s="268">
        <v>2.6114686230485688E-2</v>
      </c>
      <c r="I27" s="268">
        <v>9.1874187107247429E-2</v>
      </c>
      <c r="J27" s="268">
        <v>4.2842286113005917E-2</v>
      </c>
      <c r="K27" s="268">
        <v>0.12709385867672707</v>
      </c>
      <c r="L27" s="275">
        <v>1.6109911181510173</v>
      </c>
      <c r="M27" s="275">
        <v>1.6046415146914628</v>
      </c>
      <c r="N27" s="268">
        <v>8.7854767441860437E-2</v>
      </c>
      <c r="O27" s="268">
        <v>0.19760000000000008</v>
      </c>
    </row>
    <row r="28" spans="1:15">
      <c r="A28" t="s">
        <v>124</v>
      </c>
      <c r="B28">
        <v>863</v>
      </c>
      <c r="C28" s="275">
        <v>0.98125745448426327</v>
      </c>
      <c r="D28" s="268">
        <v>0.25401038465684544</v>
      </c>
      <c r="E28" s="268">
        <v>0.20255843792422365</v>
      </c>
      <c r="F28" s="268">
        <v>0.13528952345626535</v>
      </c>
      <c r="G28" s="268">
        <v>0.61978915352551978</v>
      </c>
      <c r="H28" s="268">
        <v>3.189188124985453E-2</v>
      </c>
      <c r="I28" s="268">
        <v>7.1380292430390652E-2</v>
      </c>
      <c r="J28" s="268">
        <v>6.8912578014477879E-2</v>
      </c>
      <c r="K28" s="268">
        <v>0.12913222195476884</v>
      </c>
      <c r="L28" s="275">
        <v>2.0921151301827448</v>
      </c>
      <c r="M28" s="275">
        <v>1.2884759638200682</v>
      </c>
      <c r="N28" s="268">
        <v>4.667261121856861E-2</v>
      </c>
      <c r="O28" s="268">
        <v>0.21874153846153838</v>
      </c>
    </row>
    <row r="29" spans="1:15">
      <c r="A29" t="s">
        <v>125</v>
      </c>
      <c r="B29">
        <v>1167</v>
      </c>
      <c r="C29" s="275">
        <v>1.0713881790827495</v>
      </c>
      <c r="D29" s="268">
        <v>0.25765994127825759</v>
      </c>
      <c r="E29" s="268">
        <v>0.20487250394282081</v>
      </c>
      <c r="F29" s="268">
        <v>0.13292885457136316</v>
      </c>
      <c r="G29" s="268">
        <v>0.30481842196237396</v>
      </c>
      <c r="H29" s="268">
        <v>3.5448794863949432E-2</v>
      </c>
      <c r="I29" s="268">
        <v>5.6657218663107661E-2</v>
      </c>
      <c r="J29" s="268">
        <v>7.4252780333888074E-2</v>
      </c>
      <c r="K29" s="268">
        <v>9.8290690139980166E-2</v>
      </c>
      <c r="L29" s="275">
        <v>2.0007941070187849</v>
      </c>
      <c r="M29" s="275">
        <v>0.96781555274300402</v>
      </c>
      <c r="N29" s="268">
        <v>2.2900115074798649E-2</v>
      </c>
      <c r="O29" s="268">
        <v>0.19025489690721653</v>
      </c>
    </row>
    <row r="30" spans="1:15">
      <c r="A30" t="s">
        <v>678</v>
      </c>
      <c r="B30">
        <v>185</v>
      </c>
      <c r="C30" s="275">
        <v>1.041885024408324</v>
      </c>
      <c r="D30" s="268">
        <v>0.4270268465985953</v>
      </c>
      <c r="E30" s="268">
        <v>0.29924233564101443</v>
      </c>
      <c r="F30" s="268">
        <v>0.13963730476079822</v>
      </c>
      <c r="G30" s="268">
        <v>0.48626346788205388</v>
      </c>
      <c r="H30" s="268">
        <v>1.765492780974794E-2</v>
      </c>
      <c r="I30" s="268">
        <v>3.7754701488587478E-2</v>
      </c>
      <c r="J30" s="268">
        <v>4.9228390869456802E-2</v>
      </c>
      <c r="K30" s="268">
        <v>8.0570633995256671E-2</v>
      </c>
      <c r="L30" s="275">
        <v>2.4804139707593005</v>
      </c>
      <c r="M30" s="275">
        <v>0.59117178113032109</v>
      </c>
      <c r="N30" s="268">
        <v>2.5909251700680289E-2</v>
      </c>
      <c r="O30" s="268">
        <v>0.21937083333333335</v>
      </c>
    </row>
    <row r="31" spans="1:15">
      <c r="A31" t="s">
        <v>679</v>
      </c>
      <c r="B31">
        <v>1167</v>
      </c>
      <c r="C31" s="275">
        <v>0.85722174461354395</v>
      </c>
      <c r="D31" s="268">
        <v>0.85930860843792289</v>
      </c>
      <c r="E31" s="268">
        <v>0.46216566982920682</v>
      </c>
      <c r="F31" s="268">
        <v>0.16247564382925439</v>
      </c>
      <c r="G31" s="268">
        <v>0.74168778988358608</v>
      </c>
      <c r="H31" s="268">
        <v>1.9172882305703999E-2</v>
      </c>
      <c r="I31" s="268">
        <v>4.8408499321127015E-2</v>
      </c>
      <c r="J31" s="268">
        <v>7.5714898752711812E-2</v>
      </c>
      <c r="K31" s="268">
        <v>9.8892471627041248E-2</v>
      </c>
      <c r="L31" s="275">
        <v>2.4391817733288201</v>
      </c>
      <c r="M31" s="275">
        <v>0.61576902261357602</v>
      </c>
      <c r="N31" s="268">
        <v>6.1798412921348335E-2</v>
      </c>
      <c r="O31" s="268">
        <v>0.18173671497584545</v>
      </c>
    </row>
    <row r="32" spans="1:15">
      <c r="A32" t="s">
        <v>127</v>
      </c>
      <c r="B32">
        <v>352</v>
      </c>
      <c r="C32" s="275">
        <v>0.87417799435650334</v>
      </c>
      <c r="D32" s="268">
        <v>0.27065885343302826</v>
      </c>
      <c r="E32" s="268">
        <v>0.2130067033348646</v>
      </c>
      <c r="F32" s="268">
        <v>9.038537005251901E-2</v>
      </c>
      <c r="G32" s="268">
        <v>0.2034692367721942</v>
      </c>
      <c r="H32" s="268">
        <v>0.11529682005507083</v>
      </c>
      <c r="I32" s="268">
        <v>0.17275006745119192</v>
      </c>
      <c r="J32" s="268">
        <v>0.15371906151611192</v>
      </c>
      <c r="K32" s="268">
        <v>0.23132905487550356</v>
      </c>
      <c r="L32" s="275">
        <v>1.472158331275158</v>
      </c>
      <c r="M32" s="275">
        <v>2.8095466821847066</v>
      </c>
      <c r="N32" s="268">
        <v>2.0248743169398908E-2</v>
      </c>
      <c r="O32" s="268">
        <v>0.25217000000000006</v>
      </c>
    </row>
    <row r="33" spans="1:15">
      <c r="A33" t="s">
        <v>680</v>
      </c>
      <c r="B33">
        <v>312</v>
      </c>
      <c r="C33" s="275">
        <v>0.85849804851073974</v>
      </c>
      <c r="D33" s="268">
        <v>0.37332895179531694</v>
      </c>
      <c r="E33" s="268">
        <v>0.27184233705061983</v>
      </c>
      <c r="F33" s="268">
        <v>0.1145220124769314</v>
      </c>
      <c r="G33" s="268">
        <v>0.61275572860343652</v>
      </c>
      <c r="H33" s="268">
        <v>3.4575676907072361E-2</v>
      </c>
      <c r="I33" s="268">
        <v>9.7173256118036663E-2</v>
      </c>
      <c r="J33" s="268">
        <v>7.4036290775709654E-2</v>
      </c>
      <c r="K33" s="268">
        <v>0.15963306907653099</v>
      </c>
      <c r="L33" s="275">
        <v>1.8552324781782525</v>
      </c>
      <c r="M33" s="275">
        <v>1.7369537199321821</v>
      </c>
      <c r="N33" s="268">
        <v>8.6445095541401312E-2</v>
      </c>
      <c r="O33" s="268">
        <v>0.14165178571428569</v>
      </c>
    </row>
    <row r="34" spans="1:15">
      <c r="A34" t="s">
        <v>681</v>
      </c>
      <c r="B34">
        <v>341</v>
      </c>
      <c r="C34" s="275">
        <v>0.6604291531168035</v>
      </c>
      <c r="D34" s="268">
        <v>0.45019066523483869</v>
      </c>
      <c r="E34" s="268">
        <v>0.31043550067393133</v>
      </c>
      <c r="F34" s="268">
        <v>0.13185596305476735</v>
      </c>
      <c r="G34" s="268">
        <v>0.48664544433798501</v>
      </c>
      <c r="H34" s="268">
        <v>2.3244554634767045E-2</v>
      </c>
      <c r="I34" s="268">
        <v>4.1348867371623452E-2</v>
      </c>
      <c r="J34" s="268">
        <v>5.9509394512388451E-2</v>
      </c>
      <c r="K34" s="268">
        <v>6.5467934859752247E-2</v>
      </c>
      <c r="L34" s="275">
        <v>1.823783310846204</v>
      </c>
      <c r="M34" s="275">
        <v>0.77626783695228474</v>
      </c>
      <c r="N34" s="268">
        <v>8.8188920187793368E-2</v>
      </c>
      <c r="O34" s="268">
        <v>0.19484018867924532</v>
      </c>
    </row>
    <row r="35" spans="1:15">
      <c r="A35" t="s">
        <v>682</v>
      </c>
      <c r="B35">
        <v>548</v>
      </c>
      <c r="C35" s="275">
        <v>0.21077785646556374</v>
      </c>
      <c r="D35" s="268">
        <v>5.1270052282457605</v>
      </c>
      <c r="E35" s="268">
        <v>0.83678812686662052</v>
      </c>
      <c r="F35" s="268">
        <v>0.17326208931877099</v>
      </c>
      <c r="G35" s="268">
        <v>0.33808489106615314</v>
      </c>
      <c r="H35" s="268">
        <v>0.11769209390381898</v>
      </c>
      <c r="I35" s="268">
        <v>7.9221013280885988E-2</v>
      </c>
      <c r="J35" s="268">
        <v>6.2569780549956364E-2</v>
      </c>
      <c r="K35" s="268">
        <v>3.9621612739701205E-3</v>
      </c>
      <c r="L35" s="275">
        <v>6.0495615946584771E-2</v>
      </c>
      <c r="M35" s="275">
        <v>13.992685726696331</v>
      </c>
      <c r="N35" s="268">
        <v>9.2692199999999975E-2</v>
      </c>
      <c r="O35" s="268">
        <v>0.17215225806451612</v>
      </c>
    </row>
    <row r="36" spans="1:15">
      <c r="A36" t="s">
        <v>683</v>
      </c>
      <c r="B36">
        <v>133</v>
      </c>
      <c r="C36" s="275">
        <v>0.28035748766412855</v>
      </c>
      <c r="D36" s="268">
        <v>2.9788962203127922</v>
      </c>
      <c r="E36" s="268">
        <v>0.74867401796134636</v>
      </c>
      <c r="F36" s="268">
        <v>0.12595151204109512</v>
      </c>
      <c r="G36" s="268">
        <v>0.15409616544464319</v>
      </c>
      <c r="H36" s="268">
        <v>0.16667661300090189</v>
      </c>
      <c r="I36" s="268">
        <v>5.1396600832636911E-2</v>
      </c>
      <c r="J36" s="268">
        <v>7.9900587515329094E-2</v>
      </c>
      <c r="K36" s="268">
        <v>6.4252312441659626E-3</v>
      </c>
      <c r="L36" s="275">
        <v>0.14302726672236804</v>
      </c>
      <c r="M36" s="275">
        <v>7.5514016899296168</v>
      </c>
      <c r="N36" s="268">
        <v>0.19671910447761193</v>
      </c>
      <c r="O36" s="268">
        <v>0.14340714285714287</v>
      </c>
    </row>
    <row r="37" spans="1:15">
      <c r="A37" t="s">
        <v>131</v>
      </c>
      <c r="B37">
        <v>1201</v>
      </c>
      <c r="C37" s="275">
        <v>0.66148779070649877</v>
      </c>
      <c r="D37" s="268">
        <v>0.2632702403884889</v>
      </c>
      <c r="E37" s="268">
        <v>0.20840373814832081</v>
      </c>
      <c r="F37" s="268">
        <v>0.16398730218971458</v>
      </c>
      <c r="G37" s="268">
        <v>0.69452981819291026</v>
      </c>
      <c r="H37" s="268">
        <v>4.8805424914266295E-2</v>
      </c>
      <c r="I37" s="268">
        <v>8.3575636533133907E-2</v>
      </c>
      <c r="J37" s="268">
        <v>0.12122120839914907</v>
      </c>
      <c r="K37" s="268">
        <v>0.14581329859273215</v>
      </c>
      <c r="L37" s="275">
        <v>2.0869140740841394</v>
      </c>
      <c r="M37" s="275">
        <v>1.3893346494568488</v>
      </c>
      <c r="N37" s="268">
        <v>7.1649002624671956E-2</v>
      </c>
      <c r="O37" s="268">
        <v>0.18550869565217384</v>
      </c>
    </row>
    <row r="38" spans="1:15">
      <c r="A38" t="s">
        <v>684</v>
      </c>
      <c r="B38">
        <v>115</v>
      </c>
      <c r="C38" s="275">
        <v>0.59411534902546737</v>
      </c>
      <c r="D38" s="268">
        <v>0.79907171814165134</v>
      </c>
      <c r="E38" s="268">
        <v>0.44415778986679383</v>
      </c>
      <c r="F38" s="268">
        <v>0.17200995863847734</v>
      </c>
      <c r="G38" s="268">
        <v>0.44010212438080115</v>
      </c>
      <c r="H38" s="268">
        <v>1.3424316472090914E-2</v>
      </c>
      <c r="I38" s="268">
        <v>2.954511800480783E-2</v>
      </c>
      <c r="J38" s="268">
        <v>0.12765371692554861</v>
      </c>
      <c r="K38" s="268">
        <v>0.14294393580545822</v>
      </c>
      <c r="L38" s="275">
        <v>5.8432557283411715</v>
      </c>
      <c r="M38" s="275">
        <v>0.37046328137839946</v>
      </c>
      <c r="N38" s="268">
        <v>2.0720800000000004E-2</v>
      </c>
      <c r="O38" s="268">
        <v>0.14604999999999999</v>
      </c>
    </row>
    <row r="39" spans="1:15">
      <c r="A39" t="s">
        <v>134</v>
      </c>
      <c r="B39">
        <v>319</v>
      </c>
      <c r="C39" s="275">
        <v>0.86691718976566468</v>
      </c>
      <c r="D39" s="268">
        <v>0.23457845933646276</v>
      </c>
      <c r="E39" s="268">
        <v>0.19000692711141215</v>
      </c>
      <c r="F39" s="268">
        <v>0.16030357402180526</v>
      </c>
      <c r="G39" s="268">
        <v>0.33160161324303566</v>
      </c>
      <c r="H39" s="268">
        <v>4.2664185102007569E-2</v>
      </c>
      <c r="I39" s="268">
        <v>7.0847193765747385E-2</v>
      </c>
      <c r="J39" s="268">
        <v>0.12997443741446779</v>
      </c>
      <c r="K39" s="268">
        <v>0.17156874013288187</v>
      </c>
      <c r="L39" s="275">
        <v>2.8839863784430526</v>
      </c>
      <c r="M39" s="275">
        <v>0.90637126927179423</v>
      </c>
      <c r="N39" s="268">
        <v>3.036593607305935E-2</v>
      </c>
      <c r="O39" s="268">
        <v>0.25896415094339625</v>
      </c>
    </row>
    <row r="40" spans="1:15">
      <c r="A40" t="s">
        <v>685</v>
      </c>
      <c r="B40">
        <v>448</v>
      </c>
      <c r="C40" s="275">
        <v>0.80760979328789029</v>
      </c>
      <c r="D40" s="268">
        <v>0.16055884012241531</v>
      </c>
      <c r="E40" s="268">
        <v>0.13834614374698972</v>
      </c>
      <c r="F40" s="268">
        <v>8.8299795713018062E-2</v>
      </c>
      <c r="G40" s="268">
        <v>0.36536945227387652</v>
      </c>
      <c r="H40" s="268">
        <v>9.1198936496888344E-2</v>
      </c>
      <c r="I40" s="268">
        <v>0.18704969708258118</v>
      </c>
      <c r="J40" s="268">
        <v>0.11741610104568871</v>
      </c>
      <c r="K40" s="268">
        <v>0.25525840044048043</v>
      </c>
      <c r="L40" s="275">
        <v>1.4968248413026628</v>
      </c>
      <c r="M40" s="275">
        <v>2.8602306795848573</v>
      </c>
      <c r="N40" s="268">
        <v>7.6377411764705888E-2</v>
      </c>
      <c r="O40" s="268">
        <v>0.17562232142857148</v>
      </c>
    </row>
    <row r="41" spans="1:15">
      <c r="A41" t="s">
        <v>686</v>
      </c>
      <c r="B41">
        <v>170</v>
      </c>
      <c r="C41" s="275">
        <v>0.48870602167986671</v>
      </c>
      <c r="D41" s="268">
        <v>0.7584168727834445</v>
      </c>
      <c r="E41" s="268">
        <v>0.43130663980886763</v>
      </c>
      <c r="F41" s="268">
        <v>0.16647691757996058</v>
      </c>
      <c r="G41" s="268">
        <v>0.7158888152450239</v>
      </c>
      <c r="H41" s="268">
        <v>3.5343576253027829E-2</v>
      </c>
      <c r="I41" s="268">
        <v>0.10586011701298294</v>
      </c>
      <c r="J41" s="268">
        <v>0.15015300525414263</v>
      </c>
      <c r="K41" s="268">
        <v>0.11503104724358912</v>
      </c>
      <c r="L41" s="275">
        <v>1.3036621988475092</v>
      </c>
      <c r="M41" s="275">
        <v>1.7706298168107379</v>
      </c>
      <c r="N41" s="268">
        <v>0.12959140186915888</v>
      </c>
      <c r="O41" s="268">
        <v>0.24775185185185183</v>
      </c>
    </row>
    <row r="42" spans="1:15">
      <c r="A42" t="s">
        <v>687</v>
      </c>
      <c r="B42">
        <v>159</v>
      </c>
      <c r="C42" s="275">
        <v>0.80988473365276648</v>
      </c>
      <c r="D42" s="268">
        <v>0.15027634398036105</v>
      </c>
      <c r="E42" s="268">
        <v>0.13064368815962257</v>
      </c>
      <c r="F42" s="268">
        <v>0.1266300885085907</v>
      </c>
      <c r="G42" s="268">
        <v>0.30872443124628968</v>
      </c>
      <c r="H42" s="268">
        <v>7.8483977686055195E-2</v>
      </c>
      <c r="I42" s="268">
        <v>0.1286188432212883</v>
      </c>
      <c r="J42" s="268">
        <v>0.11367622048251756</v>
      </c>
      <c r="K42" s="268">
        <v>0.16247436217095035</v>
      </c>
      <c r="L42" s="275">
        <v>1.4463786930939702</v>
      </c>
      <c r="M42" s="275">
        <v>3.0154138062018698</v>
      </c>
      <c r="N42" s="268">
        <v>0.16815888888888886</v>
      </c>
      <c r="O42" s="268">
        <v>0.1705555555555556</v>
      </c>
    </row>
    <row r="43" spans="1:15">
      <c r="A43" t="s">
        <v>688</v>
      </c>
      <c r="B43">
        <v>322</v>
      </c>
      <c r="C43" s="275">
        <v>0.70167049571292117</v>
      </c>
      <c r="D43" s="268">
        <v>0.30649486679393018</v>
      </c>
      <c r="E43" s="268">
        <v>0.23459324225747055</v>
      </c>
      <c r="F43" s="268">
        <v>0.17260847899456566</v>
      </c>
      <c r="G43" s="268">
        <v>0.22427858408604603</v>
      </c>
      <c r="H43" s="268">
        <v>2.3800178025656371E-2</v>
      </c>
      <c r="I43" s="268">
        <v>4.9866149429344295E-2</v>
      </c>
      <c r="J43" s="268">
        <v>0.11955638230996243</v>
      </c>
      <c r="K43" s="268">
        <v>0.30175824833794984</v>
      </c>
      <c r="L43" s="275">
        <v>7.3137860191514452</v>
      </c>
      <c r="M43" s="275">
        <v>0.58269461076363083</v>
      </c>
      <c r="N43" s="268">
        <v>0.12413456521739129</v>
      </c>
      <c r="O43" s="268">
        <v>0.15911075268817207</v>
      </c>
    </row>
    <row r="44" spans="1:15">
      <c r="A44" t="s">
        <v>689</v>
      </c>
      <c r="B44">
        <v>278</v>
      </c>
      <c r="C44" s="275">
        <v>1.0236925786598241</v>
      </c>
      <c r="D44" s="268">
        <v>0.15716035023007868</v>
      </c>
      <c r="E44" s="268">
        <v>0.13581553342959807</v>
      </c>
      <c r="F44" s="268">
        <v>7.8777100224145552E-2</v>
      </c>
      <c r="G44" s="268">
        <v>0.3060066577085902</v>
      </c>
      <c r="H44" s="268">
        <v>6.3456036952391173E-2</v>
      </c>
      <c r="I44" s="268">
        <v>0.12329388754711373</v>
      </c>
      <c r="J44" s="268">
        <v>8.4574989258398847E-2</v>
      </c>
      <c r="K44" s="268">
        <v>0.17887067915003288</v>
      </c>
      <c r="L44" s="275">
        <v>1.5748271173384811</v>
      </c>
      <c r="M44" s="275">
        <v>3.248719967408586</v>
      </c>
      <c r="N44" s="268">
        <v>8.1266764705882344E-2</v>
      </c>
      <c r="O44" s="268">
        <v>0.18022258064516125</v>
      </c>
    </row>
    <row r="45" spans="1:15">
      <c r="A45" t="s">
        <v>690</v>
      </c>
      <c r="B45">
        <v>335</v>
      </c>
      <c r="C45" s="275">
        <v>0.9513223237697116</v>
      </c>
      <c r="D45" s="268">
        <v>0.58477733047671088</v>
      </c>
      <c r="E45" s="268">
        <v>0.36899652666081878</v>
      </c>
      <c r="F45" s="268">
        <v>0.17110730148906728</v>
      </c>
      <c r="G45" s="268">
        <v>0.53785632785587945</v>
      </c>
      <c r="H45" s="268">
        <v>3.1325553228299073E-2</v>
      </c>
      <c r="I45" s="268">
        <v>6.5959702178927354E-2</v>
      </c>
      <c r="J45" s="268">
        <v>8.6653977816366551E-2</v>
      </c>
      <c r="K45" s="268">
        <v>8.4608153290661556E-2</v>
      </c>
      <c r="L45" s="275">
        <v>1.5475162419551189</v>
      </c>
      <c r="M45" s="275">
        <v>1.155491713303902</v>
      </c>
      <c r="N45" s="268">
        <v>3.5991535087719254E-2</v>
      </c>
      <c r="O45" s="268">
        <v>0.15025370370370369</v>
      </c>
    </row>
    <row r="46" spans="1:15">
      <c r="A46" t="s">
        <v>136</v>
      </c>
      <c r="B46">
        <v>164</v>
      </c>
      <c r="C46" s="275">
        <v>1.0370533082033995</v>
      </c>
      <c r="D46" s="268">
        <v>0.55579661789440382</v>
      </c>
      <c r="E46" s="268">
        <v>0.3572424644081128</v>
      </c>
      <c r="F46" s="268">
        <v>0.16647868463438092</v>
      </c>
      <c r="G46" s="268">
        <v>0.16669227230194059</v>
      </c>
      <c r="H46" s="268">
        <v>5.6289462338006746E-2</v>
      </c>
      <c r="I46" s="268">
        <v>5.5243369988934699E-2</v>
      </c>
      <c r="J46" s="268">
        <v>0.10570149536552288</v>
      </c>
      <c r="K46" s="268">
        <v>5.4833205226112826E-2</v>
      </c>
      <c r="L46" s="275">
        <v>1.1908217511971557</v>
      </c>
      <c r="M46" s="275">
        <v>1.2178936746590081</v>
      </c>
      <c r="N46" s="268">
        <v>3.4754621848739495E-2</v>
      </c>
      <c r="O46" s="268">
        <v>7.3321896551724136E-2</v>
      </c>
    </row>
    <row r="47" spans="1:15">
      <c r="A47" t="s">
        <v>137</v>
      </c>
      <c r="B47">
        <v>648</v>
      </c>
      <c r="C47" s="275">
        <v>0.74085416392763259</v>
      </c>
      <c r="D47" s="268">
        <v>0.34466059382172054</v>
      </c>
      <c r="E47" s="268">
        <v>0.25631791056072012</v>
      </c>
      <c r="F47" s="268">
        <v>0.1236296018449022</v>
      </c>
      <c r="G47" s="268">
        <v>0.58093124589474232</v>
      </c>
      <c r="H47" s="268">
        <v>5.8207259322504451E-2</v>
      </c>
      <c r="I47" s="268">
        <v>0.12649709627588118</v>
      </c>
      <c r="J47" s="268">
        <v>8.3718011418157171E-2</v>
      </c>
      <c r="K47" s="268">
        <v>0.10931658376898584</v>
      </c>
      <c r="L47" s="275">
        <v>0.98609281657795755</v>
      </c>
      <c r="M47" s="275">
        <v>2.6012608012758291</v>
      </c>
      <c r="N47" s="268">
        <v>9.1059719387755048E-2</v>
      </c>
      <c r="O47" s="268">
        <v>0.22060737704918046</v>
      </c>
    </row>
    <row r="48" spans="1:15">
      <c r="A48" t="s">
        <v>138</v>
      </c>
      <c r="B48">
        <v>458</v>
      </c>
      <c r="C48" s="275">
        <v>0.7646034531492788</v>
      </c>
      <c r="D48" s="268">
        <v>0.14117893498138886</v>
      </c>
      <c r="E48" s="268">
        <v>0.12371323256478731</v>
      </c>
      <c r="F48" s="268">
        <v>0.14132844644344861</v>
      </c>
      <c r="G48" s="268">
        <v>0.755776314024317</v>
      </c>
      <c r="H48" s="268">
        <v>9.0911155591873377E-2</v>
      </c>
      <c r="I48" s="268">
        <v>0.14838879293837329</v>
      </c>
      <c r="J48" s="268">
        <v>0.18152956870980599</v>
      </c>
      <c r="K48" s="268">
        <v>0.27191586928942768</v>
      </c>
      <c r="L48" s="275">
        <v>2.1340587756063436</v>
      </c>
      <c r="M48" s="275">
        <v>2.4713956701192972</v>
      </c>
      <c r="N48" s="268">
        <v>8.8053032490974695E-2</v>
      </c>
      <c r="O48" s="268">
        <v>0.17012688172043011</v>
      </c>
    </row>
    <row r="49" spans="1:15">
      <c r="A49" t="s">
        <v>141</v>
      </c>
      <c r="B49">
        <v>177</v>
      </c>
      <c r="C49" s="275">
        <v>0.79249702672386124</v>
      </c>
      <c r="D49" s="268">
        <v>0.11069276818168076</v>
      </c>
      <c r="E49" s="268">
        <v>9.9661014596229253E-2</v>
      </c>
      <c r="F49" s="268">
        <v>0.17567885283636564</v>
      </c>
      <c r="G49" s="268">
        <v>0.25600954336527465</v>
      </c>
      <c r="H49" s="268">
        <v>0.15108913205726143</v>
      </c>
      <c r="I49" s="268">
        <v>0.24031607608031585</v>
      </c>
      <c r="J49" s="268">
        <v>0.22693948631604369</v>
      </c>
      <c r="K49" s="268">
        <v>0.46091324719333976</v>
      </c>
      <c r="L49" s="275">
        <v>2.3266975090955957</v>
      </c>
      <c r="M49" s="275">
        <v>4.1806777973751217</v>
      </c>
      <c r="N49" s="268">
        <v>6.2108448275862094E-2</v>
      </c>
      <c r="O49" s="268">
        <v>0.15048363636363635</v>
      </c>
    </row>
    <row r="50" spans="1:15">
      <c r="A50" t="s">
        <v>691</v>
      </c>
      <c r="B50">
        <v>235</v>
      </c>
      <c r="C50" s="275">
        <v>0.66449596098964059</v>
      </c>
      <c r="D50" s="268">
        <v>0.40999713363088508</v>
      </c>
      <c r="E50" s="268">
        <v>0.29077870007799311</v>
      </c>
      <c r="F50" s="268">
        <v>0.13953359912365873</v>
      </c>
      <c r="G50" s="268">
        <v>0.45217880119842946</v>
      </c>
      <c r="H50" s="268">
        <v>3.830713315122352E-2</v>
      </c>
      <c r="I50" s="268">
        <v>8.75022427858754E-2</v>
      </c>
      <c r="J50" s="268">
        <v>7.1775693912078359E-2</v>
      </c>
      <c r="K50" s="268">
        <v>0.12875869617057825</v>
      </c>
      <c r="L50" s="275">
        <v>1.7101077249922412</v>
      </c>
      <c r="M50" s="275">
        <v>0.813789680023982</v>
      </c>
      <c r="N50" s="268">
        <v>9.692823008849559E-2</v>
      </c>
      <c r="O50" s="268">
        <v>0.13581818181818181</v>
      </c>
    </row>
    <row r="51" spans="1:15">
      <c r="A51" t="s">
        <v>142</v>
      </c>
      <c r="B51">
        <v>121</v>
      </c>
      <c r="C51" s="275">
        <v>1.0525509913565336</v>
      </c>
      <c r="D51" s="268">
        <v>0.517292011045689</v>
      </c>
      <c r="E51" s="268">
        <v>0.34093108464281779</v>
      </c>
      <c r="F51" s="268">
        <v>0.1880117198172882</v>
      </c>
      <c r="G51" s="268">
        <v>0.34915072887738935</v>
      </c>
      <c r="H51" s="268">
        <v>4.6864945551968837E-2</v>
      </c>
      <c r="I51" s="268">
        <v>8.7185020492602974E-2</v>
      </c>
      <c r="J51" s="268">
        <v>9.3692158114199189E-2</v>
      </c>
      <c r="K51" s="268">
        <v>0.12092565227688973</v>
      </c>
      <c r="L51" s="275">
        <v>1.7081531406281212</v>
      </c>
      <c r="M51" s="275">
        <v>0.95018804238944987</v>
      </c>
      <c r="N51" s="268">
        <v>0.1208498630136986</v>
      </c>
      <c r="O51" s="268">
        <v>0.13404576271186441</v>
      </c>
    </row>
    <row r="52" spans="1:15">
      <c r="A52" t="s">
        <v>143</v>
      </c>
      <c r="B52">
        <v>219</v>
      </c>
      <c r="C52" s="275">
        <v>0.63101484712424161</v>
      </c>
      <c r="D52" s="268">
        <v>0.32796610512304381</v>
      </c>
      <c r="E52" s="268">
        <v>0.24696873200137576</v>
      </c>
      <c r="F52" s="268">
        <v>0.15063460447970425</v>
      </c>
      <c r="G52" s="268">
        <v>0.24529872172037057</v>
      </c>
      <c r="H52" s="268">
        <v>7.0183267519205256E-2</v>
      </c>
      <c r="I52" s="268">
        <v>0.11076407863020109</v>
      </c>
      <c r="J52" s="268">
        <v>0.12238248510754887</v>
      </c>
      <c r="K52" s="268">
        <v>0.13015055881757584</v>
      </c>
      <c r="L52" s="275">
        <v>1.383415173314076</v>
      </c>
      <c r="M52" s="275">
        <v>0.99852012481557584</v>
      </c>
      <c r="N52" s="268">
        <v>7.9387318840579674E-2</v>
      </c>
      <c r="O52" s="268">
        <v>0.15061818181818176</v>
      </c>
    </row>
    <row r="53" spans="1:15">
      <c r="A53" t="s">
        <v>549</v>
      </c>
      <c r="B53">
        <v>706</v>
      </c>
      <c r="C53" s="275">
        <v>1.104494705899693</v>
      </c>
      <c r="D53" s="268">
        <v>3.9558191584375166E-2</v>
      </c>
      <c r="E53" s="268">
        <v>3.8052888144804203E-2</v>
      </c>
      <c r="F53" s="268">
        <v>8.6521499643040053E-2</v>
      </c>
      <c r="G53" s="268">
        <v>6.8471764648433658E-2</v>
      </c>
      <c r="H53" s="268">
        <v>0.14925725415662641</v>
      </c>
      <c r="I53" s="268">
        <v>0.19408326732133574</v>
      </c>
      <c r="J53" s="268">
        <v>0.13836420106204658</v>
      </c>
      <c r="K53" s="268">
        <v>0.23767833501969329</v>
      </c>
      <c r="L53" s="275">
        <v>1.3406122128960232</v>
      </c>
      <c r="M53" s="275">
        <v>6.7594345459111018</v>
      </c>
      <c r="N53" s="268">
        <v>9.58039932885906E-2</v>
      </c>
      <c r="O53" s="268">
        <v>0.25776115702479324</v>
      </c>
    </row>
    <row r="54" spans="1:15">
      <c r="A54" t="s">
        <v>604</v>
      </c>
      <c r="B54">
        <v>433</v>
      </c>
      <c r="C54" s="275">
        <v>0.58251483650168612</v>
      </c>
      <c r="D54" s="268">
        <v>0.85616168356094557</v>
      </c>
      <c r="E54" s="268">
        <v>0.46125382887898309</v>
      </c>
      <c r="F54" s="268">
        <v>6.9551146598912497E-2</v>
      </c>
      <c r="G54" s="268">
        <v>0.34663237338676434</v>
      </c>
      <c r="H54" s="268">
        <v>0.18510973296764779</v>
      </c>
      <c r="I54" s="268">
        <v>0.13911191606813222</v>
      </c>
      <c r="J54" s="268">
        <v>0.10146147321797921</v>
      </c>
      <c r="K54" s="268">
        <v>4.4630182337906249E-2</v>
      </c>
      <c r="L54" s="275">
        <v>0.34480362553357069</v>
      </c>
      <c r="M54" s="275">
        <v>4.9731540387186524</v>
      </c>
      <c r="N54" s="268">
        <v>-2.3168734177215173E-2</v>
      </c>
      <c r="O54" s="268">
        <v>0.11697037037037038</v>
      </c>
    </row>
    <row r="55" spans="1:15">
      <c r="A55" t="s">
        <v>145</v>
      </c>
      <c r="B55">
        <v>1270</v>
      </c>
      <c r="C55" s="275">
        <v>1.0139902722155465</v>
      </c>
      <c r="D55" s="268">
        <v>0.21446922806989421</v>
      </c>
      <c r="E55" s="268">
        <v>0.17659502860417575</v>
      </c>
      <c r="F55" s="268">
        <v>0.1744696306210943</v>
      </c>
      <c r="G55" s="268">
        <v>0.36512277470848808</v>
      </c>
      <c r="H55" s="268">
        <v>5.8034047859892621E-2</v>
      </c>
      <c r="I55" s="268">
        <v>9.0545094161671905E-2</v>
      </c>
      <c r="J55" s="268">
        <v>0.10971350541310637</v>
      </c>
      <c r="K55" s="268">
        <v>0.13464144516711191</v>
      </c>
      <c r="L55" s="275">
        <v>1.8012781675342782</v>
      </c>
      <c r="M55" s="275">
        <v>1.4959526471847504</v>
      </c>
      <c r="N55" s="268">
        <v>2.0809521640091103E-2</v>
      </c>
      <c r="O55" s="268">
        <v>0.18508200000000011</v>
      </c>
    </row>
    <row r="56" spans="1:15">
      <c r="A56" t="s">
        <v>692</v>
      </c>
      <c r="B56">
        <v>1691</v>
      </c>
      <c r="C56" s="275">
        <v>1.028934428599932</v>
      </c>
      <c r="D56" s="268">
        <v>0.38743313302663407</v>
      </c>
      <c r="E56" s="268">
        <v>0.27924454433451729</v>
      </c>
      <c r="F56" s="268">
        <v>3.5783644539461257E-2</v>
      </c>
      <c r="G56" s="268">
        <v>3.163154055782722</v>
      </c>
      <c r="H56" s="268">
        <v>1.4105473863607368E-2</v>
      </c>
      <c r="I56" s="268">
        <v>0.13411789813787839</v>
      </c>
      <c r="J56" s="268">
        <v>1.6491084235711738E-2</v>
      </c>
      <c r="K56" s="268">
        <v>0.11731106410559698</v>
      </c>
      <c r="L56" s="275">
        <v>0.9071471524472583</v>
      </c>
      <c r="M56" s="275">
        <v>1.8820684483505157</v>
      </c>
      <c r="N56" s="268">
        <v>9.1454989059080991E-2</v>
      </c>
      <c r="O56" s="268">
        <v>0.11143743362831862</v>
      </c>
    </row>
    <row r="57" spans="1:15">
      <c r="A57" t="s">
        <v>693</v>
      </c>
      <c r="B57">
        <v>161</v>
      </c>
      <c r="C57" s="275">
        <v>0.61942503667557547</v>
      </c>
      <c r="D57" s="268">
        <v>0.38621690846848189</v>
      </c>
      <c r="E57" s="268">
        <v>0.2786121754171802</v>
      </c>
      <c r="F57" s="268">
        <v>0.17655794334866767</v>
      </c>
      <c r="G57" s="268">
        <v>0.45045939025390386</v>
      </c>
      <c r="H57" s="268">
        <v>3.3860642869052819E-2</v>
      </c>
      <c r="I57" s="268">
        <v>8.048252943482731E-2</v>
      </c>
      <c r="J57" s="268">
        <v>9.8101581722215142E-2</v>
      </c>
      <c r="K57" s="268">
        <v>0.14302050758930873</v>
      </c>
      <c r="L57" s="275">
        <v>2.1580606876414912</v>
      </c>
      <c r="M57" s="275">
        <v>1.0625518809982999</v>
      </c>
      <c r="N57" s="268">
        <v>8.2304166666666619E-3</v>
      </c>
      <c r="O57" s="268">
        <v>0.13465833333333335</v>
      </c>
    </row>
    <row r="58" spans="1:15">
      <c r="A58" t="s">
        <v>694</v>
      </c>
      <c r="B58">
        <v>53</v>
      </c>
      <c r="C58" s="275">
        <v>1.0380590072692364</v>
      </c>
      <c r="D58" s="268">
        <v>0.30511782851767144</v>
      </c>
      <c r="E58" s="268">
        <v>0.23378565662858089</v>
      </c>
      <c r="F58" s="268">
        <v>0.245276983648967</v>
      </c>
      <c r="G58" s="268">
        <v>0.3084727802790696</v>
      </c>
      <c r="H58" s="268">
        <v>7.3352661650471523E-2</v>
      </c>
      <c r="I58" s="268">
        <v>0.10152397094671585</v>
      </c>
      <c r="J58" s="268">
        <v>0.15225262032198641</v>
      </c>
      <c r="K58" s="268">
        <v>0.12656080621301263</v>
      </c>
      <c r="L58" s="275">
        <v>1.6517451562810472</v>
      </c>
      <c r="M58" s="275">
        <v>0.80360995386374023</v>
      </c>
      <c r="N58" s="268">
        <v>6.6638837209302304E-2</v>
      </c>
      <c r="O58" s="268">
        <v>0.35360351351351343</v>
      </c>
    </row>
    <row r="59" spans="1:15">
      <c r="A59" t="s">
        <v>695</v>
      </c>
      <c r="B59">
        <v>1172</v>
      </c>
      <c r="C59" s="275">
        <v>0.73892813166770011</v>
      </c>
      <c r="D59" s="268">
        <v>0.87130061808255799</v>
      </c>
      <c r="E59" s="268">
        <v>0.4656123177981647</v>
      </c>
      <c r="F59" s="268">
        <v>6.9278809060392424E-2</v>
      </c>
      <c r="G59" s="268">
        <v>0.45718669820086566</v>
      </c>
      <c r="H59" s="268">
        <v>0.10793700800864353</v>
      </c>
      <c r="I59" s="268">
        <v>-5.0417155110544024E-2</v>
      </c>
      <c r="J59" s="268">
        <v>8.2313710161065395E-2</v>
      </c>
      <c r="K59" s="268">
        <v>-1.4692368135688857E-2</v>
      </c>
      <c r="L59" s="275">
        <v>0.31310778315714333</v>
      </c>
      <c r="M59" s="275">
        <v>4.5005318711519262</v>
      </c>
      <c r="N59" s="268">
        <v>0.12460231884057972</v>
      </c>
      <c r="O59" s="268">
        <v>0.19722226130653264</v>
      </c>
    </row>
    <row r="60" spans="1:15">
      <c r="A60" t="s">
        <v>154</v>
      </c>
      <c r="B60">
        <v>199</v>
      </c>
      <c r="C60" s="275">
        <v>0.73187978361776529</v>
      </c>
      <c r="D60" s="268">
        <v>0.56537783229191518</v>
      </c>
      <c r="E60" s="268">
        <v>0.36117659304279853</v>
      </c>
      <c r="F60" s="268">
        <v>9.627054252372852E-2</v>
      </c>
      <c r="G60" s="268">
        <v>1.0855364469349369</v>
      </c>
      <c r="H60" s="268">
        <v>4.2376025054766876E-2</v>
      </c>
      <c r="I60" s="268">
        <v>8.2125234762846597E-2</v>
      </c>
      <c r="J60" s="268">
        <v>0.11222774980493291</v>
      </c>
      <c r="K60" s="268">
        <v>8.6514786212724251E-2</v>
      </c>
      <c r="L60" s="275">
        <v>1.1656690789829356</v>
      </c>
      <c r="M60" s="275">
        <v>1.9589559549338729</v>
      </c>
      <c r="N60" s="268">
        <v>0.11088939130434781</v>
      </c>
      <c r="O60" s="268">
        <v>0.15429358974358978</v>
      </c>
    </row>
    <row r="61" spans="1:15">
      <c r="A61" t="s">
        <v>155</v>
      </c>
      <c r="B61">
        <v>593</v>
      </c>
      <c r="C61" s="275">
        <v>0.92004190500140426</v>
      </c>
      <c r="D61" s="268">
        <v>0.37388853799526106</v>
      </c>
      <c r="E61" s="268">
        <v>0.27213891640789767</v>
      </c>
      <c r="F61" s="268">
        <v>0.13975990294352561</v>
      </c>
      <c r="G61" s="268">
        <v>0.3326890295306042</v>
      </c>
      <c r="H61" s="268">
        <v>2.3698846196922307E-2</v>
      </c>
      <c r="I61" s="268">
        <v>4.476402026562442E-2</v>
      </c>
      <c r="J61" s="268">
        <v>0.11411877562251997</v>
      </c>
      <c r="K61" s="268">
        <v>0.13661792562948327</v>
      </c>
      <c r="L61" s="275">
        <v>3.5477983006329352</v>
      </c>
      <c r="M61" s="275">
        <v>0.58142048807966273</v>
      </c>
      <c r="N61" s="268">
        <v>9.0049817073170793E-2</v>
      </c>
      <c r="O61" s="268">
        <v>0.20485058139534881</v>
      </c>
    </row>
    <row r="62" spans="1:15">
      <c r="A62" t="s">
        <v>156</v>
      </c>
      <c r="B62">
        <v>398</v>
      </c>
      <c r="C62" s="275">
        <v>0.64373440539063786</v>
      </c>
      <c r="D62" s="268">
        <v>0.46625437528343228</v>
      </c>
      <c r="E62" s="268">
        <v>0.31799009990562083</v>
      </c>
      <c r="F62" s="268">
        <v>0.17719799807119052</v>
      </c>
      <c r="G62" s="268">
        <v>0.44396174062961546</v>
      </c>
      <c r="H62" s="268">
        <v>3.6204763330739381E-2</v>
      </c>
      <c r="I62" s="268">
        <v>8.0082919814871298E-2</v>
      </c>
      <c r="J62" s="268">
        <v>9.569303284254195E-2</v>
      </c>
      <c r="K62" s="268">
        <v>0.11568476655435085</v>
      </c>
      <c r="L62" s="275">
        <v>1.7556621071237668</v>
      </c>
      <c r="M62" s="275">
        <v>1.1522659751917246</v>
      </c>
      <c r="N62" s="268">
        <v>6.0378246268656718E-2</v>
      </c>
      <c r="O62" s="268">
        <v>0.15753249999999999</v>
      </c>
    </row>
    <row r="63" spans="1:15">
      <c r="A63" t="s">
        <v>157</v>
      </c>
      <c r="B63">
        <v>303</v>
      </c>
      <c r="C63" s="275">
        <v>0.61615860609175044</v>
      </c>
      <c r="D63" s="268">
        <v>0.78760943117119853</v>
      </c>
      <c r="E63" s="268">
        <v>0.44059368754570499</v>
      </c>
      <c r="F63" s="268">
        <v>0.12533792551350489</v>
      </c>
      <c r="G63" s="268">
        <v>1.1433821626537863</v>
      </c>
      <c r="H63" s="268">
        <v>1.3882472670244258E-2</v>
      </c>
      <c r="I63" s="268">
        <v>5.7499751088033638E-2</v>
      </c>
      <c r="J63" s="268">
        <v>2.593527789254562E-2</v>
      </c>
      <c r="K63" s="268">
        <v>5.1894623043954695E-2</v>
      </c>
      <c r="L63" s="275">
        <v>1.0318488895511682</v>
      </c>
      <c r="M63" s="275">
        <v>1.178516812583245</v>
      </c>
      <c r="N63" s="268">
        <v>2.1929017857142855E-2</v>
      </c>
      <c r="O63" s="268">
        <v>0.17775976744186045</v>
      </c>
    </row>
    <row r="64" spans="1:15">
      <c r="A64" t="s">
        <v>696</v>
      </c>
      <c r="B64">
        <v>820</v>
      </c>
      <c r="C64" s="275">
        <v>0.83034343762448815</v>
      </c>
      <c r="D64" s="268">
        <v>0.12885849367494345</v>
      </c>
      <c r="E64" s="268">
        <v>0.11414937691211495</v>
      </c>
      <c r="F64" s="268">
        <v>0.13535210029568023</v>
      </c>
      <c r="G64" s="268">
        <v>0.50489343380732798</v>
      </c>
      <c r="H64" s="268">
        <v>0.14886525163006917</v>
      </c>
      <c r="I64" s="268">
        <v>0.21352886547603225</v>
      </c>
      <c r="J64" s="268">
        <v>0.16900863884952055</v>
      </c>
      <c r="K64" s="268">
        <v>0.21644466260969489</v>
      </c>
      <c r="L64" s="275">
        <v>1.1723330196792994</v>
      </c>
      <c r="M64" s="275">
        <v>3.5881161106423787</v>
      </c>
      <c r="N64" s="268">
        <v>0.12157342629482079</v>
      </c>
      <c r="O64" s="268">
        <v>0.2107499481865284</v>
      </c>
    </row>
    <row r="65" spans="1:15">
      <c r="A65" t="s">
        <v>162</v>
      </c>
      <c r="B65">
        <v>743</v>
      </c>
      <c r="C65" s="275">
        <v>0.49404071563803698</v>
      </c>
      <c r="D65" s="268">
        <v>1.0176039996385986</v>
      </c>
      <c r="E65" s="268">
        <v>0.50436260030257474</v>
      </c>
      <c r="F65" s="268">
        <v>0.14720948877292064</v>
      </c>
      <c r="G65" s="268">
        <v>0.64226013302975127</v>
      </c>
      <c r="H65" s="268">
        <v>5.2835640983114343E-2</v>
      </c>
      <c r="I65" s="268">
        <v>0.11619529142184877</v>
      </c>
      <c r="J65" s="268">
        <v>7.6517472138186618E-2</v>
      </c>
      <c r="K65" s="268">
        <v>6.6481778756389887E-2</v>
      </c>
      <c r="L65" s="275">
        <v>0.67092155021637789</v>
      </c>
      <c r="M65" s="275">
        <v>1.862325706363771</v>
      </c>
      <c r="N65" s="268">
        <v>0.12801969365426685</v>
      </c>
      <c r="O65" s="268">
        <v>9.9651813725490132E-2</v>
      </c>
    </row>
    <row r="66" spans="1:15">
      <c r="A66" t="s">
        <v>163</v>
      </c>
      <c r="B66">
        <v>1181</v>
      </c>
      <c r="C66" s="275">
        <v>1.1529950805307136</v>
      </c>
      <c r="D66" s="268">
        <v>0.30996676610388729</v>
      </c>
      <c r="E66" s="268">
        <v>0.23662185493895599</v>
      </c>
      <c r="F66" s="268">
        <v>2.1632441000855897E-2</v>
      </c>
      <c r="G66" s="268" t="s">
        <v>189</v>
      </c>
      <c r="H66" s="268">
        <v>-0.20013834205093708</v>
      </c>
      <c r="I66" s="268">
        <v>9.828568198706672E-2</v>
      </c>
      <c r="J66" s="268">
        <v>-0.11359374767907031</v>
      </c>
      <c r="K66" s="268">
        <v>5.1714597394916552E-2</v>
      </c>
      <c r="L66" s="275">
        <v>0.53780006290666305</v>
      </c>
      <c r="M66" s="275">
        <v>2.2135395548247825</v>
      </c>
      <c r="N66" s="268">
        <v>0.29334564220183501</v>
      </c>
      <c r="O66" s="268">
        <v>-1.2060256410256411E-2</v>
      </c>
    </row>
    <row r="67" spans="1:15">
      <c r="A67" t="s">
        <v>697</v>
      </c>
      <c r="B67">
        <v>390</v>
      </c>
      <c r="C67" s="275">
        <v>0.77117617859553922</v>
      </c>
      <c r="D67" s="268">
        <v>0.33158831385213805</v>
      </c>
      <c r="E67" s="268">
        <v>0.24901714020971669</v>
      </c>
      <c r="F67" s="268">
        <v>0.15187668400408438</v>
      </c>
      <c r="G67" s="268">
        <v>1.8787019931773317</v>
      </c>
      <c r="H67" s="268">
        <v>1.6612793643184628E-2</v>
      </c>
      <c r="I67" s="268">
        <v>8.1863717792948987E-2</v>
      </c>
      <c r="J67" s="268">
        <v>2.8660805712999234E-2</v>
      </c>
      <c r="K67" s="268">
        <v>0.11773338583132698</v>
      </c>
      <c r="L67" s="275">
        <v>1.6957005739624516</v>
      </c>
      <c r="M67" s="275">
        <v>1.5684691038482703</v>
      </c>
      <c r="N67" s="268">
        <v>4.6589015151515152E-3</v>
      </c>
      <c r="O67" s="268">
        <v>8.9128985507246392E-2</v>
      </c>
    </row>
    <row r="68" spans="1:15">
      <c r="A68" t="s">
        <v>167</v>
      </c>
      <c r="B68">
        <v>49</v>
      </c>
      <c r="C68" s="275">
        <v>0.12708054684938758</v>
      </c>
      <c r="D68" s="268">
        <v>5.5145756719663481</v>
      </c>
      <c r="E68" s="268">
        <v>0.84649806060228605</v>
      </c>
      <c r="F68" s="268">
        <v>2.324098945401842E-2</v>
      </c>
      <c r="G68" s="268">
        <v>0.84288208487973182</v>
      </c>
      <c r="H68" s="268">
        <v>0.7266123346351725</v>
      </c>
      <c r="I68" s="268">
        <v>1.2498931713822306E-2</v>
      </c>
      <c r="J68" s="268">
        <v>0.12509133543616463</v>
      </c>
      <c r="K68" s="268">
        <v>3.1562641350063082E-4</v>
      </c>
      <c r="L68" s="275">
        <v>2.5853123380063268E-2</v>
      </c>
      <c r="M68" s="275">
        <v>32.545980485081053</v>
      </c>
      <c r="N68" s="268">
        <v>0.20466666666666669</v>
      </c>
      <c r="O68" s="268">
        <v>5.468400000000001E-2</v>
      </c>
    </row>
    <row r="69" spans="1:15">
      <c r="A69" t="s">
        <v>168</v>
      </c>
      <c r="B69">
        <v>54</v>
      </c>
      <c r="C69" s="275">
        <v>0.57764032811067856</v>
      </c>
      <c r="D69" s="268">
        <v>0.47734439909677184</v>
      </c>
      <c r="E69" s="268">
        <v>0.32310976329460733</v>
      </c>
      <c r="F69" s="268">
        <v>0.25535568938453168</v>
      </c>
      <c r="G69" s="268">
        <v>0.26188172848015268</v>
      </c>
      <c r="H69" s="268">
        <v>0.11605593254833045</v>
      </c>
      <c r="I69" s="268">
        <v>0.19798142259405688</v>
      </c>
      <c r="J69" s="268">
        <v>0.12902204648561316</v>
      </c>
      <c r="K69" s="268">
        <v>7.9205249381665899E-2</v>
      </c>
      <c r="L69" s="275">
        <v>0.53725522702282424</v>
      </c>
      <c r="M69" s="275">
        <v>2.7603462877453313</v>
      </c>
      <c r="N69" s="268">
        <v>4.639608695652174E-2</v>
      </c>
      <c r="O69" s="268">
        <v>0.11227444444444445</v>
      </c>
    </row>
    <row r="70" spans="1:15">
      <c r="A70" t="s">
        <v>698</v>
      </c>
      <c r="B70">
        <v>422</v>
      </c>
      <c r="C70" s="275">
        <v>0.7008252859194799</v>
      </c>
      <c r="D70" s="268">
        <v>0.77674509647035173</v>
      </c>
      <c r="E70" s="268">
        <v>0.43717306326800554</v>
      </c>
      <c r="F70" s="268">
        <v>0.13987918304678143</v>
      </c>
      <c r="G70" s="268">
        <v>0.26126450067880036</v>
      </c>
      <c r="H70" s="268">
        <v>0.15482785661910872</v>
      </c>
      <c r="I70" s="268">
        <v>0.13727706785570451</v>
      </c>
      <c r="J70" s="268">
        <v>8.5638853911319507E-2</v>
      </c>
      <c r="K70" s="268">
        <v>3.6824501024836732E-2</v>
      </c>
      <c r="L70" s="275">
        <v>0.31187417757154873</v>
      </c>
      <c r="M70" s="275">
        <v>3.5850670056156191</v>
      </c>
      <c r="N70" s="268">
        <v>3.7810216606498206E-2</v>
      </c>
      <c r="O70" s="268">
        <v>0.17100648148148154</v>
      </c>
    </row>
    <row r="71" spans="1:15">
      <c r="A71" t="s">
        <v>699</v>
      </c>
      <c r="B71">
        <v>647</v>
      </c>
      <c r="C71" s="275">
        <v>0.31027323414564079</v>
      </c>
      <c r="D71" s="268">
        <v>3.5207606236623077</v>
      </c>
      <c r="E71" s="268">
        <v>0.7787982856765614</v>
      </c>
      <c r="F71" s="268">
        <v>0.17320133868552295</v>
      </c>
      <c r="G71" s="268">
        <v>0.34063770152125405</v>
      </c>
      <c r="H71" s="268">
        <v>0.19056947331184476</v>
      </c>
      <c r="I71" s="268">
        <v>0.22854313699908163</v>
      </c>
      <c r="J71" s="268">
        <v>0.14434427731888266</v>
      </c>
      <c r="K71" s="268">
        <v>9.4358741573632124E-2</v>
      </c>
      <c r="L71" s="275">
        <v>0.49936050579251817</v>
      </c>
      <c r="M71" s="275">
        <v>6.766240417442714</v>
      </c>
      <c r="N71" s="268">
        <v>0.13649311274509804</v>
      </c>
      <c r="O71" s="268">
        <v>0.25134736842105249</v>
      </c>
    </row>
    <row r="72" spans="1:15">
      <c r="A72" t="s">
        <v>700</v>
      </c>
      <c r="B72">
        <v>481</v>
      </c>
      <c r="C72" s="275">
        <v>0.55192115803562991</v>
      </c>
      <c r="D72" s="268">
        <v>0.78732425422519325</v>
      </c>
      <c r="E72" s="268">
        <v>0.44050443133862077</v>
      </c>
      <c r="F72" s="268">
        <v>0.12904530471734396</v>
      </c>
      <c r="G72" s="268">
        <v>0.25164098533625406</v>
      </c>
      <c r="H72" s="268">
        <v>0.25067387264156193</v>
      </c>
      <c r="I72" s="268">
        <v>0.29444938314168767</v>
      </c>
      <c r="J72" s="268">
        <v>9.8115786499698696E-2</v>
      </c>
      <c r="K72" s="268">
        <v>5.3101218127082774E-2</v>
      </c>
      <c r="L72" s="275">
        <v>0.20706098240288942</v>
      </c>
      <c r="M72" s="275">
        <v>6.1880861676805754</v>
      </c>
      <c r="N72" s="268">
        <v>0.11140303249097482</v>
      </c>
      <c r="O72" s="268">
        <v>0.12353750000000001</v>
      </c>
    </row>
    <row r="73" spans="1:15">
      <c r="A73" t="s">
        <v>169</v>
      </c>
      <c r="B73">
        <v>286</v>
      </c>
      <c r="C73" s="275">
        <v>0.85852923621052601</v>
      </c>
      <c r="D73" s="268">
        <v>0.27879216075579871</v>
      </c>
      <c r="E73" s="268">
        <v>0.21801209712689001</v>
      </c>
      <c r="F73" s="268">
        <v>0.17482960275799214</v>
      </c>
      <c r="G73" s="268">
        <v>0.4063394659575848</v>
      </c>
      <c r="H73" s="268">
        <v>6.7198986133110927E-2</v>
      </c>
      <c r="I73" s="268">
        <v>0.11229851014680595</v>
      </c>
      <c r="J73" s="268">
        <v>0.11563237119378134</v>
      </c>
      <c r="K73" s="268">
        <v>0.1171126353033884</v>
      </c>
      <c r="L73" s="275">
        <v>1.263822607282771</v>
      </c>
      <c r="M73" s="275">
        <v>1.843659696808813</v>
      </c>
      <c r="N73" s="268">
        <v>2.7669731182795702E-2</v>
      </c>
      <c r="O73" s="268">
        <v>0.18678999999999996</v>
      </c>
    </row>
    <row r="74" spans="1:15">
      <c r="A74" t="s">
        <v>170</v>
      </c>
      <c r="B74">
        <v>37</v>
      </c>
      <c r="C74" s="275">
        <v>0.88538186843058209</v>
      </c>
      <c r="D74" s="268">
        <v>0.34266817479378492</v>
      </c>
      <c r="E74" s="268">
        <v>0.25521434202938037</v>
      </c>
      <c r="F74" s="268">
        <v>0.10811050027988169</v>
      </c>
      <c r="G74" s="268">
        <v>0.32445852470137559</v>
      </c>
      <c r="H74" s="268">
        <v>7.1563645889807667E-2</v>
      </c>
      <c r="I74" s="268">
        <v>0.11056926509413451</v>
      </c>
      <c r="J74" s="268">
        <v>0.10681642741351044</v>
      </c>
      <c r="K74" s="268">
        <v>0.13034253606857346</v>
      </c>
      <c r="L74" s="275">
        <v>1.3217237466251448</v>
      </c>
      <c r="M74" s="275">
        <v>0.82664310108002514</v>
      </c>
      <c r="N74" s="268">
        <v>0.13212360000000001</v>
      </c>
      <c r="O74" s="268">
        <v>8.4094117647058819E-2</v>
      </c>
    </row>
    <row r="75" spans="1:15">
      <c r="A75" t="s">
        <v>171</v>
      </c>
      <c r="B75">
        <v>304</v>
      </c>
      <c r="C75" s="275">
        <v>0.64202972448705309</v>
      </c>
      <c r="D75" s="268">
        <v>0.30254178006954008</v>
      </c>
      <c r="E75" s="268">
        <v>0.23227030771587839</v>
      </c>
      <c r="F75" s="268">
        <v>0.2105406359304538</v>
      </c>
      <c r="G75" s="268">
        <v>0.50327971482164724</v>
      </c>
      <c r="H75" s="268">
        <v>5.4827783140687411E-2</v>
      </c>
      <c r="I75" s="268">
        <v>0.12496180346786634</v>
      </c>
      <c r="J75" s="268">
        <v>0.17786680013735617</v>
      </c>
      <c r="K75" s="268">
        <v>0.16106597044335719</v>
      </c>
      <c r="L75" s="275">
        <v>1.6326636694660881</v>
      </c>
      <c r="M75" s="275">
        <v>2.0529268344110201</v>
      </c>
      <c r="N75" s="268">
        <v>5.9061930693069316E-2</v>
      </c>
      <c r="O75" s="268">
        <v>0.15638879310344836</v>
      </c>
    </row>
    <row r="76" spans="1:15">
      <c r="A76" t="s">
        <v>701</v>
      </c>
      <c r="B76">
        <v>148</v>
      </c>
      <c r="C76" s="275">
        <v>0.64134028194143189</v>
      </c>
      <c r="D76" s="268">
        <v>0.58654962587688597</v>
      </c>
      <c r="E76" s="268">
        <v>0.36970140505545174</v>
      </c>
      <c r="F76" s="268">
        <v>0.18786907627396879</v>
      </c>
      <c r="G76" s="268">
        <v>0.2231699151108455</v>
      </c>
      <c r="H76" s="268">
        <v>2.4334779264009204E-2</v>
      </c>
      <c r="I76" s="268">
        <v>4.7485954545374943E-2</v>
      </c>
      <c r="J76" s="268">
        <v>0.1648131193885832</v>
      </c>
      <c r="K76" s="268">
        <v>0.11444618300670364</v>
      </c>
      <c r="L76" s="275">
        <v>2.9676323230626496</v>
      </c>
      <c r="M76" s="275">
        <v>0.74695833136919743</v>
      </c>
      <c r="N76" s="268">
        <v>9.0363186813186822E-2</v>
      </c>
      <c r="O76" s="268">
        <v>0.19759736842105269</v>
      </c>
    </row>
    <row r="77" spans="1:15">
      <c r="A77" t="s">
        <v>702</v>
      </c>
      <c r="B77">
        <v>50</v>
      </c>
      <c r="C77" s="275">
        <v>0.73681728558385784</v>
      </c>
      <c r="D77" s="268">
        <v>0.29982125234168644</v>
      </c>
      <c r="E77" s="268">
        <v>0.23066344837918673</v>
      </c>
      <c r="F77" s="268">
        <v>0.26049548288555874</v>
      </c>
      <c r="G77" s="268">
        <v>0.36807015940339216</v>
      </c>
      <c r="H77" s="268">
        <v>4.512621123396432E-2</v>
      </c>
      <c r="I77" s="268">
        <v>7.9289846281260998E-2</v>
      </c>
      <c r="J77" s="268">
        <v>0.15901124093628319</v>
      </c>
      <c r="K77" s="268">
        <v>0.11859360323929748</v>
      </c>
      <c r="L77" s="275">
        <v>2.0225667223491279</v>
      </c>
      <c r="M77" s="275">
        <v>1.2473691876848141</v>
      </c>
      <c r="N77" s="268">
        <v>4.1951538461538464E-2</v>
      </c>
      <c r="O77" s="268">
        <v>0.2218</v>
      </c>
    </row>
    <row r="78" spans="1:15">
      <c r="A78" t="s">
        <v>703</v>
      </c>
      <c r="B78">
        <v>848</v>
      </c>
      <c r="C78" s="275">
        <v>0.56934395329326759</v>
      </c>
      <c r="D78" s="268">
        <v>0.8993586656383028</v>
      </c>
      <c r="E78" s="268">
        <v>0.47350649559179614</v>
      </c>
      <c r="F78" s="268">
        <v>0.19038032111788072</v>
      </c>
      <c r="G78" s="268">
        <v>0.34699150654832983</v>
      </c>
      <c r="H78" s="268">
        <v>2.5668547903926191E-2</v>
      </c>
      <c r="I78" s="268">
        <v>3.8350863330554374E-2</v>
      </c>
      <c r="J78" s="268">
        <v>0.10059817401768661</v>
      </c>
      <c r="K78" s="268">
        <v>6.1881104057669285E-2</v>
      </c>
      <c r="L78" s="275">
        <v>1.9929750091634455</v>
      </c>
      <c r="M78" s="275">
        <v>0.67043884469669845</v>
      </c>
      <c r="N78" s="268">
        <v>5.9139469178082202E-2</v>
      </c>
      <c r="O78" s="268">
        <v>0.14683628318584074</v>
      </c>
    </row>
    <row r="79" spans="1:15">
      <c r="A79" t="s">
        <v>704</v>
      </c>
      <c r="B79">
        <v>229</v>
      </c>
      <c r="C79" s="275">
        <v>0.73118087970157442</v>
      </c>
      <c r="D79" s="268">
        <v>0.45477007779616641</v>
      </c>
      <c r="E79" s="268">
        <v>0.31260615319026791</v>
      </c>
      <c r="F79" s="268">
        <v>0.2362507394734156</v>
      </c>
      <c r="G79" s="268">
        <v>0.3552267090697907</v>
      </c>
      <c r="H79" s="268">
        <v>2.8567902924693193E-2</v>
      </c>
      <c r="I79" s="268">
        <v>5.118357064802706E-2</v>
      </c>
      <c r="J79" s="268">
        <v>0.13487156231069061</v>
      </c>
      <c r="K79" s="268">
        <v>0.10769839632293085</v>
      </c>
      <c r="L79" s="275">
        <v>2.7550396534522013</v>
      </c>
      <c r="M79" s="275">
        <v>0.75307510754445972</v>
      </c>
      <c r="N79" s="268">
        <v>8.9116436170212643E-2</v>
      </c>
      <c r="O79" s="268">
        <v>0.13596761061946902</v>
      </c>
    </row>
    <row r="80" spans="1:15">
      <c r="A80" t="s">
        <v>705</v>
      </c>
      <c r="B80">
        <v>174</v>
      </c>
      <c r="C80" s="275">
        <v>0.52636570009267891</v>
      </c>
      <c r="D80" s="268">
        <v>0.55808631940609665</v>
      </c>
      <c r="E80" s="268">
        <v>0.35818703524643297</v>
      </c>
      <c r="F80" s="268">
        <v>0.26174195567086844</v>
      </c>
      <c r="G80" s="268">
        <v>0.46192411452620913</v>
      </c>
      <c r="H80" s="268">
        <v>2.1733933903966031E-2</v>
      </c>
      <c r="I80" s="268">
        <v>4.3761554827435475E-2</v>
      </c>
      <c r="J80" s="268">
        <v>0.1430420725212519</v>
      </c>
      <c r="K80" s="268">
        <v>0.1105205569349515</v>
      </c>
      <c r="L80" s="275">
        <v>3.4209138155931256</v>
      </c>
      <c r="M80" s="275">
        <v>0.61491213701436154</v>
      </c>
      <c r="N80" s="268">
        <v>6.5913953488372048E-2</v>
      </c>
      <c r="O80" s="268">
        <v>0.14499178082191777</v>
      </c>
    </row>
    <row r="81" spans="1:15">
      <c r="A81" t="s">
        <v>706</v>
      </c>
      <c r="B81">
        <v>118</v>
      </c>
      <c r="C81" s="275">
        <v>1.2230917854844918</v>
      </c>
      <c r="D81" s="268">
        <v>6.1362545796380924E-2</v>
      </c>
      <c r="E81" s="268">
        <v>5.7814877714888892E-2</v>
      </c>
      <c r="F81" s="268">
        <v>0.13545408841139908</v>
      </c>
      <c r="G81" s="268">
        <v>8.6645501747284734E-2</v>
      </c>
      <c r="H81" s="268">
        <v>3.1273327439351933E-2</v>
      </c>
      <c r="I81" s="268">
        <v>4.7734145461388856E-2</v>
      </c>
      <c r="J81" s="268">
        <v>0.14857794464749063</v>
      </c>
      <c r="K81" s="268">
        <v>0.27875031588357813</v>
      </c>
      <c r="L81" s="275">
        <v>6.7545769651354304</v>
      </c>
      <c r="M81" s="275">
        <v>3.188277559174141</v>
      </c>
      <c r="N81" s="268">
        <v>9.4413061224489794E-2</v>
      </c>
      <c r="O81" s="268">
        <v>0.29496666666666654</v>
      </c>
    </row>
    <row r="82" spans="1:15">
      <c r="A82" t="s">
        <v>707</v>
      </c>
      <c r="B82">
        <v>543</v>
      </c>
      <c r="C82" s="275">
        <v>0.79895539991613662</v>
      </c>
      <c r="D82" s="268">
        <v>0.29068615795413238</v>
      </c>
      <c r="E82" s="268">
        <v>0.22521831210687129</v>
      </c>
      <c r="F82" s="268">
        <v>0.20752151046829553</v>
      </c>
      <c r="G82" s="268">
        <v>0.34628368549141697</v>
      </c>
      <c r="H82" s="268">
        <v>3.9810261982397906E-2</v>
      </c>
      <c r="I82" s="268">
        <v>8.2877975573980231E-2</v>
      </c>
      <c r="J82" s="268">
        <v>0.14990535559353524</v>
      </c>
      <c r="K82" s="268">
        <v>0.15981746599232999</v>
      </c>
      <c r="L82" s="275">
        <v>2.4333110218901313</v>
      </c>
      <c r="M82" s="275">
        <v>1.1665242585315148</v>
      </c>
      <c r="N82" s="268">
        <v>4.5866057441253306E-2</v>
      </c>
      <c r="O82" s="268">
        <v>0.14406183673469392</v>
      </c>
    </row>
    <row r="83" spans="1:15">
      <c r="A83" t="s">
        <v>708</v>
      </c>
      <c r="B83">
        <v>93</v>
      </c>
      <c r="C83" s="275">
        <v>0.93134547179304061</v>
      </c>
      <c r="D83" s="268">
        <v>0.40191417259431145</v>
      </c>
      <c r="E83" s="268">
        <v>0.2866895709104284</v>
      </c>
      <c r="F83" s="268">
        <v>0.20063874826124747</v>
      </c>
      <c r="G83" s="268">
        <v>0.20202410576429419</v>
      </c>
      <c r="H83" s="268">
        <v>5.7236306235735536E-2</v>
      </c>
      <c r="I83" s="268">
        <v>9.995660730449149E-2</v>
      </c>
      <c r="J83" s="268">
        <v>0.17785315301120222</v>
      </c>
      <c r="K83" s="268">
        <v>0.14478827745038766</v>
      </c>
      <c r="L83" s="275">
        <v>1.8120859867309487</v>
      </c>
      <c r="M83" s="275">
        <v>0.93845744192336</v>
      </c>
      <c r="N83" s="268">
        <v>6.7498235294117664E-2</v>
      </c>
      <c r="O83" s="268">
        <v>0.16880500000000001</v>
      </c>
    </row>
    <row r="84" spans="1:15">
      <c r="A84" t="s">
        <v>177</v>
      </c>
      <c r="B84">
        <v>559</v>
      </c>
      <c r="C84" s="275">
        <v>1.3390475938251061</v>
      </c>
      <c r="D84" s="268">
        <v>0.1361937912968598</v>
      </c>
      <c r="E84" s="268">
        <v>0.11986845231869048</v>
      </c>
      <c r="F84" s="268">
        <v>9.0384662144846181E-2</v>
      </c>
      <c r="G84" s="268">
        <v>0.29075277328956844</v>
      </c>
      <c r="H84" s="268">
        <v>0.10238013909553459</v>
      </c>
      <c r="I84" s="268">
        <v>0.13920371691297478</v>
      </c>
      <c r="J84" s="268">
        <v>0.14762233324967849</v>
      </c>
      <c r="K84" s="268">
        <v>0.18110352859385986</v>
      </c>
      <c r="L84" s="275">
        <v>1.4302709100463804</v>
      </c>
      <c r="M84" s="275">
        <v>1.8133461474439485</v>
      </c>
      <c r="N84" s="268">
        <v>2.9764129353233845E-2</v>
      </c>
      <c r="O84" s="268">
        <v>0.20754825174825173</v>
      </c>
    </row>
    <row r="85" spans="1:15">
      <c r="A85" t="s">
        <v>178</v>
      </c>
      <c r="B85">
        <v>263</v>
      </c>
      <c r="C85" s="275">
        <v>1.2317828343928205</v>
      </c>
      <c r="D85" s="268">
        <v>0.18752219812575094</v>
      </c>
      <c r="E85" s="268">
        <v>0.15791047815503112</v>
      </c>
      <c r="F85" s="268">
        <v>9.6145326025275354E-2</v>
      </c>
      <c r="G85" s="268">
        <v>1.7091206381622426</v>
      </c>
      <c r="H85" s="268">
        <v>1.3390994801541808E-2</v>
      </c>
      <c r="I85" s="268">
        <v>4.9249148036665892E-2</v>
      </c>
      <c r="J85" s="268">
        <v>1.3176642335804289E-2</v>
      </c>
      <c r="K85" s="268">
        <v>4.5737048332569974E-2</v>
      </c>
      <c r="L85" s="275">
        <v>1.0274739114568592</v>
      </c>
      <c r="M85" s="275">
        <v>2.4078755411211952</v>
      </c>
      <c r="N85" s="268">
        <v>-1.3474146341463495E-3</v>
      </c>
      <c r="O85" s="268">
        <v>0.20028999999999997</v>
      </c>
    </row>
    <row r="86" spans="1:15">
      <c r="A86" t="s">
        <v>709</v>
      </c>
      <c r="B86">
        <v>356</v>
      </c>
      <c r="C86" s="275">
        <v>0.63909429092856185</v>
      </c>
      <c r="D86" s="268">
        <v>0.94619342705120513</v>
      </c>
      <c r="E86" s="268">
        <v>0.48617645805372994</v>
      </c>
      <c r="F86" s="268">
        <v>0.12579059138456461</v>
      </c>
      <c r="G86" s="268">
        <v>1.1005520098616912</v>
      </c>
      <c r="H86" s="268">
        <v>2.2161467900385787E-2</v>
      </c>
      <c r="I86" s="268">
        <v>7.899588591973912E-2</v>
      </c>
      <c r="J86" s="268">
        <v>3.1422348066032176E-2</v>
      </c>
      <c r="K86" s="268">
        <v>4.9816353698181076E-2</v>
      </c>
      <c r="L86" s="275">
        <v>0.72135988267022377</v>
      </c>
      <c r="M86" s="275">
        <v>1.6549417791363661</v>
      </c>
      <c r="N86" s="268">
        <v>3.580071729957808E-2</v>
      </c>
      <c r="O86" s="268">
        <v>0.1651597402597402</v>
      </c>
    </row>
    <row r="87" spans="1:15">
      <c r="A87" t="s">
        <v>179</v>
      </c>
      <c r="B87">
        <v>92</v>
      </c>
      <c r="C87" s="275">
        <v>0.89663492643989895</v>
      </c>
      <c r="D87" s="268">
        <v>0.11172269121090059</v>
      </c>
      <c r="E87" s="268">
        <v>0.10049510736280017</v>
      </c>
      <c r="F87" s="268">
        <v>0.20408108790113755</v>
      </c>
      <c r="G87" s="268">
        <v>0.30990679025834755</v>
      </c>
      <c r="H87" s="268">
        <v>7.5002920126046937E-2</v>
      </c>
      <c r="I87" s="268">
        <v>0.10692686980483831</v>
      </c>
      <c r="J87" s="268">
        <v>0.18981182943204161</v>
      </c>
      <c r="K87" s="268">
        <v>0.20374128078837431</v>
      </c>
      <c r="L87" s="275">
        <v>2.3939956355341678</v>
      </c>
      <c r="M87" s="275">
        <v>1.7122155317648273</v>
      </c>
      <c r="N87" s="268">
        <v>8.2407962962962947E-2</v>
      </c>
      <c r="O87" s="268">
        <v>0.13355652173913046</v>
      </c>
    </row>
    <row r="88" spans="1:15">
      <c r="A88" t="s">
        <v>272</v>
      </c>
      <c r="B88">
        <v>714</v>
      </c>
      <c r="C88" s="275">
        <v>0.78158885405414558</v>
      </c>
      <c r="D88" s="268">
        <v>0.88905388307024191</v>
      </c>
      <c r="E88" s="268">
        <v>0.47063447529896829</v>
      </c>
      <c r="F88" s="268">
        <v>0.12969447962939659</v>
      </c>
      <c r="G88" s="268" t="s">
        <v>189</v>
      </c>
      <c r="H88" s="268">
        <v>-2.1457785554022855E-3</v>
      </c>
      <c r="I88" s="268">
        <v>3.5551586092980279E-2</v>
      </c>
      <c r="J88" s="268">
        <v>-4.8038197228661636E-3</v>
      </c>
      <c r="K88" s="268">
        <v>4.2722714222052406E-2</v>
      </c>
      <c r="L88" s="275">
        <v>1.3807915377893172</v>
      </c>
      <c r="M88" s="275">
        <v>0.80289069141891078</v>
      </c>
      <c r="N88" s="268">
        <v>1.6315756929637524E-2</v>
      </c>
      <c r="O88" s="268">
        <v>0.20353627450980391</v>
      </c>
    </row>
    <row r="89" spans="1:15">
      <c r="A89" t="s">
        <v>710</v>
      </c>
      <c r="B89">
        <v>116</v>
      </c>
      <c r="C89" s="275">
        <v>0.74986193636910603</v>
      </c>
      <c r="D89" s="268">
        <v>0.40714286758219753</v>
      </c>
      <c r="E89" s="268">
        <v>0.28934010679510086</v>
      </c>
      <c r="F89" s="268">
        <v>0.15354469238125118</v>
      </c>
      <c r="G89" s="268">
        <v>0.41946797423413701</v>
      </c>
      <c r="H89" s="268">
        <v>0.13078685586733202</v>
      </c>
      <c r="I89" s="268">
        <v>0.16561524334607378</v>
      </c>
      <c r="J89" s="268">
        <v>0.18118844980842325</v>
      </c>
      <c r="K89" s="268">
        <v>0.13557907935376737</v>
      </c>
      <c r="L89" s="275">
        <v>0.96713776248906114</v>
      </c>
      <c r="M89" s="275">
        <v>2.2882575464045996</v>
      </c>
      <c r="N89" s="268">
        <v>8.8615185185185172E-2</v>
      </c>
      <c r="O89" s="268">
        <v>0.139055737704918</v>
      </c>
    </row>
    <row r="90" spans="1:15">
      <c r="A90" t="s">
        <v>180</v>
      </c>
      <c r="B90">
        <v>525</v>
      </c>
      <c r="C90" s="275">
        <v>1.1292778716691907</v>
      </c>
      <c r="D90" s="268">
        <v>0.15031506012918744</v>
      </c>
      <c r="E90" s="268">
        <v>0.13067294808111626</v>
      </c>
      <c r="F90" s="268">
        <v>9.5583529491374719E-2</v>
      </c>
      <c r="G90" s="268">
        <v>0.75815764869308366</v>
      </c>
      <c r="H90" s="268">
        <v>3.7583660699540736E-2</v>
      </c>
      <c r="I90" s="268">
        <v>9.736817156211712E-2</v>
      </c>
      <c r="J90" s="268">
        <v>5.8747778874970694E-2</v>
      </c>
      <c r="K90" s="268">
        <v>0.1709930002523245</v>
      </c>
      <c r="L90" s="275">
        <v>1.941747949116595</v>
      </c>
      <c r="M90" s="275">
        <v>1.7528596959087006</v>
      </c>
      <c r="N90" s="268">
        <v>4.0858735955056201E-2</v>
      </c>
      <c r="O90" s="268">
        <v>0.16309130434782607</v>
      </c>
    </row>
    <row r="91" spans="1:15">
      <c r="A91" t="s">
        <v>181</v>
      </c>
      <c r="B91">
        <v>317</v>
      </c>
      <c r="C91" s="275">
        <v>0.5674769576555353</v>
      </c>
      <c r="D91" s="268">
        <v>0.66594605689445552</v>
      </c>
      <c r="E91" s="268">
        <v>0.39974046826934317</v>
      </c>
      <c r="F91" s="268">
        <v>0.12920288511615416</v>
      </c>
      <c r="G91" s="268">
        <v>1.0098957238793531</v>
      </c>
      <c r="H91" s="268">
        <v>5.2377297579033387E-2</v>
      </c>
      <c r="I91" s="268">
        <v>0.15087794903107796</v>
      </c>
      <c r="J91" s="268">
        <v>8.8517363459619414E-2</v>
      </c>
      <c r="K91" s="268">
        <v>0.13893689163962752</v>
      </c>
      <c r="L91" s="275">
        <v>1.0574864836565279</v>
      </c>
      <c r="M91" s="275">
        <v>1.8407931180788986</v>
      </c>
      <c r="N91" s="268">
        <v>7.0268284313725532E-2</v>
      </c>
      <c r="O91" s="268">
        <v>9.1368190476190478E-2</v>
      </c>
    </row>
    <row r="92" spans="1:15">
      <c r="A92" t="s">
        <v>183</v>
      </c>
      <c r="B92">
        <v>281</v>
      </c>
      <c r="C92" s="275">
        <v>1.9420427651956961E-2</v>
      </c>
      <c r="D92" s="268">
        <v>37.374316855424127</v>
      </c>
      <c r="E92" s="268">
        <v>0.97394090417902379</v>
      </c>
      <c r="F92" s="268">
        <v>0.18731066499722901</v>
      </c>
      <c r="G92" s="268">
        <v>1.4872878581258823E-2</v>
      </c>
      <c r="H92" s="268">
        <v>1.5079880309658384</v>
      </c>
      <c r="I92" s="268">
        <v>1.3717225462328992E-2</v>
      </c>
      <c r="J92" s="268">
        <v>-0.9244930308811885</v>
      </c>
      <c r="K92" s="268">
        <v>1.8722128369299754E-4</v>
      </c>
      <c r="L92" s="275">
        <v>1.6794395686756027E-2</v>
      </c>
      <c r="M92" s="275">
        <v>60.818589568001883</v>
      </c>
      <c r="N92" s="268">
        <v>9.2998846153846168E-2</v>
      </c>
      <c r="O92" s="268">
        <v>0.10418703703703699</v>
      </c>
    </row>
    <row r="93" spans="1:15">
      <c r="A93" t="s">
        <v>184</v>
      </c>
      <c r="B93">
        <v>53</v>
      </c>
      <c r="C93" s="275">
        <v>0.60724747594236239</v>
      </c>
      <c r="D93" s="268">
        <v>0.17470558101071715</v>
      </c>
      <c r="E93" s="268">
        <v>0.1487228662524957</v>
      </c>
      <c r="F93" s="268">
        <v>0.20515940899151788</v>
      </c>
      <c r="G93" s="268">
        <v>0.63200924138921843</v>
      </c>
      <c r="H93" s="268">
        <v>0.17967309208691418</v>
      </c>
      <c r="I93" s="268">
        <v>0.2882136554200404</v>
      </c>
      <c r="J93" s="268">
        <v>0.53360101412770189</v>
      </c>
      <c r="K93" s="268">
        <v>0.55993377628065166</v>
      </c>
      <c r="L93" s="275">
        <v>2.4442300241732253</v>
      </c>
      <c r="M93" s="275">
        <v>3.5225195988036746</v>
      </c>
      <c r="N93" s="268">
        <v>9.6276764705882339E-2</v>
      </c>
      <c r="O93" s="268">
        <v>0.1077611111111111</v>
      </c>
    </row>
    <row r="94" spans="1:15">
      <c r="A94" t="s">
        <v>711</v>
      </c>
      <c r="B94">
        <v>228</v>
      </c>
      <c r="C94" s="275">
        <v>0.70929312942845202</v>
      </c>
      <c r="D94" s="268">
        <v>0.47229983273930443</v>
      </c>
      <c r="E94" s="268">
        <v>0.32079052258028284</v>
      </c>
      <c r="F94" s="268">
        <v>0.2049112132431824</v>
      </c>
      <c r="G94" s="268">
        <v>0.46543540814312512</v>
      </c>
      <c r="H94" s="268">
        <v>5.1206033184967213E-2</v>
      </c>
      <c r="I94" s="268">
        <v>8.6171879482652536E-2</v>
      </c>
      <c r="J94" s="268">
        <v>0.15637187315992926</v>
      </c>
      <c r="K94" s="268">
        <v>0.11788013402247612</v>
      </c>
      <c r="L94" s="275">
        <v>1.7205188177518538</v>
      </c>
      <c r="M94" s="275">
        <v>1.3609788509576801</v>
      </c>
      <c r="N94" s="268">
        <v>0.1169835031847135</v>
      </c>
      <c r="O94" s="268">
        <v>0.11569032258064516</v>
      </c>
    </row>
    <row r="95" spans="1:15">
      <c r="A95" t="s">
        <v>186</v>
      </c>
      <c r="B95">
        <v>191</v>
      </c>
      <c r="C95" s="275">
        <v>0.5629497716877877</v>
      </c>
      <c r="D95" s="268">
        <v>0.72280201065282035</v>
      </c>
      <c r="E95" s="268">
        <v>0.41955024790047085</v>
      </c>
      <c r="F95" s="268">
        <v>0.23297088369479688</v>
      </c>
      <c r="G95" s="268">
        <v>0.27315838755204191</v>
      </c>
      <c r="H95" s="268">
        <v>2.8927244866771912E-2</v>
      </c>
      <c r="I95" s="268">
        <v>8.1220786915851523E-2</v>
      </c>
      <c r="J95" s="268">
        <v>9.1234096259718067E-2</v>
      </c>
      <c r="K95" s="268">
        <v>9.3945604429926929E-2</v>
      </c>
      <c r="L95" s="275">
        <v>1.5079863904417554</v>
      </c>
      <c r="M95" s="275">
        <v>1.0784580576365268</v>
      </c>
      <c r="N95" s="268">
        <v>1.8670370370370372E-2</v>
      </c>
      <c r="O95" s="268">
        <v>0.1448326923076923</v>
      </c>
    </row>
    <row r="96" spans="1:15">
      <c r="A96" t="s">
        <v>712</v>
      </c>
      <c r="B96">
        <v>55</v>
      </c>
      <c r="C96" s="275">
        <v>0.4295952924341207</v>
      </c>
      <c r="D96" s="268">
        <v>0.95185480507634257</v>
      </c>
      <c r="E96" s="268">
        <v>0.48766680933478185</v>
      </c>
      <c r="F96" s="268">
        <v>0.25180093375997875</v>
      </c>
      <c r="G96" s="268">
        <v>1.0276405314040165</v>
      </c>
      <c r="H96" s="268">
        <v>3.375187697729938E-2</v>
      </c>
      <c r="I96" s="268">
        <v>0.10823126160128486</v>
      </c>
      <c r="J96" s="268">
        <v>7.0093534369763705E-2</v>
      </c>
      <c r="K96" s="268">
        <v>8.6553251448483873E-2</v>
      </c>
      <c r="L96" s="275">
        <v>1.068841983898053</v>
      </c>
      <c r="M96" s="275">
        <v>1.2668847389231768</v>
      </c>
      <c r="N96" s="268">
        <v>4.0461372549019603E-2</v>
      </c>
      <c r="O96" s="268">
        <v>4.9862777777777784E-2</v>
      </c>
    </row>
    <row r="97" spans="1:15">
      <c r="A97" t="s">
        <v>713</v>
      </c>
      <c r="B97">
        <v>97</v>
      </c>
      <c r="C97" s="275">
        <v>0.60908757818521331</v>
      </c>
      <c r="D97" s="268">
        <v>0.52456954875501993</v>
      </c>
      <c r="E97" s="268">
        <v>0.34407715225808433</v>
      </c>
      <c r="F97" s="268">
        <v>0.15087984423491277</v>
      </c>
      <c r="G97" s="268">
        <v>0.46042970503499731</v>
      </c>
      <c r="H97" s="268">
        <v>0.2009764134357476</v>
      </c>
      <c r="I97" s="268">
        <v>0.28180058853989903</v>
      </c>
      <c r="J97" s="268">
        <v>0.14975315230020136</v>
      </c>
      <c r="K97" s="268">
        <v>8.9720232144960721E-2</v>
      </c>
      <c r="L97" s="275">
        <v>0.37495516715284127</v>
      </c>
      <c r="M97" s="275">
        <v>4.4261611036720581</v>
      </c>
      <c r="N97" s="268">
        <v>9.6746323529411773E-2</v>
      </c>
      <c r="O97" s="268">
        <v>0.16970322580645159</v>
      </c>
    </row>
    <row r="98" spans="1:15">
      <c r="A98" s="1" t="s">
        <v>605</v>
      </c>
      <c r="B98" s="173">
        <v>40943</v>
      </c>
      <c r="C98" s="5">
        <v>0.63559108132979381</v>
      </c>
      <c r="D98" s="6">
        <v>0.98955756046437759</v>
      </c>
      <c r="E98" s="6">
        <v>0.49737568800643672</v>
      </c>
      <c r="F98" s="197">
        <v>0.13402898988096504</v>
      </c>
      <c r="G98" s="6">
        <v>0.37494725138081358</v>
      </c>
      <c r="H98" s="197">
        <v>5.7360219643461982E-2</v>
      </c>
      <c r="I98" s="197">
        <v>8.6331279606182462E-2</v>
      </c>
      <c r="J98" s="197">
        <v>0.10486543314268132</v>
      </c>
      <c r="K98" s="197">
        <v>5.1075731078413587E-2</v>
      </c>
      <c r="L98" s="5">
        <v>0.77082719211284889</v>
      </c>
      <c r="M98" s="5">
        <v>1.7597823349023778</v>
      </c>
      <c r="N98" s="197">
        <v>8.9357259482871806E-2</v>
      </c>
      <c r="O98" s="197">
        <v>0.16070197439353071</v>
      </c>
    </row>
  </sheetData>
  <pageMargins left="0.75" right="0.75" top="1" bottom="1" header="0.5" footer="0.5"/>
  <pageSetup orientation="portrait" horizontalDpi="4294967292" verticalDpi="4294967292"/>
  <headerFooter alignWithMargins="0"/>
</worksheet>
</file>

<file path=xl/worksheets/sheet11.xml><?xml version="1.0" encoding="utf-8"?>
<worksheet xmlns="http://schemas.openxmlformats.org/spreadsheetml/2006/main" xmlns:r="http://schemas.openxmlformats.org/officeDocument/2006/relationships">
  <dimension ref="A1:B173"/>
  <sheetViews>
    <sheetView topLeftCell="A131" workbookViewId="0">
      <selection activeCell="B173" sqref="B173"/>
    </sheetView>
  </sheetViews>
  <sheetFormatPr defaultColWidth="11.42578125" defaultRowHeight="12"/>
  <cols>
    <col min="1" max="1" width="18.7109375" bestFit="1" customWidth="1"/>
  </cols>
  <sheetData>
    <row r="1" spans="1:2" ht="15.75">
      <c r="A1" s="174" t="s">
        <v>456</v>
      </c>
      <c r="B1" s="262" t="s">
        <v>606</v>
      </c>
    </row>
    <row r="2" spans="1:2" ht="15.75">
      <c r="A2" s="49" t="s">
        <v>607</v>
      </c>
      <c r="B2" s="264">
        <v>0.19220000000000001</v>
      </c>
    </row>
    <row r="3" spans="1:2" ht="15.75">
      <c r="A3" s="49" t="s">
        <v>347</v>
      </c>
      <c r="B3" s="264">
        <v>0.1</v>
      </c>
    </row>
    <row r="4" spans="1:2" ht="15.75">
      <c r="A4" s="49" t="s">
        <v>608</v>
      </c>
      <c r="B4" s="264">
        <v>0.21210000000000001</v>
      </c>
    </row>
    <row r="5" spans="1:2" ht="15.75">
      <c r="A5" s="49" t="s">
        <v>348</v>
      </c>
      <c r="B5" s="264">
        <v>0.35</v>
      </c>
    </row>
    <row r="6" spans="1:2" ht="15.75">
      <c r="A6" s="265" t="s">
        <v>609</v>
      </c>
      <c r="B6" s="264">
        <v>0.28100000000000003</v>
      </c>
    </row>
    <row r="7" spans="1:2" ht="15.75">
      <c r="A7" s="49" t="s">
        <v>349</v>
      </c>
      <c r="B7" s="264">
        <v>0.35</v>
      </c>
    </row>
    <row r="8" spans="1:2" ht="15.75">
      <c r="A8" s="49" t="s">
        <v>350</v>
      </c>
      <c r="B8" s="264">
        <v>0.2</v>
      </c>
    </row>
    <row r="9" spans="1:2" ht="15.75">
      <c r="A9" s="49" t="s">
        <v>351</v>
      </c>
      <c r="B9" s="264">
        <v>0.28000000000000003</v>
      </c>
    </row>
    <row r="10" spans="1:2" ht="15.75">
      <c r="A10" s="49" t="s">
        <v>352</v>
      </c>
      <c r="B10" s="264">
        <v>0.3</v>
      </c>
    </row>
    <row r="11" spans="1:2" ht="15.75">
      <c r="A11" s="49" t="s">
        <v>353</v>
      </c>
      <c r="B11" s="264">
        <v>0.25</v>
      </c>
    </row>
    <row r="12" spans="1:2" ht="15.75">
      <c r="A12" s="49" t="s">
        <v>466</v>
      </c>
      <c r="B12" s="264">
        <v>0.1638</v>
      </c>
    </row>
    <row r="13" spans="1:2" ht="15.75">
      <c r="A13" s="49" t="s">
        <v>354</v>
      </c>
      <c r="B13" s="264">
        <v>0</v>
      </c>
    </row>
    <row r="14" spans="1:2" ht="15.75">
      <c r="A14" s="49" t="s">
        <v>355</v>
      </c>
      <c r="B14" s="264">
        <v>0</v>
      </c>
    </row>
    <row r="15" spans="1:2" ht="15.75">
      <c r="A15" s="49" t="s">
        <v>356</v>
      </c>
      <c r="B15" s="264">
        <v>0.27500000000000002</v>
      </c>
    </row>
    <row r="16" spans="1:2" ht="15.75">
      <c r="A16" s="49" t="s">
        <v>357</v>
      </c>
      <c r="B16" s="264">
        <v>0.25</v>
      </c>
    </row>
    <row r="17" spans="1:2" ht="15.75">
      <c r="A17" s="49" t="s">
        <v>358</v>
      </c>
      <c r="B17" s="264">
        <v>0.18</v>
      </c>
    </row>
    <row r="18" spans="1:2" ht="15.75">
      <c r="A18" s="49" t="s">
        <v>359</v>
      </c>
      <c r="B18" s="264">
        <v>0.33989999999999998</v>
      </c>
    </row>
    <row r="19" spans="1:2" ht="15.75">
      <c r="A19" s="49" t="s">
        <v>469</v>
      </c>
      <c r="B19" s="264">
        <v>0.26879999999999998</v>
      </c>
    </row>
    <row r="20" spans="1:2" ht="15.75">
      <c r="A20" s="49" t="s">
        <v>610</v>
      </c>
      <c r="B20" s="264">
        <v>0.28100000000000003</v>
      </c>
    </row>
    <row r="21" spans="1:2" ht="15.75">
      <c r="A21" s="49" t="s">
        <v>360</v>
      </c>
      <c r="B21" s="264">
        <v>0</v>
      </c>
    </row>
    <row r="22" spans="1:2" ht="15.75">
      <c r="A22" s="49" t="s">
        <v>361</v>
      </c>
      <c r="B22" s="264">
        <v>0.25</v>
      </c>
    </row>
    <row r="23" spans="1:2" ht="15.75">
      <c r="A23" s="49" t="s">
        <v>362</v>
      </c>
      <c r="B23" s="264">
        <v>0.1</v>
      </c>
    </row>
    <row r="24" spans="1:2" ht="15.75">
      <c r="A24" s="49" t="s">
        <v>363</v>
      </c>
      <c r="B24" s="264">
        <v>0.22</v>
      </c>
    </row>
    <row r="25" spans="1:2" ht="15.75">
      <c r="A25" s="49" t="s">
        <v>364</v>
      </c>
      <c r="B25" s="264">
        <v>0.34</v>
      </c>
    </row>
    <row r="26" spans="1:2" ht="15.75">
      <c r="A26" s="49" t="s">
        <v>611</v>
      </c>
      <c r="B26" s="264">
        <v>0.1492</v>
      </c>
    </row>
    <row r="27" spans="1:2" ht="15.75">
      <c r="A27" s="49" t="s">
        <v>365</v>
      </c>
      <c r="B27" s="264">
        <v>0.1</v>
      </c>
    </row>
    <row r="28" spans="1:2" ht="15.75">
      <c r="A28" s="49" t="s">
        <v>612</v>
      </c>
      <c r="B28" s="264">
        <v>0.28100000000000003</v>
      </c>
    </row>
    <row r="29" spans="1:2" ht="15.75">
      <c r="A29" s="49" t="s">
        <v>366</v>
      </c>
      <c r="B29" s="264">
        <v>0.2</v>
      </c>
    </row>
    <row r="30" spans="1:2" ht="15.75">
      <c r="A30" s="49" t="s">
        <v>613</v>
      </c>
      <c r="B30" s="264">
        <v>0.28100000000000003</v>
      </c>
    </row>
    <row r="31" spans="1:2" ht="15.75">
      <c r="A31" s="49" t="s">
        <v>367</v>
      </c>
      <c r="B31" s="264">
        <v>0.26</v>
      </c>
    </row>
    <row r="32" spans="1:2" ht="15.75">
      <c r="A32" s="49" t="s">
        <v>614</v>
      </c>
      <c r="B32" s="264">
        <v>0.28100000000000003</v>
      </c>
    </row>
    <row r="33" spans="1:2" ht="15.75">
      <c r="A33" s="49" t="s">
        <v>368</v>
      </c>
      <c r="B33" s="264">
        <v>0</v>
      </c>
    </row>
    <row r="34" spans="1:2" ht="15.75">
      <c r="A34" s="49" t="s">
        <v>615</v>
      </c>
      <c r="B34" s="264">
        <v>0</v>
      </c>
    </row>
    <row r="35" spans="1:2" ht="15.75">
      <c r="A35" s="49" t="s">
        <v>369</v>
      </c>
      <c r="B35" s="264">
        <v>0.2</v>
      </c>
    </row>
    <row r="36" spans="1:2" ht="15.75">
      <c r="A36" s="49" t="s">
        <v>370</v>
      </c>
      <c r="B36" s="264">
        <v>0.25</v>
      </c>
    </row>
    <row r="37" spans="1:2" ht="15.75">
      <c r="A37" s="49" t="s">
        <v>371</v>
      </c>
      <c r="B37" s="264">
        <v>0.25</v>
      </c>
    </row>
    <row r="38" spans="1:2" ht="15.75">
      <c r="A38" s="49" t="s">
        <v>616</v>
      </c>
      <c r="B38" s="264">
        <v>0</v>
      </c>
    </row>
    <row r="39" spans="1:2" ht="15.75">
      <c r="A39" s="49" t="s">
        <v>372</v>
      </c>
      <c r="B39" s="264">
        <v>0.3</v>
      </c>
    </row>
    <row r="40" spans="1:2" ht="15.75">
      <c r="A40" s="49" t="s">
        <v>373</v>
      </c>
      <c r="B40" s="264">
        <v>0.2</v>
      </c>
    </row>
    <row r="41" spans="1:2" ht="15.75">
      <c r="A41" s="49" t="s">
        <v>471</v>
      </c>
      <c r="B41" s="264">
        <v>0.1492</v>
      </c>
    </row>
    <row r="42" spans="1:2" ht="15.75">
      <c r="A42" s="49" t="s">
        <v>374</v>
      </c>
      <c r="B42" s="264">
        <v>0.27500000000000002</v>
      </c>
    </row>
    <row r="43" spans="1:2" ht="15.75">
      <c r="A43" s="49" t="s">
        <v>375</v>
      </c>
      <c r="B43" s="264">
        <v>0.125</v>
      </c>
    </row>
    <row r="44" spans="1:2" ht="15.75">
      <c r="A44" s="49" t="s">
        <v>376</v>
      </c>
      <c r="B44" s="264">
        <v>0.19</v>
      </c>
    </row>
    <row r="45" spans="1:2" ht="15.75">
      <c r="A45" s="49" t="s">
        <v>617</v>
      </c>
      <c r="B45" s="264">
        <v>0.28100000000000003</v>
      </c>
    </row>
    <row r="46" spans="1:2" ht="15.75">
      <c r="A46" s="49" t="s">
        <v>377</v>
      </c>
      <c r="B46" s="264">
        <v>0.25</v>
      </c>
    </row>
    <row r="47" spans="1:2" ht="15.75">
      <c r="A47" s="49" t="s">
        <v>378</v>
      </c>
      <c r="B47" s="264">
        <v>0.28999999999999998</v>
      </c>
    </row>
    <row r="48" spans="1:2" ht="15.75">
      <c r="A48" s="49" t="s">
        <v>379</v>
      </c>
      <c r="B48" s="264">
        <v>0.22</v>
      </c>
    </row>
    <row r="49" spans="1:2" ht="15.75">
      <c r="A49" s="49" t="s">
        <v>380</v>
      </c>
      <c r="B49" s="264">
        <v>0.25</v>
      </c>
    </row>
    <row r="50" spans="1:2" ht="15.75">
      <c r="A50" s="49" t="s">
        <v>472</v>
      </c>
      <c r="B50" s="264">
        <v>0.3</v>
      </c>
    </row>
    <row r="51" spans="1:2" ht="15.75">
      <c r="A51" s="49" t="s">
        <v>381</v>
      </c>
      <c r="B51" s="264">
        <v>0.21</v>
      </c>
    </row>
    <row r="52" spans="1:2" ht="15.75">
      <c r="A52" s="49" t="s">
        <v>618</v>
      </c>
      <c r="B52" s="264">
        <v>0.26879999999999998</v>
      </c>
    </row>
    <row r="53" spans="1:2" ht="15.75">
      <c r="A53" s="49" t="s">
        <v>382</v>
      </c>
      <c r="B53" s="264">
        <v>0.2</v>
      </c>
    </row>
    <row r="54" spans="1:2" ht="15.75">
      <c r="A54" s="49" t="s">
        <v>383</v>
      </c>
      <c r="B54" s="264">
        <v>0.245</v>
      </c>
    </row>
    <row r="55" spans="1:2" ht="15.75">
      <c r="A55" s="49" t="s">
        <v>384</v>
      </c>
      <c r="B55" s="264">
        <v>0.33329999999999999</v>
      </c>
    </row>
    <row r="56" spans="1:2" ht="15.75">
      <c r="A56" s="49" t="s">
        <v>619</v>
      </c>
      <c r="B56" s="264">
        <v>0.28100000000000003</v>
      </c>
    </row>
    <row r="57" spans="1:2" ht="15.75">
      <c r="A57" s="49" t="s">
        <v>473</v>
      </c>
      <c r="B57" s="264">
        <v>0.15</v>
      </c>
    </row>
    <row r="58" spans="1:2" ht="15.75">
      <c r="A58" s="49" t="s">
        <v>385</v>
      </c>
      <c r="B58" s="264">
        <v>0.29549999999999998</v>
      </c>
    </row>
    <row r="59" spans="1:2" ht="15.75">
      <c r="A59" s="49" t="s">
        <v>620</v>
      </c>
      <c r="B59" s="264">
        <v>0.21210000000000001</v>
      </c>
    </row>
    <row r="60" spans="1:2" ht="15.75">
      <c r="A60" s="49" t="s">
        <v>386</v>
      </c>
      <c r="B60" s="264">
        <v>0.26</v>
      </c>
    </row>
    <row r="61" spans="1:2" ht="15.75">
      <c r="A61" s="49" t="s">
        <v>621</v>
      </c>
      <c r="B61" s="264">
        <v>0.21210000000000001</v>
      </c>
    </row>
    <row r="62" spans="1:2" ht="15.75">
      <c r="A62" s="49" t="s">
        <v>387</v>
      </c>
      <c r="B62" s="264">
        <v>0.31</v>
      </c>
    </row>
    <row r="63" spans="1:2" ht="15.75">
      <c r="A63" s="49" t="s">
        <v>388</v>
      </c>
      <c r="B63" s="264">
        <v>0.35</v>
      </c>
    </row>
    <row r="64" spans="1:2" ht="15.75">
      <c r="A64" s="49" t="s">
        <v>389</v>
      </c>
      <c r="B64" s="264">
        <v>0.16500000000000001</v>
      </c>
    </row>
    <row r="65" spans="1:2" ht="15.75">
      <c r="A65" s="49" t="s">
        <v>390</v>
      </c>
      <c r="B65" s="264">
        <v>0.19</v>
      </c>
    </row>
    <row r="66" spans="1:2" ht="15.75">
      <c r="A66" s="49" t="s">
        <v>391</v>
      </c>
      <c r="B66" s="264">
        <v>0.2</v>
      </c>
    </row>
    <row r="67" spans="1:2" ht="15.75">
      <c r="A67" s="49" t="s">
        <v>392</v>
      </c>
      <c r="B67" s="264">
        <v>0.33989999999999998</v>
      </c>
    </row>
    <row r="68" spans="1:2" ht="15.75">
      <c r="A68" s="49" t="s">
        <v>393</v>
      </c>
      <c r="B68" s="264">
        <v>0.25</v>
      </c>
    </row>
    <row r="69" spans="1:2" ht="15.75">
      <c r="A69" s="49" t="s">
        <v>394</v>
      </c>
      <c r="B69" s="264">
        <v>0.125</v>
      </c>
    </row>
    <row r="70" spans="1:2" ht="15.75">
      <c r="A70" s="49" t="s">
        <v>395</v>
      </c>
      <c r="B70" s="264">
        <v>0</v>
      </c>
    </row>
    <row r="71" spans="1:2" ht="15.75">
      <c r="A71" s="49" t="s">
        <v>396</v>
      </c>
      <c r="B71" s="264">
        <v>0.25</v>
      </c>
    </row>
    <row r="72" spans="1:2" ht="15.75">
      <c r="A72" s="49" t="s">
        <v>397</v>
      </c>
      <c r="B72" s="264">
        <v>0.314</v>
      </c>
    </row>
    <row r="73" spans="1:2" ht="15.75">
      <c r="A73" s="49" t="s">
        <v>622</v>
      </c>
      <c r="B73" s="264">
        <v>0.28100000000000003</v>
      </c>
    </row>
    <row r="74" spans="1:2" ht="15.75">
      <c r="A74" s="49" t="s">
        <v>398</v>
      </c>
      <c r="B74" s="264">
        <v>0.25</v>
      </c>
    </row>
    <row r="75" spans="1:2" ht="15.75">
      <c r="A75" s="49" t="s">
        <v>399</v>
      </c>
      <c r="B75" s="264">
        <v>0.38009999999999999</v>
      </c>
    </row>
    <row r="76" spans="1:2" ht="15.75">
      <c r="A76" s="49" t="s">
        <v>400</v>
      </c>
      <c r="B76" s="264">
        <v>0.14000000000000001</v>
      </c>
    </row>
    <row r="77" spans="1:2" ht="15.75">
      <c r="A77" s="49" t="s">
        <v>401</v>
      </c>
      <c r="B77" s="264">
        <v>0.2</v>
      </c>
    </row>
    <row r="78" spans="1:2" ht="15.75">
      <c r="A78" s="49" t="s">
        <v>540</v>
      </c>
      <c r="B78" s="264">
        <v>0.3</v>
      </c>
    </row>
    <row r="79" spans="1:2" ht="15.75">
      <c r="A79" s="49" t="s">
        <v>402</v>
      </c>
      <c r="B79" s="264">
        <v>0.15</v>
      </c>
    </row>
    <row r="80" spans="1:2" ht="15.75">
      <c r="A80" s="266" t="s">
        <v>623</v>
      </c>
      <c r="B80" s="264">
        <v>0.1638</v>
      </c>
    </row>
    <row r="81" spans="1:2" ht="15.75">
      <c r="A81" s="49" t="s">
        <v>624</v>
      </c>
      <c r="B81" s="264">
        <v>0.23630000000000001</v>
      </c>
    </row>
    <row r="82" spans="1:2" ht="15.75">
      <c r="A82" s="49" t="s">
        <v>403</v>
      </c>
      <c r="B82" s="264">
        <v>0.15</v>
      </c>
    </row>
    <row r="83" spans="1:2" ht="15.75">
      <c r="A83" s="49" t="s">
        <v>474</v>
      </c>
      <c r="B83" s="264">
        <v>0.19220000000000001</v>
      </c>
    </row>
    <row r="84" spans="1:2" ht="15.75">
      <c r="A84" s="49" t="s">
        <v>404</v>
      </c>
      <c r="B84" s="264">
        <v>0.125</v>
      </c>
    </row>
    <row r="85" spans="1:2" ht="15.75">
      <c r="A85" s="49" t="s">
        <v>405</v>
      </c>
      <c r="B85" s="264">
        <v>0.15</v>
      </c>
    </row>
    <row r="86" spans="1:2" ht="15.75">
      <c r="A86" s="49" t="s">
        <v>406</v>
      </c>
      <c r="B86" s="264">
        <v>0.29220000000000002</v>
      </c>
    </row>
    <row r="87" spans="1:2" ht="15.75">
      <c r="A87" s="49" t="s">
        <v>407</v>
      </c>
      <c r="B87" s="264">
        <v>0.12</v>
      </c>
    </row>
    <row r="88" spans="1:2" ht="15.75">
      <c r="A88" s="49" t="s">
        <v>408</v>
      </c>
      <c r="B88" s="264">
        <v>0.1</v>
      </c>
    </row>
    <row r="89" spans="1:2" ht="15.75">
      <c r="A89" s="49" t="s">
        <v>542</v>
      </c>
      <c r="B89" s="264">
        <v>0.3</v>
      </c>
    </row>
    <row r="90" spans="1:2" ht="15.75">
      <c r="A90" s="49" t="s">
        <v>409</v>
      </c>
      <c r="B90" s="264">
        <v>0.25</v>
      </c>
    </row>
    <row r="91" spans="1:2" ht="15.75">
      <c r="A91" s="49" t="s">
        <v>410</v>
      </c>
      <c r="B91" s="264">
        <v>0.35</v>
      </c>
    </row>
    <row r="92" spans="1:2" ht="15.75">
      <c r="A92" s="49" t="s">
        <v>625</v>
      </c>
      <c r="B92" s="264">
        <v>0</v>
      </c>
    </row>
    <row r="93" spans="1:2" ht="15.75">
      <c r="A93" s="49" t="s">
        <v>411</v>
      </c>
      <c r="B93" s="264">
        <v>0.15</v>
      </c>
    </row>
    <row r="94" spans="1:2" ht="15.75">
      <c r="A94" s="49" t="s">
        <v>412</v>
      </c>
      <c r="B94" s="264">
        <v>0.3</v>
      </c>
    </row>
    <row r="95" spans="1:2" ht="15.75">
      <c r="A95" s="49" t="s">
        <v>475</v>
      </c>
      <c r="B95" s="264">
        <v>0.1638</v>
      </c>
    </row>
    <row r="96" spans="1:2" ht="15.75">
      <c r="A96" s="49" t="s">
        <v>626</v>
      </c>
      <c r="B96" s="264">
        <v>0.21210000000000001</v>
      </c>
    </row>
    <row r="97" spans="1:2" ht="15.75">
      <c r="A97" s="49" t="s">
        <v>476</v>
      </c>
      <c r="B97" s="264">
        <v>0.23630000000000001</v>
      </c>
    </row>
    <row r="98" spans="1:2" ht="15.75">
      <c r="A98" s="49" t="s">
        <v>413</v>
      </c>
      <c r="B98" s="264">
        <v>0.09</v>
      </c>
    </row>
    <row r="99" spans="1:2" ht="15.75">
      <c r="A99" s="49" t="s">
        <v>627</v>
      </c>
      <c r="B99" s="264">
        <v>0.1492</v>
      </c>
    </row>
    <row r="100" spans="1:2" ht="15.75">
      <c r="A100" s="49" t="s">
        <v>477</v>
      </c>
      <c r="B100" s="264">
        <v>0.28100000000000003</v>
      </c>
    </row>
    <row r="101" spans="1:2" ht="15.75">
      <c r="A101" s="49" t="s">
        <v>414</v>
      </c>
      <c r="B101" s="264">
        <v>0.32</v>
      </c>
    </row>
    <row r="102" spans="1:2" ht="15.75">
      <c r="A102" s="49" t="s">
        <v>415</v>
      </c>
      <c r="B102" s="264">
        <v>0.33</v>
      </c>
    </row>
    <row r="103" spans="1:2" ht="15.75">
      <c r="A103" s="49" t="s">
        <v>416</v>
      </c>
      <c r="B103" s="264">
        <v>0.25</v>
      </c>
    </row>
    <row r="104" spans="1:2" ht="15.75">
      <c r="A104" s="49" t="s">
        <v>628</v>
      </c>
      <c r="B104" s="264">
        <v>0.1492</v>
      </c>
    </row>
    <row r="105" spans="1:2" ht="15.75">
      <c r="A105" s="49" t="s">
        <v>417</v>
      </c>
      <c r="B105" s="264">
        <v>0.28000000000000003</v>
      </c>
    </row>
    <row r="106" spans="1:2" ht="15.75">
      <c r="A106" s="49" t="s">
        <v>478</v>
      </c>
      <c r="B106" s="264">
        <v>0.26879999999999998</v>
      </c>
    </row>
    <row r="107" spans="1:2" ht="15.75">
      <c r="A107" s="49" t="s">
        <v>629</v>
      </c>
      <c r="B107" s="264">
        <v>0.28100000000000003</v>
      </c>
    </row>
    <row r="108" spans="1:2" ht="15.75">
      <c r="A108" s="49" t="s">
        <v>418</v>
      </c>
      <c r="B108" s="264">
        <v>0.3</v>
      </c>
    </row>
    <row r="109" spans="1:2" ht="15.75">
      <c r="A109" s="49" t="s">
        <v>419</v>
      </c>
      <c r="B109" s="264">
        <v>0.28000000000000003</v>
      </c>
    </row>
    <row r="110" spans="1:2" ht="15.75">
      <c r="A110" s="49" t="s">
        <v>420</v>
      </c>
      <c r="B110" s="264">
        <v>0.12</v>
      </c>
    </row>
    <row r="111" spans="1:2" ht="15.75">
      <c r="A111" s="49" t="s">
        <v>421</v>
      </c>
      <c r="B111" s="264">
        <v>0.35</v>
      </c>
    </row>
    <row r="112" spans="1:2" ht="15.75">
      <c r="A112" s="49" t="s">
        <v>630</v>
      </c>
      <c r="B112" s="264">
        <v>0.19220000000000001</v>
      </c>
    </row>
    <row r="113" spans="1:2" ht="15.75">
      <c r="A113" s="49" t="s">
        <v>422</v>
      </c>
      <c r="B113" s="264">
        <v>0.25</v>
      </c>
    </row>
    <row r="114" spans="1:2" ht="15.75">
      <c r="A114" s="49" t="s">
        <v>423</v>
      </c>
      <c r="B114" s="264">
        <v>0.3</v>
      </c>
    </row>
    <row r="115" spans="1:2" ht="15.75">
      <c r="A115" s="49" t="s">
        <v>424</v>
      </c>
      <c r="B115" s="264">
        <v>0.1</v>
      </c>
    </row>
    <row r="116" spans="1:2" ht="15.75">
      <c r="A116" s="49" t="s">
        <v>425</v>
      </c>
      <c r="B116" s="264">
        <v>0.3</v>
      </c>
    </row>
    <row r="117" spans="1:2" ht="15.75">
      <c r="A117" s="49" t="s">
        <v>426</v>
      </c>
      <c r="B117" s="264">
        <v>0.3</v>
      </c>
    </row>
    <row r="118" spans="1:2" ht="15.75">
      <c r="A118" s="49" t="s">
        <v>427</v>
      </c>
      <c r="B118" s="264">
        <v>0.19</v>
      </c>
    </row>
    <row r="119" spans="1:2" ht="15.75">
      <c r="A119" s="49" t="s">
        <v>428</v>
      </c>
      <c r="B119" s="264">
        <v>0.25</v>
      </c>
    </row>
    <row r="120" spans="1:2" ht="15.75">
      <c r="A120" s="49" t="s">
        <v>429</v>
      </c>
      <c r="B120" s="264">
        <v>0.1</v>
      </c>
    </row>
    <row r="121" spans="1:2" ht="15.75">
      <c r="A121" s="49" t="s">
        <v>631</v>
      </c>
      <c r="B121" s="264">
        <v>0.19220000000000001</v>
      </c>
    </row>
    <row r="122" spans="1:2" ht="15.75">
      <c r="A122" s="49" t="s">
        <v>632</v>
      </c>
      <c r="B122" s="264">
        <v>0.28100000000000003</v>
      </c>
    </row>
    <row r="123" spans="1:2" ht="15.75">
      <c r="A123" s="49" t="s">
        <v>633</v>
      </c>
      <c r="B123" s="264">
        <v>0.28100000000000003</v>
      </c>
    </row>
    <row r="124" spans="1:2" ht="15.75">
      <c r="A124" s="49" t="s">
        <v>430</v>
      </c>
      <c r="B124" s="264">
        <v>0.16</v>
      </c>
    </row>
    <row r="125" spans="1:2" ht="15.75">
      <c r="A125" s="49" t="s">
        <v>431</v>
      </c>
      <c r="B125" s="264">
        <v>0.2</v>
      </c>
    </row>
    <row r="126" spans="1:2" ht="15.75">
      <c r="A126" s="49" t="s">
        <v>634</v>
      </c>
      <c r="B126" s="264">
        <v>0.28100000000000003</v>
      </c>
    </row>
    <row r="127" spans="1:2" ht="15.75">
      <c r="A127" s="49" t="s">
        <v>432</v>
      </c>
      <c r="B127" s="264">
        <v>0.2</v>
      </c>
    </row>
    <row r="128" spans="1:2" ht="15.75">
      <c r="A128" s="49" t="s">
        <v>479</v>
      </c>
      <c r="B128" s="264">
        <v>0.28100000000000003</v>
      </c>
    </row>
    <row r="129" spans="1:2" ht="15.75">
      <c r="A129" s="49" t="s">
        <v>433</v>
      </c>
      <c r="B129" s="264">
        <v>0.15</v>
      </c>
    </row>
    <row r="130" spans="1:2" ht="15.75">
      <c r="A130" s="49" t="s">
        <v>635</v>
      </c>
      <c r="B130" s="264">
        <v>0.28100000000000003</v>
      </c>
    </row>
    <row r="131" spans="1:2" ht="15.75">
      <c r="A131" s="49" t="s">
        <v>434</v>
      </c>
      <c r="B131" s="264">
        <v>0.17</v>
      </c>
    </row>
    <row r="132" spans="1:2" ht="15.75">
      <c r="A132" s="49" t="s">
        <v>480</v>
      </c>
      <c r="B132" s="264">
        <v>0.23</v>
      </c>
    </row>
    <row r="133" spans="1:2" ht="15.75">
      <c r="A133" s="49" t="s">
        <v>435</v>
      </c>
      <c r="B133" s="264">
        <v>0.17</v>
      </c>
    </row>
    <row r="134" spans="1:2" ht="15.75">
      <c r="A134" s="49" t="s">
        <v>436</v>
      </c>
      <c r="B134" s="264">
        <v>0.28000000000000003</v>
      </c>
    </row>
    <row r="135" spans="1:2" ht="15.75">
      <c r="A135" s="49" t="s">
        <v>636</v>
      </c>
      <c r="B135" s="264">
        <v>0.24199999999999999</v>
      </c>
    </row>
    <row r="136" spans="1:2" ht="15.75">
      <c r="A136" s="49" t="s">
        <v>437</v>
      </c>
      <c r="B136" s="264">
        <v>0.3</v>
      </c>
    </row>
    <row r="137" spans="1:2" ht="15.75">
      <c r="A137" s="49" t="s">
        <v>438</v>
      </c>
      <c r="B137" s="264">
        <v>0.28000000000000003</v>
      </c>
    </row>
    <row r="138" spans="1:2" ht="15.75">
      <c r="A138" s="49" t="s">
        <v>541</v>
      </c>
      <c r="B138" s="264">
        <v>0.1492</v>
      </c>
    </row>
    <row r="139" spans="1:2" ht="15.75">
      <c r="A139" s="49" t="s">
        <v>481</v>
      </c>
      <c r="B139" s="264">
        <v>0.1492</v>
      </c>
    </row>
    <row r="140" spans="1:2" ht="15.75">
      <c r="A140" s="49" t="s">
        <v>439</v>
      </c>
      <c r="B140" s="264">
        <v>0.35</v>
      </c>
    </row>
    <row r="141" spans="1:2" ht="15.75">
      <c r="A141" s="49" t="s">
        <v>482</v>
      </c>
      <c r="B141" s="264">
        <v>0.26879999999999998</v>
      </c>
    </row>
    <row r="142" spans="1:2" ht="15.75">
      <c r="A142" s="49" t="s">
        <v>440</v>
      </c>
      <c r="B142" s="264">
        <v>0.22</v>
      </c>
    </row>
    <row r="143" spans="1:2" ht="15.75">
      <c r="A143" s="49" t="s">
        <v>441</v>
      </c>
      <c r="B143" s="264">
        <v>0.18010000000000001</v>
      </c>
    </row>
    <row r="144" spans="1:2" ht="15.75">
      <c r="A144" s="49" t="s">
        <v>442</v>
      </c>
      <c r="B144" s="264">
        <v>0.17</v>
      </c>
    </row>
    <row r="145" spans="1:2" ht="15.75">
      <c r="A145" s="49" t="s">
        <v>443</v>
      </c>
      <c r="B145" s="264">
        <v>0.3</v>
      </c>
    </row>
    <row r="146" spans="1:2" ht="15.75">
      <c r="A146" s="49" t="s">
        <v>444</v>
      </c>
      <c r="B146" s="264">
        <v>0.2</v>
      </c>
    </row>
    <row r="147" spans="1:2" ht="15.75">
      <c r="A147" s="49" t="s">
        <v>637</v>
      </c>
      <c r="B147" s="264">
        <v>0.28100000000000003</v>
      </c>
    </row>
    <row r="148" spans="1:2" ht="15.75">
      <c r="A148" s="49" t="s">
        <v>638</v>
      </c>
      <c r="B148" s="264">
        <v>0.25</v>
      </c>
    </row>
    <row r="149" spans="1:2" ht="15.75">
      <c r="A149" s="49" t="s">
        <v>445</v>
      </c>
      <c r="B149" s="264">
        <v>0.3</v>
      </c>
    </row>
    <row r="150" spans="1:2" ht="15.75">
      <c r="A150" s="49" t="s">
        <v>446</v>
      </c>
      <c r="B150" s="264">
        <v>0.2</v>
      </c>
    </row>
    <row r="151" spans="1:2" ht="15.75">
      <c r="A151" s="49" t="s">
        <v>639</v>
      </c>
      <c r="B151" s="264">
        <v>0.28100000000000003</v>
      </c>
    </row>
    <row r="152" spans="1:2" ht="15.75">
      <c r="A152" s="49" t="s">
        <v>543</v>
      </c>
      <c r="B152" s="264">
        <v>0.3</v>
      </c>
    </row>
    <row r="153" spans="1:2" ht="15.75">
      <c r="A153" s="49" t="s">
        <v>447</v>
      </c>
      <c r="B153" s="264">
        <v>0.19</v>
      </c>
    </row>
    <row r="154" spans="1:2" ht="15.75">
      <c r="A154" s="49" t="s">
        <v>448</v>
      </c>
      <c r="B154" s="264">
        <v>0.55000000000000004</v>
      </c>
    </row>
    <row r="155" spans="1:2" ht="15.75">
      <c r="A155" s="49" t="s">
        <v>449</v>
      </c>
      <c r="B155" s="264">
        <v>0.23</v>
      </c>
    </row>
    <row r="156" spans="1:2" ht="15.75">
      <c r="A156" s="49" t="s">
        <v>450</v>
      </c>
      <c r="B156" s="264">
        <v>0.4</v>
      </c>
    </row>
    <row r="157" spans="1:2" ht="15.75">
      <c r="A157" s="49" t="s">
        <v>451</v>
      </c>
      <c r="B157" s="264">
        <v>0.25</v>
      </c>
    </row>
    <row r="158" spans="1:2" ht="15.75">
      <c r="A158" s="49" t="s">
        <v>452</v>
      </c>
      <c r="B158" s="264">
        <v>0.34</v>
      </c>
    </row>
    <row r="159" spans="1:2" ht="15.75">
      <c r="A159" s="49" t="s">
        <v>453</v>
      </c>
      <c r="B159" s="264">
        <v>0.25</v>
      </c>
    </row>
    <row r="160" spans="1:2" ht="15.75">
      <c r="A160" s="49" t="s">
        <v>454</v>
      </c>
      <c r="B160" s="264">
        <v>0.35</v>
      </c>
    </row>
    <row r="161" spans="1:2" ht="15.75">
      <c r="A161" s="53" t="s">
        <v>455</v>
      </c>
      <c r="B161" s="264">
        <v>0.25750000000000001</v>
      </c>
    </row>
    <row r="163" spans="1:2" ht="12.75">
      <c r="A163" s="267" t="s">
        <v>460</v>
      </c>
      <c r="B163" s="267" t="s">
        <v>544</v>
      </c>
    </row>
    <row r="164" spans="1:2">
      <c r="A164" t="s">
        <v>463</v>
      </c>
      <c r="B164" s="269">
        <v>0.28097222222222223</v>
      </c>
    </row>
    <row r="165" spans="1:2">
      <c r="A165" t="s">
        <v>539</v>
      </c>
      <c r="B165" s="269">
        <v>0.23628571428571432</v>
      </c>
    </row>
    <row r="166" spans="1:2">
      <c r="A166" t="s">
        <v>465</v>
      </c>
      <c r="B166" s="269">
        <v>0.26</v>
      </c>
    </row>
    <row r="167" spans="1:2">
      <c r="A167" t="s">
        <v>467</v>
      </c>
      <c r="B167" s="269">
        <v>0.14923076923076922</v>
      </c>
    </row>
    <row r="168" spans="1:2">
      <c r="A168" t="s">
        <v>464</v>
      </c>
      <c r="B168" s="269">
        <v>0.26882352941176474</v>
      </c>
    </row>
    <row r="169" spans="1:2">
      <c r="A169" t="s">
        <v>462</v>
      </c>
      <c r="B169" s="269">
        <v>0.16380952380952379</v>
      </c>
    </row>
    <row r="170" spans="1:2">
      <c r="A170" t="s">
        <v>468</v>
      </c>
      <c r="B170" s="269">
        <v>0.19222222222222221</v>
      </c>
    </row>
    <row r="171" spans="1:2">
      <c r="A171" t="s">
        <v>470</v>
      </c>
      <c r="B171" s="269">
        <v>0.33</v>
      </c>
    </row>
    <row r="172" spans="1:2" ht="12.75" thickBot="1">
      <c r="A172" t="s">
        <v>461</v>
      </c>
      <c r="B172" s="269">
        <v>0.21211538461538468</v>
      </c>
    </row>
    <row r="173" spans="1:2" ht="16.5" thickTop="1">
      <c r="A173" s="270" t="s">
        <v>640</v>
      </c>
      <c r="B173" s="271">
        <v>0.22041923076923089</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dimension ref="A1:F151"/>
  <sheetViews>
    <sheetView topLeftCell="A136" workbookViewId="0">
      <selection sqref="A1:F151"/>
    </sheetView>
  </sheetViews>
  <sheetFormatPr defaultColWidth="11.42578125" defaultRowHeight="12"/>
  <cols>
    <col min="1" max="1" width="20.85546875" customWidth="1"/>
    <col min="2" max="2" width="14" customWidth="1"/>
    <col min="3" max="3" width="28.85546875" bestFit="1" customWidth="1"/>
    <col min="4" max="4" width="25.85546875" customWidth="1"/>
    <col min="5" max="5" width="20.28515625" bestFit="1" customWidth="1"/>
    <col min="6" max="6" width="20.85546875" bestFit="1" customWidth="1"/>
  </cols>
  <sheetData>
    <row r="1" spans="1:6" ht="15.75">
      <c r="A1" s="174" t="s">
        <v>456</v>
      </c>
      <c r="B1" s="261" t="s">
        <v>457</v>
      </c>
      <c r="C1" s="174" t="s">
        <v>458</v>
      </c>
      <c r="D1" s="174" t="s">
        <v>538</v>
      </c>
      <c r="E1" s="272" t="s">
        <v>459</v>
      </c>
      <c r="F1" s="273" t="s">
        <v>460</v>
      </c>
    </row>
    <row r="2" spans="1:6" ht="15.75">
      <c r="A2" s="49" t="s">
        <v>607</v>
      </c>
      <c r="B2" s="55" t="s">
        <v>645</v>
      </c>
      <c r="C2" s="263">
        <v>5.0000000000000001E-3</v>
      </c>
      <c r="D2" s="264">
        <v>5.7500000000000002E-2</v>
      </c>
      <c r="E2" s="274">
        <v>7.4999999999999997E-3</v>
      </c>
      <c r="F2" s="1" t="s">
        <v>468</v>
      </c>
    </row>
    <row r="3" spans="1:6" ht="15.75">
      <c r="A3" s="49" t="s">
        <v>347</v>
      </c>
      <c r="B3" s="55" t="s">
        <v>646</v>
      </c>
      <c r="C3" s="263">
        <v>4.4999999999999998E-2</v>
      </c>
      <c r="D3" s="264">
        <v>0.11750000000000001</v>
      </c>
      <c r="E3" s="274">
        <v>6.7500000000000004E-2</v>
      </c>
      <c r="F3" s="1" t="s">
        <v>462</v>
      </c>
    </row>
    <row r="4" spans="1:6" ht="15.75">
      <c r="A4" s="49" t="s">
        <v>608</v>
      </c>
      <c r="B4" s="55" t="s">
        <v>647</v>
      </c>
      <c r="C4" s="263">
        <v>1.2E-2</v>
      </c>
      <c r="D4" s="264">
        <v>6.8000000000000005E-2</v>
      </c>
      <c r="E4" s="274">
        <v>1.8000000000000002E-2</v>
      </c>
      <c r="F4" s="1" t="s">
        <v>461</v>
      </c>
    </row>
    <row r="5" spans="1:6" ht="15.75">
      <c r="A5" s="49" t="s">
        <v>348</v>
      </c>
      <c r="B5" s="55" t="s">
        <v>648</v>
      </c>
      <c r="C5" s="263">
        <v>3.5999999999999997E-2</v>
      </c>
      <c r="D5" s="264">
        <v>0.104</v>
      </c>
      <c r="E5" s="274">
        <v>5.3999999999999992E-2</v>
      </c>
      <c r="F5" s="1" t="s">
        <v>463</v>
      </c>
    </row>
    <row r="6" spans="1:6" ht="15.75">
      <c r="A6" s="49" t="s">
        <v>349</v>
      </c>
      <c r="B6" s="55" t="s">
        <v>649</v>
      </c>
      <c r="C6" s="263">
        <v>6.5000000000000002E-2</v>
      </c>
      <c r="D6" s="264">
        <v>0.14750000000000002</v>
      </c>
      <c r="E6" s="274">
        <v>9.7500000000000003E-2</v>
      </c>
      <c r="F6" s="1" t="s">
        <v>464</v>
      </c>
    </row>
    <row r="7" spans="1:6" ht="15.75">
      <c r="A7" s="49" t="s">
        <v>350</v>
      </c>
      <c r="B7" s="55" t="s">
        <v>650</v>
      </c>
      <c r="C7" s="263">
        <v>0.03</v>
      </c>
      <c r="D7" s="264">
        <v>9.5000000000000001E-2</v>
      </c>
      <c r="E7" s="274">
        <v>4.4999999999999998E-2</v>
      </c>
      <c r="F7" s="1" t="s">
        <v>462</v>
      </c>
    </row>
    <row r="8" spans="1:6" ht="15.75">
      <c r="A8" s="49" t="s">
        <v>351</v>
      </c>
      <c r="B8" s="55" t="s">
        <v>651</v>
      </c>
      <c r="C8" s="263">
        <v>1.6E-2</v>
      </c>
      <c r="D8" s="264">
        <v>7.400000000000001E-2</v>
      </c>
      <c r="E8" s="274">
        <v>2.4E-2</v>
      </c>
      <c r="F8" s="1" t="s">
        <v>467</v>
      </c>
    </row>
    <row r="9" spans="1:6" ht="15.75">
      <c r="A9" s="49" t="s">
        <v>352</v>
      </c>
      <c r="B9" s="55" t="s">
        <v>652</v>
      </c>
      <c r="C9" s="263">
        <v>0</v>
      </c>
      <c r="D9" s="264">
        <v>0.05</v>
      </c>
      <c r="E9" s="274">
        <v>0</v>
      </c>
      <c r="F9" s="1" t="s">
        <v>465</v>
      </c>
    </row>
    <row r="10" spans="1:6" ht="15.75">
      <c r="A10" s="49" t="s">
        <v>353</v>
      </c>
      <c r="B10" s="55" t="s">
        <v>652</v>
      </c>
      <c r="C10" s="263">
        <v>0</v>
      </c>
      <c r="D10" s="264">
        <v>0.05</v>
      </c>
      <c r="E10" s="274">
        <v>0</v>
      </c>
      <c r="F10" s="1" t="s">
        <v>461</v>
      </c>
    </row>
    <row r="11" spans="1:6" ht="15.75">
      <c r="A11" s="49" t="s">
        <v>466</v>
      </c>
      <c r="B11" s="55" t="s">
        <v>653</v>
      </c>
      <c r="C11" s="263">
        <v>2.1999999999999999E-2</v>
      </c>
      <c r="D11" s="264">
        <v>8.3000000000000004E-2</v>
      </c>
      <c r="E11" s="274">
        <v>3.3000000000000002E-2</v>
      </c>
      <c r="F11" s="1" t="s">
        <v>462</v>
      </c>
    </row>
    <row r="12" spans="1:6" ht="15.75">
      <c r="A12" s="49" t="s">
        <v>354</v>
      </c>
      <c r="B12" s="55" t="s">
        <v>651</v>
      </c>
      <c r="C12" s="263">
        <v>1.6E-2</v>
      </c>
      <c r="D12" s="264">
        <v>7.400000000000001E-2</v>
      </c>
      <c r="E12" s="274">
        <v>2.4E-2</v>
      </c>
      <c r="F12" s="1" t="s">
        <v>467</v>
      </c>
    </row>
    <row r="13" spans="1:6" ht="15.75">
      <c r="A13" s="49" t="s">
        <v>355</v>
      </c>
      <c r="B13" s="55" t="s">
        <v>654</v>
      </c>
      <c r="C13" s="263">
        <v>1.9E-2</v>
      </c>
      <c r="D13" s="264">
        <v>7.85E-2</v>
      </c>
      <c r="E13" s="274">
        <v>2.8499999999999998E-2</v>
      </c>
      <c r="F13" s="1" t="s">
        <v>468</v>
      </c>
    </row>
    <row r="14" spans="1:6" ht="15.75">
      <c r="A14" s="49" t="s">
        <v>356</v>
      </c>
      <c r="B14" s="55" t="s">
        <v>648</v>
      </c>
      <c r="C14" s="263">
        <v>3.5999999999999997E-2</v>
      </c>
      <c r="D14" s="264">
        <v>0.104</v>
      </c>
      <c r="E14" s="274">
        <v>5.3999999999999992E-2</v>
      </c>
      <c r="F14" s="1" t="s">
        <v>539</v>
      </c>
    </row>
    <row r="15" spans="1:6" ht="15.75">
      <c r="A15" s="49" t="s">
        <v>357</v>
      </c>
      <c r="B15" s="55" t="s">
        <v>655</v>
      </c>
      <c r="C15" s="263">
        <v>2.5000000000000001E-2</v>
      </c>
      <c r="D15" s="264">
        <v>8.7500000000000008E-2</v>
      </c>
      <c r="E15" s="274">
        <v>3.7500000000000006E-2</v>
      </c>
      <c r="F15" s="1" t="s">
        <v>467</v>
      </c>
    </row>
    <row r="16" spans="1:6" ht="15.75">
      <c r="A16" s="49" t="s">
        <v>358</v>
      </c>
      <c r="B16" s="55" t="s">
        <v>649</v>
      </c>
      <c r="C16" s="263">
        <v>6.5000000000000002E-2</v>
      </c>
      <c r="D16" s="264">
        <v>0.14750000000000002</v>
      </c>
      <c r="E16" s="274">
        <v>9.7500000000000003E-2</v>
      </c>
      <c r="F16" s="1" t="s">
        <v>462</v>
      </c>
    </row>
    <row r="17" spans="1:6" ht="15.75">
      <c r="A17" s="49" t="s">
        <v>359</v>
      </c>
      <c r="B17" s="55" t="s">
        <v>656</v>
      </c>
      <c r="C17" s="263">
        <v>6.0000000000000001E-3</v>
      </c>
      <c r="D17" s="264">
        <v>5.9000000000000004E-2</v>
      </c>
      <c r="E17" s="274">
        <v>9.0000000000000011E-3</v>
      </c>
      <c r="F17" s="1" t="s">
        <v>461</v>
      </c>
    </row>
    <row r="18" spans="1:6" ht="15.75">
      <c r="A18" s="49" t="s">
        <v>469</v>
      </c>
      <c r="B18" s="55" t="s">
        <v>657</v>
      </c>
      <c r="C18" s="263">
        <v>0.09</v>
      </c>
      <c r="D18" s="264">
        <v>0.185</v>
      </c>
      <c r="E18" s="274">
        <v>0.13500000000000001</v>
      </c>
      <c r="F18" s="1" t="s">
        <v>464</v>
      </c>
    </row>
    <row r="19" spans="1:6" ht="15.75">
      <c r="A19" s="49" t="s">
        <v>610</v>
      </c>
      <c r="B19" s="55" t="s">
        <v>658</v>
      </c>
      <c r="C19" s="263">
        <v>5.5E-2</v>
      </c>
      <c r="D19" s="264">
        <v>0.13250000000000001</v>
      </c>
      <c r="E19" s="274">
        <v>8.2500000000000004E-2</v>
      </c>
      <c r="F19" s="1" t="s">
        <v>463</v>
      </c>
    </row>
    <row r="20" spans="1:6" ht="15.75">
      <c r="A20" s="49" t="s">
        <v>360</v>
      </c>
      <c r="B20" s="55" t="s">
        <v>656</v>
      </c>
      <c r="C20" s="263">
        <v>6.0000000000000001E-3</v>
      </c>
      <c r="D20" s="264">
        <v>5.9000000000000004E-2</v>
      </c>
      <c r="E20" s="274">
        <v>9.0000000000000011E-3</v>
      </c>
      <c r="F20" s="1" t="s">
        <v>467</v>
      </c>
    </row>
    <row r="21" spans="1:6" ht="15.75">
      <c r="A21" s="49" t="s">
        <v>361</v>
      </c>
      <c r="B21" s="55" t="s">
        <v>648</v>
      </c>
      <c r="C21" s="263">
        <v>3.5999999999999997E-2</v>
      </c>
      <c r="D21" s="264">
        <v>0.104</v>
      </c>
      <c r="E21" s="274">
        <v>5.3999999999999992E-2</v>
      </c>
      <c r="F21" s="1" t="s">
        <v>464</v>
      </c>
    </row>
    <row r="22" spans="1:6" ht="15.75">
      <c r="A22" s="49" t="s">
        <v>362</v>
      </c>
      <c r="B22" s="55" t="s">
        <v>649</v>
      </c>
      <c r="C22" s="263">
        <v>6.5000000000000002E-2</v>
      </c>
      <c r="D22" s="264">
        <v>0.14750000000000002</v>
      </c>
      <c r="E22" s="274">
        <v>9.7500000000000003E-2</v>
      </c>
      <c r="F22" s="1" t="s">
        <v>462</v>
      </c>
    </row>
    <row r="23" spans="1:6" ht="15.75">
      <c r="A23" s="49" t="s">
        <v>363</v>
      </c>
      <c r="B23" s="55" t="s">
        <v>659</v>
      </c>
      <c r="C23" s="263">
        <v>8.5000000000000006E-3</v>
      </c>
      <c r="D23" s="264">
        <v>6.275E-2</v>
      </c>
      <c r="E23" s="274">
        <v>1.2750000000000001E-2</v>
      </c>
      <c r="F23" s="1" t="s">
        <v>463</v>
      </c>
    </row>
    <row r="24" spans="1:6" ht="15.75">
      <c r="A24" s="49" t="s">
        <v>364</v>
      </c>
      <c r="B24" s="55" t="s">
        <v>654</v>
      </c>
      <c r="C24" s="263">
        <v>1.9E-2</v>
      </c>
      <c r="D24" s="264">
        <v>7.85E-2</v>
      </c>
      <c r="E24" s="274">
        <v>2.8499999999999998E-2</v>
      </c>
      <c r="F24" s="1" t="s">
        <v>464</v>
      </c>
    </row>
    <row r="25" spans="1:6" ht="15.75">
      <c r="A25" s="49" t="s">
        <v>365</v>
      </c>
      <c r="B25" s="55" t="s">
        <v>654</v>
      </c>
      <c r="C25" s="263">
        <v>1.9E-2</v>
      </c>
      <c r="D25" s="264">
        <v>7.85E-2</v>
      </c>
      <c r="E25" s="274">
        <v>2.8499999999999998E-2</v>
      </c>
      <c r="F25" s="1" t="s">
        <v>462</v>
      </c>
    </row>
    <row r="26" spans="1:6" ht="15.75">
      <c r="A26" s="49" t="s">
        <v>612</v>
      </c>
      <c r="B26" s="55" t="s">
        <v>658</v>
      </c>
      <c r="C26" s="263">
        <v>5.5E-2</v>
      </c>
      <c r="D26" s="264">
        <v>0.13250000000000001</v>
      </c>
      <c r="E26" s="274">
        <v>8.2500000000000004E-2</v>
      </c>
      <c r="F26" s="1" t="s">
        <v>463</v>
      </c>
    </row>
    <row r="27" spans="1:6" ht="15.75">
      <c r="A27" s="49" t="s">
        <v>366</v>
      </c>
      <c r="B27" s="55" t="s">
        <v>658</v>
      </c>
      <c r="C27" s="263">
        <v>5.5E-2</v>
      </c>
      <c r="D27" s="264">
        <v>0.13250000000000001</v>
      </c>
      <c r="E27" s="274">
        <v>8.2500000000000004E-2</v>
      </c>
      <c r="F27" s="1" t="s">
        <v>539</v>
      </c>
    </row>
    <row r="28" spans="1:6" ht="15.75">
      <c r="A28" s="49" t="s">
        <v>613</v>
      </c>
      <c r="B28" s="55" t="s">
        <v>658</v>
      </c>
      <c r="C28" s="263">
        <v>5.5E-2</v>
      </c>
      <c r="D28" s="264">
        <v>0.13250000000000001</v>
      </c>
      <c r="E28" s="274">
        <v>8.2500000000000004E-2</v>
      </c>
      <c r="F28" s="1" t="s">
        <v>463</v>
      </c>
    </row>
    <row r="29" spans="1:6" ht="15.75">
      <c r="A29" s="49" t="s">
        <v>367</v>
      </c>
      <c r="B29" s="55" t="s">
        <v>652</v>
      </c>
      <c r="C29" s="263">
        <v>0</v>
      </c>
      <c r="D29" s="264">
        <v>0.05</v>
      </c>
      <c r="E29" s="274">
        <v>0</v>
      </c>
      <c r="F29" s="1" t="s">
        <v>470</v>
      </c>
    </row>
    <row r="30" spans="1:6" ht="15.75">
      <c r="A30" s="49" t="s">
        <v>614</v>
      </c>
      <c r="B30" s="55" t="s">
        <v>658</v>
      </c>
      <c r="C30" s="263">
        <v>5.5E-2</v>
      </c>
      <c r="D30" s="264">
        <v>0.13250000000000001</v>
      </c>
      <c r="E30" s="274">
        <v>8.2500000000000004E-2</v>
      </c>
      <c r="F30" s="1" t="s">
        <v>463</v>
      </c>
    </row>
    <row r="31" spans="1:6" ht="15.75">
      <c r="A31" s="49" t="s">
        <v>368</v>
      </c>
      <c r="B31" s="55" t="s">
        <v>656</v>
      </c>
      <c r="C31" s="263">
        <v>6.0000000000000001E-3</v>
      </c>
      <c r="D31" s="264">
        <v>5.9000000000000004E-2</v>
      </c>
      <c r="E31" s="274">
        <v>9.0000000000000011E-3</v>
      </c>
      <c r="F31" s="1" t="s">
        <v>467</v>
      </c>
    </row>
    <row r="32" spans="1:6" ht="15.75">
      <c r="A32" s="49" t="s">
        <v>369</v>
      </c>
      <c r="B32" s="55" t="s">
        <v>656</v>
      </c>
      <c r="C32" s="263">
        <v>6.0000000000000001E-3</v>
      </c>
      <c r="D32" s="264">
        <v>5.9000000000000004E-2</v>
      </c>
      <c r="E32" s="274">
        <v>9.0000000000000011E-3</v>
      </c>
      <c r="F32" s="1" t="s">
        <v>464</v>
      </c>
    </row>
    <row r="33" spans="1:6" ht="15.75">
      <c r="A33" s="49" t="s">
        <v>370</v>
      </c>
      <c r="B33" s="55" t="s">
        <v>656</v>
      </c>
      <c r="C33" s="263">
        <v>6.0000000000000001E-3</v>
      </c>
      <c r="D33" s="264">
        <v>5.9000000000000004E-2</v>
      </c>
      <c r="E33" s="274">
        <v>9.0000000000000011E-3</v>
      </c>
      <c r="F33" s="1" t="s">
        <v>539</v>
      </c>
    </row>
    <row r="34" spans="1:6" ht="15.75">
      <c r="A34" s="49" t="s">
        <v>371</v>
      </c>
      <c r="B34" s="55" t="s">
        <v>653</v>
      </c>
      <c r="C34" s="263">
        <v>2.1999999999999999E-2</v>
      </c>
      <c r="D34" s="264">
        <v>8.3000000000000004E-2</v>
      </c>
      <c r="E34" s="274">
        <v>3.3000000000000002E-2</v>
      </c>
      <c r="F34" s="1" t="s">
        <v>464</v>
      </c>
    </row>
    <row r="35" spans="1:6" ht="15.75">
      <c r="A35" s="49" t="s">
        <v>616</v>
      </c>
      <c r="B35" s="55" t="s">
        <v>646</v>
      </c>
      <c r="C35" s="263">
        <v>4.4999999999999998E-2</v>
      </c>
      <c r="D35" s="264">
        <v>0.11750000000000001</v>
      </c>
      <c r="E35" s="274">
        <v>6.7500000000000004E-2</v>
      </c>
      <c r="F35" s="1" t="s">
        <v>465</v>
      </c>
    </row>
    <row r="36" spans="1:6" ht="15.75">
      <c r="A36" s="49" t="s">
        <v>372</v>
      </c>
      <c r="B36" s="55" t="s">
        <v>653</v>
      </c>
      <c r="C36" s="263">
        <v>2.1999999999999999E-2</v>
      </c>
      <c r="D36" s="264">
        <v>8.3000000000000004E-2</v>
      </c>
      <c r="E36" s="274">
        <v>3.3000000000000002E-2</v>
      </c>
      <c r="F36" s="1" t="s">
        <v>464</v>
      </c>
    </row>
    <row r="37" spans="1:6" ht="15.75">
      <c r="A37" s="49" t="s">
        <v>373</v>
      </c>
      <c r="B37" s="55" t="s">
        <v>655</v>
      </c>
      <c r="C37" s="263">
        <v>2.5000000000000001E-2</v>
      </c>
      <c r="D37" s="264">
        <v>8.7500000000000008E-2</v>
      </c>
      <c r="E37" s="274">
        <v>3.7500000000000006E-2</v>
      </c>
      <c r="F37" s="1" t="s">
        <v>462</v>
      </c>
    </row>
    <row r="38" spans="1:6" ht="15.75">
      <c r="A38" s="49" t="s">
        <v>471</v>
      </c>
      <c r="B38" s="55" t="s">
        <v>660</v>
      </c>
      <c r="C38" s="263">
        <v>7.4999999999999997E-2</v>
      </c>
      <c r="D38" s="264">
        <v>0.16249999999999998</v>
      </c>
      <c r="E38" s="274">
        <v>0.11249999999999999</v>
      </c>
      <c r="F38" s="1" t="s">
        <v>467</v>
      </c>
    </row>
    <row r="39" spans="1:6" ht="15.75">
      <c r="A39" s="49" t="s">
        <v>374</v>
      </c>
      <c r="B39" s="55" t="s">
        <v>646</v>
      </c>
      <c r="C39" s="263">
        <v>4.4999999999999998E-2</v>
      </c>
      <c r="D39" s="264">
        <v>0.11750000000000001</v>
      </c>
      <c r="E39" s="274">
        <v>6.7500000000000004E-2</v>
      </c>
      <c r="F39" s="1" t="s">
        <v>467</v>
      </c>
    </row>
    <row r="40" spans="1:6" ht="15.75">
      <c r="A40" s="49" t="s">
        <v>375</v>
      </c>
      <c r="B40" s="55" t="s">
        <v>661</v>
      </c>
      <c r="C40" s="263">
        <v>0.1</v>
      </c>
      <c r="D40" s="264">
        <v>0.2</v>
      </c>
      <c r="E40" s="274">
        <v>0.15000000000000002</v>
      </c>
      <c r="F40" s="1" t="s">
        <v>461</v>
      </c>
    </row>
    <row r="41" spans="1:6" ht="15.75">
      <c r="A41" s="49" t="s">
        <v>376</v>
      </c>
      <c r="B41" s="55" t="s">
        <v>662</v>
      </c>
      <c r="C41" s="263">
        <v>7.0000000000000001E-3</v>
      </c>
      <c r="D41" s="264">
        <v>6.0500000000000005E-2</v>
      </c>
      <c r="E41" s="274">
        <v>1.0500000000000001E-2</v>
      </c>
      <c r="F41" s="1" t="s">
        <v>462</v>
      </c>
    </row>
    <row r="42" spans="1:6" ht="15.75">
      <c r="A42" s="49" t="s">
        <v>617</v>
      </c>
      <c r="B42" s="55" t="s">
        <v>649</v>
      </c>
      <c r="C42" s="263">
        <v>6.5000000000000002E-2</v>
      </c>
      <c r="D42" s="264">
        <v>0.14750000000000002</v>
      </c>
      <c r="E42" s="274">
        <v>9.7500000000000003E-2</v>
      </c>
      <c r="F42" s="1" t="s">
        <v>463</v>
      </c>
    </row>
    <row r="43" spans="1:6" ht="15.75">
      <c r="A43" s="49" t="s">
        <v>377</v>
      </c>
      <c r="B43" s="55" t="s">
        <v>652</v>
      </c>
      <c r="C43" s="263">
        <v>0</v>
      </c>
      <c r="D43" s="264">
        <v>0.05</v>
      </c>
      <c r="E43" s="274">
        <v>0</v>
      </c>
      <c r="F43" s="1" t="s">
        <v>461</v>
      </c>
    </row>
    <row r="44" spans="1:6" ht="15.75">
      <c r="A44" s="49" t="s">
        <v>378</v>
      </c>
      <c r="B44" s="55" t="s">
        <v>646</v>
      </c>
      <c r="C44" s="263">
        <v>4.4999999999999998E-2</v>
      </c>
      <c r="D44" s="264">
        <v>0.11750000000000001</v>
      </c>
      <c r="E44" s="274">
        <v>6.7500000000000004E-2</v>
      </c>
      <c r="F44" s="1" t="s">
        <v>467</v>
      </c>
    </row>
    <row r="45" spans="1:6" ht="15.75">
      <c r="A45" s="49" t="s">
        <v>379</v>
      </c>
      <c r="B45" s="55" t="s">
        <v>660</v>
      </c>
      <c r="C45" s="263">
        <v>7.4999999999999997E-2</v>
      </c>
      <c r="D45" s="264">
        <v>0.16249999999999998</v>
      </c>
      <c r="E45" s="274">
        <v>0.11249999999999999</v>
      </c>
      <c r="F45" s="1" t="s">
        <v>464</v>
      </c>
    </row>
    <row r="46" spans="1:6" ht="15.75">
      <c r="A46" s="49" t="s">
        <v>380</v>
      </c>
      <c r="B46" s="55" t="s">
        <v>660</v>
      </c>
      <c r="C46" s="263">
        <v>7.4999999999999997E-2</v>
      </c>
      <c r="D46" s="264">
        <v>0.16249999999999998</v>
      </c>
      <c r="E46" s="274">
        <v>0.11249999999999999</v>
      </c>
      <c r="F46" s="1" t="s">
        <v>463</v>
      </c>
    </row>
    <row r="47" spans="1:6" ht="15.75">
      <c r="A47" s="49" t="s">
        <v>472</v>
      </c>
      <c r="B47" s="55" t="s">
        <v>648</v>
      </c>
      <c r="C47" s="263">
        <v>3.5999999999999997E-2</v>
      </c>
      <c r="D47" s="264">
        <v>0.104</v>
      </c>
      <c r="E47" s="274">
        <v>5.3999999999999992E-2</v>
      </c>
      <c r="F47" s="1" t="s">
        <v>464</v>
      </c>
    </row>
    <row r="48" spans="1:6" ht="15.75">
      <c r="A48" s="49" t="s">
        <v>381</v>
      </c>
      <c r="B48" s="55" t="s">
        <v>662</v>
      </c>
      <c r="C48" s="263">
        <v>7.0000000000000001E-3</v>
      </c>
      <c r="D48" s="264">
        <v>6.0500000000000005E-2</v>
      </c>
      <c r="E48" s="274">
        <v>1.0500000000000001E-2</v>
      </c>
      <c r="F48" s="1" t="s">
        <v>462</v>
      </c>
    </row>
    <row r="49" spans="1:6" ht="15.75">
      <c r="A49" s="49" t="s">
        <v>382</v>
      </c>
      <c r="B49" s="55" t="s">
        <v>646</v>
      </c>
      <c r="C49" s="263">
        <v>4.4999999999999998E-2</v>
      </c>
      <c r="D49" s="264">
        <v>0.11750000000000001</v>
      </c>
      <c r="E49" s="274">
        <v>6.7500000000000004E-2</v>
      </c>
      <c r="F49" s="1" t="s">
        <v>539</v>
      </c>
    </row>
    <row r="50" spans="1:6" ht="15.75">
      <c r="A50" s="49" t="s">
        <v>383</v>
      </c>
      <c r="B50" s="55" t="s">
        <v>652</v>
      </c>
      <c r="C50" s="263">
        <v>0</v>
      </c>
      <c r="D50" s="264">
        <v>0.05</v>
      </c>
      <c r="E50" s="274">
        <v>0</v>
      </c>
      <c r="F50" s="1" t="s">
        <v>461</v>
      </c>
    </row>
    <row r="51" spans="1:6" ht="15.75">
      <c r="A51" s="49" t="s">
        <v>384</v>
      </c>
      <c r="B51" s="55" t="s">
        <v>663</v>
      </c>
      <c r="C51" s="263">
        <v>4.0000000000000001E-3</v>
      </c>
      <c r="D51" s="264">
        <v>5.6000000000000001E-2</v>
      </c>
      <c r="E51" s="274">
        <v>6.0000000000000001E-3</v>
      </c>
      <c r="F51" s="1" t="s">
        <v>461</v>
      </c>
    </row>
    <row r="52" spans="1:6" ht="15.75">
      <c r="A52" s="49" t="s">
        <v>619</v>
      </c>
      <c r="B52" s="55" t="s">
        <v>648</v>
      </c>
      <c r="C52" s="263">
        <v>3.5999999999999997E-2</v>
      </c>
      <c r="D52" s="264">
        <v>0.104</v>
      </c>
      <c r="E52" s="274">
        <v>5.3999999999999992E-2</v>
      </c>
      <c r="F52" s="1" t="s">
        <v>463</v>
      </c>
    </row>
    <row r="53" spans="1:6" ht="15.75">
      <c r="A53" s="49" t="s">
        <v>473</v>
      </c>
      <c r="B53" s="55" t="s">
        <v>648</v>
      </c>
      <c r="C53" s="263">
        <v>3.5999999999999997E-2</v>
      </c>
      <c r="D53" s="264">
        <v>0.104</v>
      </c>
      <c r="E53" s="274">
        <v>5.3999999999999992E-2</v>
      </c>
      <c r="F53" s="1" t="s">
        <v>462</v>
      </c>
    </row>
    <row r="54" spans="1:6" ht="15.75">
      <c r="A54" s="49" t="s">
        <v>385</v>
      </c>
      <c r="B54" s="55" t="s">
        <v>652</v>
      </c>
      <c r="C54" s="263">
        <v>0</v>
      </c>
      <c r="D54" s="264">
        <v>0.05</v>
      </c>
      <c r="E54" s="274">
        <v>0</v>
      </c>
      <c r="F54" s="1" t="s">
        <v>461</v>
      </c>
    </row>
    <row r="55" spans="1:6" ht="15.75">
      <c r="A55" s="49" t="s">
        <v>620</v>
      </c>
      <c r="B55" s="55" t="s">
        <v>646</v>
      </c>
      <c r="C55" s="263">
        <v>4.4999999999999998E-2</v>
      </c>
      <c r="D55" s="264">
        <v>0.11750000000000001</v>
      </c>
      <c r="E55" s="274">
        <v>6.7500000000000004E-2</v>
      </c>
      <c r="F55" s="1" t="s">
        <v>463</v>
      </c>
    </row>
    <row r="56" spans="1:6" ht="15.75">
      <c r="A56" s="49" t="s">
        <v>386</v>
      </c>
      <c r="B56" s="55" t="s">
        <v>661</v>
      </c>
      <c r="C56" s="263">
        <v>0.1</v>
      </c>
      <c r="D56" s="264">
        <v>0.2</v>
      </c>
      <c r="E56" s="274">
        <v>0.15000000000000002</v>
      </c>
      <c r="F56" s="1" t="s">
        <v>461</v>
      </c>
    </row>
    <row r="57" spans="1:6" ht="15.75">
      <c r="A57" s="49" t="s">
        <v>387</v>
      </c>
      <c r="B57" s="55" t="s">
        <v>655</v>
      </c>
      <c r="C57" s="263">
        <v>2.5000000000000001E-2</v>
      </c>
      <c r="D57" s="264">
        <v>8.7500000000000008E-2</v>
      </c>
      <c r="E57" s="274">
        <v>3.7500000000000006E-2</v>
      </c>
      <c r="F57" s="1" t="s">
        <v>464</v>
      </c>
    </row>
    <row r="58" spans="1:6" ht="15.75">
      <c r="A58" s="49" t="s">
        <v>388</v>
      </c>
      <c r="B58" s="55" t="s">
        <v>658</v>
      </c>
      <c r="C58" s="263">
        <v>5.5E-2</v>
      </c>
      <c r="D58" s="264">
        <v>0.13250000000000001</v>
      </c>
      <c r="E58" s="274">
        <v>8.2500000000000004E-2</v>
      </c>
      <c r="F58" s="1" t="s">
        <v>464</v>
      </c>
    </row>
    <row r="59" spans="1:6" ht="15.75">
      <c r="A59" s="49" t="s">
        <v>389</v>
      </c>
      <c r="B59" s="55" t="s">
        <v>663</v>
      </c>
      <c r="C59" s="263">
        <v>4.0000000000000001E-3</v>
      </c>
      <c r="D59" s="264">
        <v>5.6000000000000001E-2</v>
      </c>
      <c r="E59" s="274">
        <v>6.0000000000000001E-3</v>
      </c>
      <c r="F59" s="1" t="s">
        <v>539</v>
      </c>
    </row>
    <row r="60" spans="1:6" ht="15.75">
      <c r="A60" s="49" t="s">
        <v>390</v>
      </c>
      <c r="B60" s="55" t="s">
        <v>655</v>
      </c>
      <c r="C60" s="263">
        <v>2.5000000000000001E-2</v>
      </c>
      <c r="D60" s="264">
        <v>8.7500000000000008E-2</v>
      </c>
      <c r="E60" s="274">
        <v>3.7500000000000006E-2</v>
      </c>
      <c r="F60" s="1" t="s">
        <v>462</v>
      </c>
    </row>
    <row r="61" spans="1:6" ht="15.75">
      <c r="A61" s="49" t="s">
        <v>391</v>
      </c>
      <c r="B61" s="55" t="s">
        <v>653</v>
      </c>
      <c r="C61" s="263">
        <v>2.1999999999999999E-2</v>
      </c>
      <c r="D61" s="264">
        <v>8.3000000000000004E-2</v>
      </c>
      <c r="E61" s="274">
        <v>3.3000000000000002E-2</v>
      </c>
      <c r="F61" s="1" t="s">
        <v>461</v>
      </c>
    </row>
    <row r="62" spans="1:6" ht="15.75">
      <c r="A62" s="49" t="s">
        <v>392</v>
      </c>
      <c r="B62" s="55" t="s">
        <v>653</v>
      </c>
      <c r="C62" s="263">
        <v>2.1999999999999999E-2</v>
      </c>
      <c r="D62" s="264">
        <v>8.3000000000000004E-2</v>
      </c>
      <c r="E62" s="274">
        <v>3.3000000000000002E-2</v>
      </c>
      <c r="F62" s="1" t="s">
        <v>539</v>
      </c>
    </row>
    <row r="63" spans="1:6" ht="15.75">
      <c r="A63" s="49" t="s">
        <v>393</v>
      </c>
      <c r="B63" s="55" t="s">
        <v>653</v>
      </c>
      <c r="C63" s="263">
        <v>2.1999999999999999E-2</v>
      </c>
      <c r="D63" s="264">
        <v>8.3000000000000004E-2</v>
      </c>
      <c r="E63" s="274">
        <v>3.3000000000000002E-2</v>
      </c>
      <c r="F63" s="1" t="s">
        <v>539</v>
      </c>
    </row>
    <row r="64" spans="1:6" ht="15.75">
      <c r="A64" s="49" t="s">
        <v>394</v>
      </c>
      <c r="B64" s="55" t="s">
        <v>655</v>
      </c>
      <c r="C64" s="263">
        <v>2.5000000000000001E-2</v>
      </c>
      <c r="D64" s="264">
        <v>8.7500000000000008E-2</v>
      </c>
      <c r="E64" s="274">
        <v>3.7500000000000006E-2</v>
      </c>
      <c r="F64" s="1" t="s">
        <v>461</v>
      </c>
    </row>
    <row r="65" spans="1:6" ht="15.75">
      <c r="A65" s="49" t="s">
        <v>395</v>
      </c>
      <c r="B65" s="55" t="s">
        <v>663</v>
      </c>
      <c r="C65" s="263">
        <v>4.0000000000000001E-3</v>
      </c>
      <c r="D65" s="264">
        <v>5.6000000000000001E-2</v>
      </c>
      <c r="E65" s="274">
        <v>6.0000000000000001E-3</v>
      </c>
      <c r="F65" s="1" t="s">
        <v>461</v>
      </c>
    </row>
    <row r="66" spans="1:6" ht="15.75">
      <c r="A66" s="49" t="s">
        <v>396</v>
      </c>
      <c r="B66" s="55" t="s">
        <v>662</v>
      </c>
      <c r="C66" s="263">
        <v>7.0000000000000001E-3</v>
      </c>
      <c r="D66" s="264">
        <v>6.0500000000000005E-2</v>
      </c>
      <c r="E66" s="274">
        <v>1.0500000000000001E-2</v>
      </c>
      <c r="F66" s="1" t="s">
        <v>468</v>
      </c>
    </row>
    <row r="67" spans="1:6" ht="15.75">
      <c r="A67" s="49" t="s">
        <v>397</v>
      </c>
      <c r="B67" s="55" t="s">
        <v>654</v>
      </c>
      <c r="C67" s="263">
        <v>1.9E-2</v>
      </c>
      <c r="D67" s="264">
        <v>7.85E-2</v>
      </c>
      <c r="E67" s="274">
        <v>2.8499999999999998E-2</v>
      </c>
      <c r="F67" s="1" t="s">
        <v>461</v>
      </c>
    </row>
    <row r="68" spans="1:6" ht="15.75">
      <c r="A68" s="49" t="s">
        <v>398</v>
      </c>
      <c r="B68" s="55" t="s">
        <v>661</v>
      </c>
      <c r="C68" s="263">
        <v>0.1</v>
      </c>
      <c r="D68" s="264">
        <v>0.2</v>
      </c>
      <c r="E68" s="274">
        <v>0.15000000000000002</v>
      </c>
      <c r="F68" s="1" t="s">
        <v>467</v>
      </c>
    </row>
    <row r="69" spans="1:6" ht="15.75">
      <c r="A69" s="49" t="s">
        <v>399</v>
      </c>
      <c r="B69" s="55" t="s">
        <v>656</v>
      </c>
      <c r="C69" s="263">
        <v>6.0000000000000001E-3</v>
      </c>
      <c r="D69" s="264">
        <v>5.9000000000000004E-2</v>
      </c>
      <c r="E69" s="274">
        <v>9.0000000000000011E-3</v>
      </c>
      <c r="F69" s="1" t="s">
        <v>539</v>
      </c>
    </row>
    <row r="70" spans="1:6" ht="15.75">
      <c r="A70" s="49" t="s">
        <v>400</v>
      </c>
      <c r="B70" s="55" t="s">
        <v>646</v>
      </c>
      <c r="C70" s="263">
        <v>4.4999999999999998E-2</v>
      </c>
      <c r="D70" s="264">
        <v>0.11750000000000001</v>
      </c>
      <c r="E70" s="274">
        <v>6.7500000000000004E-2</v>
      </c>
      <c r="F70" s="1" t="s">
        <v>468</v>
      </c>
    </row>
    <row r="71" spans="1:6" ht="15.75">
      <c r="A71" s="49" t="s">
        <v>401</v>
      </c>
      <c r="B71" s="55" t="s">
        <v>654</v>
      </c>
      <c r="C71" s="263">
        <v>1.9E-2</v>
      </c>
      <c r="D71" s="264">
        <v>7.85E-2</v>
      </c>
      <c r="E71" s="274">
        <v>2.8499999999999998E-2</v>
      </c>
      <c r="F71" s="1" t="s">
        <v>462</v>
      </c>
    </row>
    <row r="72" spans="1:6" ht="15.75">
      <c r="A72" s="49" t="s">
        <v>540</v>
      </c>
      <c r="B72" s="55" t="s">
        <v>646</v>
      </c>
      <c r="C72" s="263">
        <v>4.4999999999999998E-2</v>
      </c>
      <c r="D72" s="264">
        <v>0.11750000000000001</v>
      </c>
      <c r="E72" s="274">
        <v>6.7500000000000004E-2</v>
      </c>
      <c r="F72" s="1" t="s">
        <v>463</v>
      </c>
    </row>
    <row r="73" spans="1:6" ht="15.75">
      <c r="A73" s="49" t="s">
        <v>664</v>
      </c>
      <c r="B73" s="55" t="s">
        <v>656</v>
      </c>
      <c r="C73" s="263">
        <v>6.0000000000000001E-3</v>
      </c>
      <c r="D73" s="264">
        <v>5.9000000000000004E-2</v>
      </c>
      <c r="E73" s="274">
        <v>9.0000000000000011E-3</v>
      </c>
      <c r="F73" s="1" t="s">
        <v>539</v>
      </c>
    </row>
    <row r="74" spans="1:6" ht="15.75">
      <c r="A74" s="49" t="s">
        <v>402</v>
      </c>
      <c r="B74" s="55" t="s">
        <v>645</v>
      </c>
      <c r="C74" s="263">
        <v>5.0000000000000001E-3</v>
      </c>
      <c r="D74" s="264">
        <v>5.7500000000000002E-2</v>
      </c>
      <c r="E74" s="274">
        <v>7.4999999999999997E-3</v>
      </c>
      <c r="F74" s="1" t="s">
        <v>468</v>
      </c>
    </row>
    <row r="75" spans="1:6" ht="15.75">
      <c r="A75" s="49" t="s">
        <v>403</v>
      </c>
      <c r="B75" s="55" t="s">
        <v>654</v>
      </c>
      <c r="C75" s="263">
        <v>1.9E-2</v>
      </c>
      <c r="D75" s="264">
        <v>7.85E-2</v>
      </c>
      <c r="E75" s="274">
        <v>2.8499999999999998E-2</v>
      </c>
      <c r="F75" s="1" t="s">
        <v>462</v>
      </c>
    </row>
    <row r="76" spans="1:6" ht="15.75">
      <c r="A76" s="49" t="s">
        <v>474</v>
      </c>
      <c r="B76" s="55" t="s">
        <v>646</v>
      </c>
      <c r="C76" s="263">
        <v>4.4999999999999998E-2</v>
      </c>
      <c r="D76" s="264">
        <v>0.11750000000000001</v>
      </c>
      <c r="E76" s="274">
        <v>6.7500000000000004E-2</v>
      </c>
      <c r="F76" s="1" t="s">
        <v>468</v>
      </c>
    </row>
    <row r="77" spans="1:6" ht="15.75">
      <c r="A77" s="49" t="s">
        <v>404</v>
      </c>
      <c r="B77" s="55" t="s">
        <v>652</v>
      </c>
      <c r="C77" s="263">
        <v>0</v>
      </c>
      <c r="D77" s="264">
        <v>0.05</v>
      </c>
      <c r="E77" s="274">
        <v>0</v>
      </c>
      <c r="F77" s="1" t="s">
        <v>461</v>
      </c>
    </row>
    <row r="78" spans="1:6" ht="15.75">
      <c r="A78" s="49" t="s">
        <v>405</v>
      </c>
      <c r="B78" s="55" t="s">
        <v>651</v>
      </c>
      <c r="C78" s="263">
        <v>1.6E-2</v>
      </c>
      <c r="D78" s="264">
        <v>7.400000000000001E-2</v>
      </c>
      <c r="E78" s="274">
        <v>2.4E-2</v>
      </c>
      <c r="F78" s="1" t="s">
        <v>462</v>
      </c>
    </row>
    <row r="79" spans="1:6" ht="15.75">
      <c r="A79" s="49" t="s">
        <v>406</v>
      </c>
      <c r="B79" s="55" t="s">
        <v>652</v>
      </c>
      <c r="C79" s="263">
        <v>0</v>
      </c>
      <c r="D79" s="264">
        <v>0.05</v>
      </c>
      <c r="E79" s="274">
        <v>0</v>
      </c>
      <c r="F79" s="1" t="s">
        <v>461</v>
      </c>
    </row>
    <row r="80" spans="1:6" ht="15.75">
      <c r="A80" s="49" t="s">
        <v>665</v>
      </c>
      <c r="B80" s="55" t="s">
        <v>656</v>
      </c>
      <c r="C80" s="263">
        <v>6.0000000000000001E-3</v>
      </c>
      <c r="D80" s="264">
        <v>5.9000000000000004E-2</v>
      </c>
      <c r="E80" s="274">
        <v>9.0000000000000011E-3</v>
      </c>
      <c r="F80" s="1" t="s">
        <v>539</v>
      </c>
    </row>
    <row r="81" spans="1:6" ht="15.75">
      <c r="A81" s="49" t="s">
        <v>408</v>
      </c>
      <c r="B81" s="55" t="s">
        <v>648</v>
      </c>
      <c r="C81" s="263">
        <v>3.5999999999999997E-2</v>
      </c>
      <c r="D81" s="264">
        <v>0.104</v>
      </c>
      <c r="E81" s="274">
        <v>5.3999999999999992E-2</v>
      </c>
      <c r="F81" s="1" t="s">
        <v>462</v>
      </c>
    </row>
    <row r="82" spans="1:6" ht="15.75">
      <c r="A82" s="49" t="s">
        <v>409</v>
      </c>
      <c r="B82" s="55" t="s">
        <v>647</v>
      </c>
      <c r="C82" s="263">
        <v>1.2E-2</v>
      </c>
      <c r="D82" s="264">
        <v>6.8000000000000005E-2</v>
      </c>
      <c r="E82" s="274">
        <v>1.8000000000000002E-2</v>
      </c>
      <c r="F82" s="1" t="s">
        <v>539</v>
      </c>
    </row>
    <row r="83" spans="1:6" ht="15.75">
      <c r="A83" s="49" t="s">
        <v>410</v>
      </c>
      <c r="B83" s="55" t="s">
        <v>647</v>
      </c>
      <c r="C83" s="263">
        <v>1.2E-2</v>
      </c>
      <c r="D83" s="264">
        <v>6.8000000000000005E-2</v>
      </c>
      <c r="E83" s="274">
        <v>1.8000000000000002E-2</v>
      </c>
      <c r="F83" s="1" t="s">
        <v>461</v>
      </c>
    </row>
    <row r="84" spans="1:6" ht="15.75">
      <c r="A84" s="49" t="s">
        <v>411</v>
      </c>
      <c r="B84" s="55" t="s">
        <v>651</v>
      </c>
      <c r="C84" s="263">
        <v>1.6E-2</v>
      </c>
      <c r="D84" s="264">
        <v>7.400000000000001E-2</v>
      </c>
      <c r="E84" s="274">
        <v>2.4E-2</v>
      </c>
      <c r="F84" s="1" t="s">
        <v>539</v>
      </c>
    </row>
    <row r="85" spans="1:6" ht="15.75">
      <c r="A85" s="49" t="s">
        <v>412</v>
      </c>
      <c r="B85" s="55" t="s">
        <v>651</v>
      </c>
      <c r="C85" s="263">
        <v>1.6E-2</v>
      </c>
      <c r="D85" s="264">
        <v>7.400000000000001E-2</v>
      </c>
      <c r="E85" s="274">
        <v>2.4E-2</v>
      </c>
      <c r="F85" s="1" t="s">
        <v>464</v>
      </c>
    </row>
    <row r="86" spans="1:6" ht="15.75">
      <c r="A86" s="49" t="s">
        <v>475</v>
      </c>
      <c r="B86" s="55" t="s">
        <v>649</v>
      </c>
      <c r="C86" s="263">
        <v>6.5000000000000002E-2</v>
      </c>
      <c r="D86" s="264">
        <v>0.14750000000000002</v>
      </c>
      <c r="E86" s="274">
        <v>9.7500000000000003E-2</v>
      </c>
      <c r="F86" s="1" t="s">
        <v>462</v>
      </c>
    </row>
    <row r="87" spans="1:6" ht="15.75">
      <c r="A87" s="49" t="s">
        <v>476</v>
      </c>
      <c r="B87" s="55" t="s">
        <v>646</v>
      </c>
      <c r="C87" s="263">
        <v>4.4999999999999998E-2</v>
      </c>
      <c r="D87" s="264">
        <v>0.11750000000000001</v>
      </c>
      <c r="E87" s="274">
        <v>6.7500000000000004E-2</v>
      </c>
      <c r="F87" s="1" t="s">
        <v>539</v>
      </c>
    </row>
    <row r="88" spans="1:6" ht="15.75">
      <c r="A88" s="49" t="s">
        <v>413</v>
      </c>
      <c r="B88" s="55" t="s">
        <v>648</v>
      </c>
      <c r="C88" s="263">
        <v>3.5999999999999997E-2</v>
      </c>
      <c r="D88" s="264">
        <v>0.104</v>
      </c>
      <c r="E88" s="274">
        <v>5.3999999999999992E-2</v>
      </c>
      <c r="F88" s="1" t="s">
        <v>462</v>
      </c>
    </row>
    <row r="89" spans="1:6" ht="15.75">
      <c r="A89" s="49" t="s">
        <v>627</v>
      </c>
      <c r="B89" s="55" t="s">
        <v>653</v>
      </c>
      <c r="C89" s="263">
        <v>2.1999999999999999E-2</v>
      </c>
      <c r="D89" s="264">
        <v>8.3000000000000004E-2</v>
      </c>
      <c r="E89" s="274">
        <v>3.3000000000000002E-2</v>
      </c>
      <c r="F89" s="1" t="s">
        <v>467</v>
      </c>
    </row>
    <row r="90" spans="1:6" ht="15.75">
      <c r="A90" s="49" t="s">
        <v>477</v>
      </c>
      <c r="B90" s="55" t="s">
        <v>655</v>
      </c>
      <c r="C90" s="263">
        <v>2.5000000000000001E-2</v>
      </c>
      <c r="D90" s="264">
        <v>8.7500000000000008E-2</v>
      </c>
      <c r="E90" s="274">
        <v>3.7500000000000006E-2</v>
      </c>
      <c r="F90" s="1" t="s">
        <v>463</v>
      </c>
    </row>
    <row r="91" spans="1:6" ht="15.75">
      <c r="A91" s="49" t="s">
        <v>414</v>
      </c>
      <c r="B91" s="55" t="s">
        <v>646</v>
      </c>
      <c r="C91" s="263">
        <v>4.4999999999999998E-2</v>
      </c>
      <c r="D91" s="264">
        <v>0.11750000000000001</v>
      </c>
      <c r="E91" s="274">
        <v>6.7500000000000004E-2</v>
      </c>
      <c r="F91" s="1" t="s">
        <v>463</v>
      </c>
    </row>
    <row r="92" spans="1:6" ht="15.75">
      <c r="A92" s="49" t="s">
        <v>415</v>
      </c>
      <c r="B92" s="55" t="s">
        <v>653</v>
      </c>
      <c r="C92" s="263">
        <v>2.1999999999999999E-2</v>
      </c>
      <c r="D92" s="264">
        <v>8.3000000000000004E-2</v>
      </c>
      <c r="E92" s="274">
        <v>3.3000000000000002E-2</v>
      </c>
      <c r="F92" s="1" t="s">
        <v>463</v>
      </c>
    </row>
    <row r="93" spans="1:6" ht="15.75">
      <c r="A93" s="49" t="s">
        <v>416</v>
      </c>
      <c r="B93" s="55" t="s">
        <v>652</v>
      </c>
      <c r="C93" s="263">
        <v>0</v>
      </c>
      <c r="D93" s="264">
        <v>0.05</v>
      </c>
      <c r="E93" s="274">
        <v>0</v>
      </c>
      <c r="F93" s="1" t="s">
        <v>461</v>
      </c>
    </row>
    <row r="94" spans="1:6" ht="15.75">
      <c r="A94" s="49" t="s">
        <v>417</v>
      </c>
      <c r="B94" s="55" t="s">
        <v>652</v>
      </c>
      <c r="C94" s="263">
        <v>0</v>
      </c>
      <c r="D94" s="264">
        <v>0.05</v>
      </c>
      <c r="E94" s="274">
        <v>0</v>
      </c>
      <c r="F94" s="1" t="s">
        <v>465</v>
      </c>
    </row>
    <row r="95" spans="1:6" ht="15.75">
      <c r="A95" s="49" t="s">
        <v>478</v>
      </c>
      <c r="B95" s="55" t="s">
        <v>649</v>
      </c>
      <c r="C95" s="263">
        <v>6.5000000000000002E-2</v>
      </c>
      <c r="D95" s="264">
        <v>0.14750000000000002</v>
      </c>
      <c r="E95" s="274">
        <v>9.7500000000000003E-2</v>
      </c>
      <c r="F95" s="1" t="s">
        <v>464</v>
      </c>
    </row>
    <row r="96" spans="1:6" ht="15.75">
      <c r="A96" s="49" t="s">
        <v>418</v>
      </c>
      <c r="B96" s="55" t="s">
        <v>648</v>
      </c>
      <c r="C96" s="263">
        <v>3.5999999999999997E-2</v>
      </c>
      <c r="D96" s="264">
        <v>0.104</v>
      </c>
      <c r="E96" s="274">
        <v>5.3999999999999992E-2</v>
      </c>
      <c r="F96" s="1" t="s">
        <v>463</v>
      </c>
    </row>
    <row r="97" spans="1:6" ht="15.75">
      <c r="A97" s="49" t="s">
        <v>419</v>
      </c>
      <c r="B97" s="55" t="s">
        <v>652</v>
      </c>
      <c r="C97" s="263">
        <v>0</v>
      </c>
      <c r="D97" s="264">
        <v>0.05</v>
      </c>
      <c r="E97" s="274">
        <v>0</v>
      </c>
      <c r="F97" s="1" t="s">
        <v>461</v>
      </c>
    </row>
    <row r="98" spans="1:6" ht="15.75">
      <c r="A98" s="49" t="s">
        <v>420</v>
      </c>
      <c r="B98" s="55" t="s">
        <v>662</v>
      </c>
      <c r="C98" s="263">
        <v>7.0000000000000001E-3</v>
      </c>
      <c r="D98" s="264">
        <v>6.0500000000000005E-2</v>
      </c>
      <c r="E98" s="274">
        <v>1.0500000000000001E-2</v>
      </c>
      <c r="F98" s="1" t="s">
        <v>468</v>
      </c>
    </row>
    <row r="99" spans="1:6" ht="15.75">
      <c r="A99" s="49" t="s">
        <v>421</v>
      </c>
      <c r="B99" s="55" t="s">
        <v>660</v>
      </c>
      <c r="C99" s="263">
        <v>7.4999999999999997E-2</v>
      </c>
      <c r="D99" s="264">
        <v>0.16249999999999998</v>
      </c>
      <c r="E99" s="274">
        <v>0.11249999999999999</v>
      </c>
      <c r="F99" s="1" t="s">
        <v>539</v>
      </c>
    </row>
    <row r="100" spans="1:6" ht="15.75">
      <c r="A100" s="49" t="s">
        <v>422</v>
      </c>
      <c r="B100" s="55" t="s">
        <v>654</v>
      </c>
      <c r="C100" s="263">
        <v>1.9E-2</v>
      </c>
      <c r="D100" s="264">
        <v>7.85E-2</v>
      </c>
      <c r="E100" s="274">
        <v>2.8499999999999998E-2</v>
      </c>
      <c r="F100" s="1" t="s">
        <v>464</v>
      </c>
    </row>
    <row r="101" spans="1:6" ht="15.75">
      <c r="A101" s="49" t="s">
        <v>423</v>
      </c>
      <c r="B101" s="55" t="s">
        <v>646</v>
      </c>
      <c r="C101" s="263">
        <v>4.4999999999999998E-2</v>
      </c>
      <c r="D101" s="264">
        <v>0.11750000000000001</v>
      </c>
      <c r="E101" s="274">
        <v>6.7500000000000004E-2</v>
      </c>
      <c r="F101" s="1" t="s">
        <v>539</v>
      </c>
    </row>
    <row r="102" spans="1:6" ht="15.75">
      <c r="A102" s="49" t="s">
        <v>424</v>
      </c>
      <c r="B102" s="55" t="s">
        <v>648</v>
      </c>
      <c r="C102" s="263">
        <v>3.5999999999999997E-2</v>
      </c>
      <c r="D102" s="264">
        <v>0.104</v>
      </c>
      <c r="E102" s="274">
        <v>5.3999999999999992E-2</v>
      </c>
      <c r="F102" s="1" t="s">
        <v>464</v>
      </c>
    </row>
    <row r="103" spans="1:6" ht="15.75">
      <c r="A103" s="49" t="s">
        <v>425</v>
      </c>
      <c r="B103" s="55" t="s">
        <v>654</v>
      </c>
      <c r="C103" s="263">
        <v>1.9E-2</v>
      </c>
      <c r="D103" s="264">
        <v>7.85E-2</v>
      </c>
      <c r="E103" s="274">
        <v>2.8499999999999998E-2</v>
      </c>
      <c r="F103" s="1" t="s">
        <v>464</v>
      </c>
    </row>
    <row r="104" spans="1:6" ht="15.75">
      <c r="A104" s="49" t="s">
        <v>426</v>
      </c>
      <c r="B104" s="55" t="s">
        <v>653</v>
      </c>
      <c r="C104" s="263">
        <v>2.1999999999999999E-2</v>
      </c>
      <c r="D104" s="264">
        <v>8.3000000000000004E-2</v>
      </c>
      <c r="E104" s="274">
        <v>3.3000000000000002E-2</v>
      </c>
      <c r="F104" s="1" t="s">
        <v>539</v>
      </c>
    </row>
    <row r="105" spans="1:6" ht="15.75">
      <c r="A105" s="49" t="s">
        <v>427</v>
      </c>
      <c r="B105" s="55" t="s">
        <v>659</v>
      </c>
      <c r="C105" s="263">
        <v>8.5000000000000006E-3</v>
      </c>
      <c r="D105" s="264">
        <v>6.275E-2</v>
      </c>
      <c r="E105" s="274">
        <v>1.2750000000000001E-2</v>
      </c>
      <c r="F105" s="1" t="s">
        <v>462</v>
      </c>
    </row>
    <row r="106" spans="1:6" ht="15.75">
      <c r="A106" s="49" t="s">
        <v>428</v>
      </c>
      <c r="B106" s="55" t="s">
        <v>648</v>
      </c>
      <c r="C106" s="263">
        <v>3.5999999999999997E-2</v>
      </c>
      <c r="D106" s="264">
        <v>0.104</v>
      </c>
      <c r="E106" s="274">
        <v>5.3999999999999992E-2</v>
      </c>
      <c r="F106" s="1" t="s">
        <v>461</v>
      </c>
    </row>
    <row r="107" spans="1:6" ht="15.75">
      <c r="A107" s="49" t="s">
        <v>429</v>
      </c>
      <c r="B107" s="55" t="s">
        <v>645</v>
      </c>
      <c r="C107" s="263">
        <v>5.0000000000000001E-3</v>
      </c>
      <c r="D107" s="264">
        <v>5.7500000000000002E-2</v>
      </c>
      <c r="E107" s="274">
        <v>7.4999999999999997E-3</v>
      </c>
      <c r="F107" s="1" t="s">
        <v>468</v>
      </c>
    </row>
    <row r="108" spans="1:6" ht="15.75">
      <c r="A108" s="49" t="s">
        <v>631</v>
      </c>
      <c r="B108" s="55" t="s">
        <v>659</v>
      </c>
      <c r="C108" s="263">
        <v>8.5000000000000006E-3</v>
      </c>
      <c r="D108" s="264">
        <v>6.275E-2</v>
      </c>
      <c r="E108" s="274">
        <v>1.2750000000000001E-2</v>
      </c>
      <c r="F108" s="1" t="s">
        <v>468</v>
      </c>
    </row>
    <row r="109" spans="1:6" ht="15.75">
      <c r="A109" s="49" t="s">
        <v>632</v>
      </c>
      <c r="B109" s="55" t="s">
        <v>648</v>
      </c>
      <c r="C109" s="263">
        <v>3.5999999999999997E-2</v>
      </c>
      <c r="D109" s="264">
        <v>0.104</v>
      </c>
      <c r="E109" s="274">
        <v>5.3999999999999992E-2</v>
      </c>
      <c r="F109" s="1" t="s">
        <v>463</v>
      </c>
    </row>
    <row r="110" spans="1:6" ht="15.75">
      <c r="A110" s="49" t="s">
        <v>430</v>
      </c>
      <c r="B110" s="55" t="s">
        <v>653</v>
      </c>
      <c r="C110" s="263">
        <v>2.1999999999999999E-2</v>
      </c>
      <c r="D110" s="264">
        <v>8.3000000000000004E-2</v>
      </c>
      <c r="E110" s="274">
        <v>3.3000000000000002E-2</v>
      </c>
      <c r="F110" s="1" t="s">
        <v>462</v>
      </c>
    </row>
    <row r="111" spans="1:6" ht="15.75">
      <c r="A111" s="49" t="s">
        <v>431</v>
      </c>
      <c r="B111" s="55" t="s">
        <v>651</v>
      </c>
      <c r="C111" s="263">
        <v>1.6E-2</v>
      </c>
      <c r="D111" s="264">
        <v>7.400000000000001E-2</v>
      </c>
      <c r="E111" s="274">
        <v>2.4E-2</v>
      </c>
      <c r="F111" s="1" t="s">
        <v>462</v>
      </c>
    </row>
    <row r="112" spans="1:6" ht="15.75">
      <c r="A112" s="49" t="s">
        <v>634</v>
      </c>
      <c r="B112" s="55" t="s">
        <v>658</v>
      </c>
      <c r="C112" s="263">
        <v>5.5E-2</v>
      </c>
      <c r="D112" s="264">
        <v>0.13250000000000001</v>
      </c>
      <c r="E112" s="274">
        <v>8.2500000000000004E-2</v>
      </c>
      <c r="F112" s="1" t="s">
        <v>463</v>
      </c>
    </row>
    <row r="113" spans="1:6" ht="15.75">
      <c r="A113" s="49" t="s">
        <v>432</v>
      </c>
      <c r="B113" s="55" t="s">
        <v>656</v>
      </c>
      <c r="C113" s="263">
        <v>6.0000000000000001E-3</v>
      </c>
      <c r="D113" s="264">
        <v>5.9000000000000004E-2</v>
      </c>
      <c r="E113" s="274">
        <v>9.0000000000000011E-3</v>
      </c>
      <c r="F113" s="1" t="s">
        <v>468</v>
      </c>
    </row>
    <row r="114" spans="1:6" ht="15.75">
      <c r="A114" s="49" t="s">
        <v>479</v>
      </c>
      <c r="B114" s="55" t="s">
        <v>646</v>
      </c>
      <c r="C114" s="263">
        <v>4.4999999999999998E-2</v>
      </c>
      <c r="D114" s="264">
        <v>0.11750000000000001</v>
      </c>
      <c r="E114" s="274">
        <v>6.7500000000000004E-2</v>
      </c>
      <c r="F114" s="1" t="s">
        <v>463</v>
      </c>
    </row>
    <row r="115" spans="1:6" ht="15.75">
      <c r="A115" s="49" t="s">
        <v>433</v>
      </c>
      <c r="B115" s="55" t="s">
        <v>646</v>
      </c>
      <c r="C115" s="263">
        <v>4.4999999999999998E-2</v>
      </c>
      <c r="D115" s="264">
        <v>0.11750000000000001</v>
      </c>
      <c r="E115" s="274">
        <v>6.7500000000000004E-2</v>
      </c>
      <c r="F115" s="1" t="s">
        <v>462</v>
      </c>
    </row>
    <row r="116" spans="1:6" ht="15.75">
      <c r="A116" s="49" t="s">
        <v>434</v>
      </c>
      <c r="B116" s="55" t="s">
        <v>652</v>
      </c>
      <c r="C116" s="263">
        <v>0</v>
      </c>
      <c r="D116" s="264">
        <v>0.05</v>
      </c>
      <c r="E116" s="274">
        <v>0</v>
      </c>
      <c r="F116" s="1" t="s">
        <v>539</v>
      </c>
    </row>
    <row r="117" spans="1:6" ht="15.75">
      <c r="A117" s="49" t="s">
        <v>480</v>
      </c>
      <c r="B117" s="55" t="s">
        <v>659</v>
      </c>
      <c r="C117" s="263">
        <v>8.5000000000000006E-3</v>
      </c>
      <c r="D117" s="264">
        <v>6.275E-2</v>
      </c>
      <c r="E117" s="274">
        <v>1.2750000000000001E-2</v>
      </c>
      <c r="F117" s="1" t="s">
        <v>462</v>
      </c>
    </row>
    <row r="118" spans="1:6" ht="15.75">
      <c r="A118" s="49" t="s">
        <v>435</v>
      </c>
      <c r="B118" s="55" t="s">
        <v>655</v>
      </c>
      <c r="C118" s="263">
        <v>2.5000000000000001E-2</v>
      </c>
      <c r="D118" s="264">
        <v>8.7500000000000008E-2</v>
      </c>
      <c r="E118" s="274">
        <v>3.7500000000000006E-2</v>
      </c>
      <c r="F118" s="1" t="s">
        <v>462</v>
      </c>
    </row>
    <row r="119" spans="1:6" ht="15.75">
      <c r="A119" s="49" t="s">
        <v>436</v>
      </c>
      <c r="B119" s="55" t="s">
        <v>651</v>
      </c>
      <c r="C119" s="263">
        <v>1.6E-2</v>
      </c>
      <c r="D119" s="264">
        <v>7.400000000000001E-2</v>
      </c>
      <c r="E119" s="274">
        <v>2.4E-2</v>
      </c>
      <c r="F119" s="1" t="s">
        <v>463</v>
      </c>
    </row>
    <row r="120" spans="1:6" ht="15.75">
      <c r="A120" s="49" t="s">
        <v>437</v>
      </c>
      <c r="B120" s="55" t="s">
        <v>653</v>
      </c>
      <c r="C120" s="263">
        <v>2.1999999999999999E-2</v>
      </c>
      <c r="D120" s="264">
        <v>8.3000000000000004E-2</v>
      </c>
      <c r="E120" s="274">
        <v>3.3000000000000002E-2</v>
      </c>
      <c r="F120" s="1" t="s">
        <v>461</v>
      </c>
    </row>
    <row r="121" spans="1:6" ht="15.75">
      <c r="A121" s="49" t="s">
        <v>438</v>
      </c>
      <c r="B121" s="55" t="s">
        <v>646</v>
      </c>
      <c r="C121" s="263">
        <v>4.4999999999999998E-2</v>
      </c>
      <c r="D121" s="264">
        <v>0.11750000000000001</v>
      </c>
      <c r="E121" s="274">
        <v>6.7500000000000004E-2</v>
      </c>
      <c r="F121" s="1" t="s">
        <v>539</v>
      </c>
    </row>
    <row r="122" spans="1:6" ht="15.75">
      <c r="A122" s="49" t="s">
        <v>541</v>
      </c>
      <c r="B122" s="55" t="s">
        <v>651</v>
      </c>
      <c r="C122" s="263">
        <v>1.6E-2</v>
      </c>
      <c r="D122" s="264">
        <v>7.400000000000001E-2</v>
      </c>
      <c r="E122" s="274">
        <v>2.4E-2</v>
      </c>
      <c r="F122" s="1" t="s">
        <v>467</v>
      </c>
    </row>
    <row r="123" spans="1:6" ht="15.75">
      <c r="A123" s="49" t="s">
        <v>481</v>
      </c>
      <c r="B123" s="55" t="s">
        <v>658</v>
      </c>
      <c r="C123" s="263">
        <v>5.5E-2</v>
      </c>
      <c r="D123" s="264">
        <v>0.13250000000000001</v>
      </c>
      <c r="E123" s="274">
        <v>8.2500000000000004E-2</v>
      </c>
      <c r="F123" s="1" t="s">
        <v>467</v>
      </c>
    </row>
    <row r="124" spans="1:6" ht="15.75">
      <c r="A124" s="49" t="s">
        <v>482</v>
      </c>
      <c r="B124" s="55" t="s">
        <v>648</v>
      </c>
      <c r="C124" s="263">
        <v>3.5999999999999997E-2</v>
      </c>
      <c r="D124" s="264">
        <v>0.104</v>
      </c>
      <c r="E124" s="274">
        <v>5.3999999999999992E-2</v>
      </c>
      <c r="F124" s="1" t="s">
        <v>464</v>
      </c>
    </row>
    <row r="125" spans="1:6" ht="15.75">
      <c r="A125" s="49" t="s">
        <v>440</v>
      </c>
      <c r="B125" s="55" t="s">
        <v>652</v>
      </c>
      <c r="C125" s="263">
        <v>0</v>
      </c>
      <c r="D125" s="264">
        <v>0.05</v>
      </c>
      <c r="E125" s="274">
        <v>0</v>
      </c>
      <c r="F125" s="1" t="s">
        <v>461</v>
      </c>
    </row>
    <row r="126" spans="1:6" ht="15.75">
      <c r="A126" s="49" t="s">
        <v>441</v>
      </c>
      <c r="B126" s="55" t="s">
        <v>652</v>
      </c>
      <c r="C126" s="263">
        <v>0</v>
      </c>
      <c r="D126" s="264">
        <v>0.05</v>
      </c>
      <c r="E126" s="274">
        <v>0</v>
      </c>
      <c r="F126" s="1" t="s">
        <v>461</v>
      </c>
    </row>
    <row r="127" spans="1:6" ht="15.75">
      <c r="A127" s="49" t="s">
        <v>442</v>
      </c>
      <c r="B127" s="55" t="s">
        <v>656</v>
      </c>
      <c r="C127" s="263">
        <v>6.0000000000000001E-3</v>
      </c>
      <c r="D127" s="264">
        <v>5.9000000000000004E-2</v>
      </c>
      <c r="E127" s="274">
        <v>9.0000000000000011E-3</v>
      </c>
      <c r="F127" s="1" t="s">
        <v>539</v>
      </c>
    </row>
    <row r="128" spans="1:6" ht="15.75">
      <c r="A128" s="49" t="s">
        <v>444</v>
      </c>
      <c r="B128" s="55" t="s">
        <v>651</v>
      </c>
      <c r="C128" s="263">
        <v>1.6E-2</v>
      </c>
      <c r="D128" s="264">
        <v>7.400000000000001E-2</v>
      </c>
      <c r="E128" s="274">
        <v>2.4E-2</v>
      </c>
      <c r="F128" s="1" t="s">
        <v>539</v>
      </c>
    </row>
    <row r="129" spans="1:6" ht="15.75">
      <c r="A129" s="49" t="s">
        <v>666</v>
      </c>
      <c r="B129" s="55" t="s">
        <v>651</v>
      </c>
      <c r="C129" s="263">
        <v>1.6E-2</v>
      </c>
      <c r="D129" s="264">
        <v>7.400000000000001E-2</v>
      </c>
      <c r="E129" s="274">
        <v>2.4E-2</v>
      </c>
      <c r="F129" s="1" t="s">
        <v>467</v>
      </c>
    </row>
    <row r="130" spans="1:6" ht="15.75">
      <c r="A130" s="49" t="s">
        <v>445</v>
      </c>
      <c r="B130" s="55" t="s">
        <v>648</v>
      </c>
      <c r="C130" s="263">
        <v>3.5999999999999997E-2</v>
      </c>
      <c r="D130" s="264">
        <v>0.104</v>
      </c>
      <c r="E130" s="274">
        <v>5.3999999999999992E-2</v>
      </c>
      <c r="F130" s="1" t="s">
        <v>463</v>
      </c>
    </row>
    <row r="131" spans="1:6" ht="15.75">
      <c r="A131" s="49" t="s">
        <v>446</v>
      </c>
      <c r="B131" s="55" t="s">
        <v>653</v>
      </c>
      <c r="C131" s="263">
        <v>2.1999999999999999E-2</v>
      </c>
      <c r="D131" s="264">
        <v>8.3000000000000004E-2</v>
      </c>
      <c r="E131" s="274">
        <v>3.3000000000000002E-2</v>
      </c>
      <c r="F131" s="1" t="s">
        <v>461</v>
      </c>
    </row>
    <row r="132" spans="1:6" ht="15.75">
      <c r="A132" s="49" t="s">
        <v>543</v>
      </c>
      <c r="B132" s="55" t="s">
        <v>646</v>
      </c>
      <c r="C132" s="263">
        <v>4.4999999999999998E-2</v>
      </c>
      <c r="D132" s="264">
        <v>0.11750000000000001</v>
      </c>
      <c r="E132" s="274">
        <v>6.7500000000000004E-2</v>
      </c>
      <c r="F132" s="1" t="s">
        <v>463</v>
      </c>
    </row>
    <row r="133" spans="1:6" ht="15.75">
      <c r="A133" s="49" t="s">
        <v>447</v>
      </c>
      <c r="B133" s="55" t="s">
        <v>660</v>
      </c>
      <c r="C133" s="263">
        <v>7.4999999999999997E-2</v>
      </c>
      <c r="D133" s="264">
        <v>0.16249999999999998</v>
      </c>
      <c r="E133" s="274">
        <v>0.11249999999999999</v>
      </c>
      <c r="F133" s="1" t="s">
        <v>462</v>
      </c>
    </row>
    <row r="134" spans="1:6" ht="15.75">
      <c r="A134" s="49" t="s">
        <v>448</v>
      </c>
      <c r="B134" s="55" t="s">
        <v>645</v>
      </c>
      <c r="C134" s="263">
        <v>5.0000000000000001E-3</v>
      </c>
      <c r="D134" s="264">
        <v>5.7500000000000002E-2</v>
      </c>
      <c r="E134" s="274">
        <v>7.4999999999999997E-3</v>
      </c>
      <c r="F134" s="1" t="s">
        <v>468</v>
      </c>
    </row>
    <row r="135" spans="1:6" ht="15.75">
      <c r="A135" s="49" t="s">
        <v>449</v>
      </c>
      <c r="B135" s="55" t="s">
        <v>663</v>
      </c>
      <c r="C135" s="263">
        <v>4.0000000000000001E-3</v>
      </c>
      <c r="D135" s="264">
        <v>5.6000000000000001E-2</v>
      </c>
      <c r="E135" s="274">
        <v>6.0000000000000001E-3</v>
      </c>
      <c r="F135" s="1" t="s">
        <v>461</v>
      </c>
    </row>
    <row r="136" spans="1:6" ht="15.75">
      <c r="A136" s="49" t="s">
        <v>483</v>
      </c>
      <c r="B136" s="55" t="s">
        <v>652</v>
      </c>
      <c r="C136" s="263">
        <v>0</v>
      </c>
      <c r="D136" s="264">
        <v>0.05</v>
      </c>
      <c r="E136" s="274">
        <v>0</v>
      </c>
      <c r="F136" s="1" t="s">
        <v>470</v>
      </c>
    </row>
    <row r="137" spans="1:6" ht="15.75">
      <c r="A137" s="49" t="s">
        <v>451</v>
      </c>
      <c r="B137" s="55" t="s">
        <v>653</v>
      </c>
      <c r="C137" s="263">
        <v>2.1999999999999999E-2</v>
      </c>
      <c r="D137" s="264">
        <v>8.3000000000000004E-2</v>
      </c>
      <c r="E137" s="274">
        <v>3.3000000000000002E-2</v>
      </c>
      <c r="F137" s="1" t="s">
        <v>464</v>
      </c>
    </row>
    <row r="138" spans="1:6" ht="15.75">
      <c r="A138" s="49" t="s">
        <v>452</v>
      </c>
      <c r="B138" s="55" t="s">
        <v>660</v>
      </c>
      <c r="C138" s="263">
        <v>7.4999999999999997E-2</v>
      </c>
      <c r="D138" s="264">
        <v>0.16249999999999998</v>
      </c>
      <c r="E138" s="274">
        <v>0.11249999999999999</v>
      </c>
      <c r="F138" s="1" t="s">
        <v>464</v>
      </c>
    </row>
    <row r="139" spans="1:6" ht="15.75">
      <c r="A139" s="49" t="s">
        <v>453</v>
      </c>
      <c r="B139" s="55" t="s">
        <v>658</v>
      </c>
      <c r="C139" s="263">
        <v>5.5E-2</v>
      </c>
      <c r="D139" s="264">
        <v>0.13250000000000001</v>
      </c>
      <c r="E139" s="274">
        <v>8.2500000000000004E-2</v>
      </c>
      <c r="F139" s="1" t="s">
        <v>539</v>
      </c>
    </row>
    <row r="140" spans="1:6" ht="15.75">
      <c r="A140" s="49" t="s">
        <v>454</v>
      </c>
      <c r="B140" s="55" t="s">
        <v>646</v>
      </c>
      <c r="C140" s="263">
        <v>4.4999999999999998E-2</v>
      </c>
      <c r="D140" s="264">
        <v>0.11750000000000001</v>
      </c>
      <c r="E140" s="274">
        <v>6.7500000000000004E-2</v>
      </c>
      <c r="F140" s="1" t="s">
        <v>463</v>
      </c>
    </row>
    <row r="142" spans="1:6">
      <c r="A142" t="s">
        <v>460</v>
      </c>
      <c r="B142" t="s">
        <v>643</v>
      </c>
      <c r="C142" t="s">
        <v>641</v>
      </c>
      <c r="D142" t="s">
        <v>642</v>
      </c>
    </row>
    <row r="143" spans="1:6">
      <c r="A143" t="s">
        <v>463</v>
      </c>
      <c r="B143" s="268">
        <v>3.3596502349547593E-2</v>
      </c>
      <c r="C143" s="268">
        <v>0.10039475352432138</v>
      </c>
      <c r="D143" s="268">
        <v>5.0394753524321392E-2</v>
      </c>
    </row>
    <row r="144" spans="1:6">
      <c r="A144" t="s">
        <v>539</v>
      </c>
      <c r="B144" s="268">
        <v>1.0035901145989772E-2</v>
      </c>
      <c r="C144" s="268">
        <v>6.5053851718984659E-2</v>
      </c>
      <c r="D144" s="268">
        <v>1.5053851718984658E-2</v>
      </c>
    </row>
    <row r="145" spans="1:4">
      <c r="A145" t="s">
        <v>465</v>
      </c>
      <c r="B145" s="268">
        <v>3.2499265757329183E-5</v>
      </c>
      <c r="C145" s="268">
        <v>5.0048748898635989E-2</v>
      </c>
      <c r="D145" s="268">
        <v>4.8748898635993778E-5</v>
      </c>
    </row>
    <row r="146" spans="1:4">
      <c r="A146" t="s">
        <v>467</v>
      </c>
      <c r="B146" s="268">
        <v>5.0976676663901467E-2</v>
      </c>
      <c r="C146" s="268">
        <v>0.12646501499585222</v>
      </c>
      <c r="D146" s="268">
        <v>7.6465014995852204E-2</v>
      </c>
    </row>
    <row r="147" spans="1:4">
      <c r="A147" t="s">
        <v>464</v>
      </c>
      <c r="B147" s="268">
        <v>2.4151684133909942E-2</v>
      </c>
      <c r="C147" s="268">
        <v>8.6227526200864907E-2</v>
      </c>
      <c r="D147" s="268">
        <v>3.6227526200864911E-2</v>
      </c>
    </row>
    <row r="148" spans="1:4">
      <c r="A148" t="s">
        <v>462</v>
      </c>
      <c r="B148" s="268">
        <v>1.9763518915280838E-2</v>
      </c>
      <c r="C148" s="268">
        <v>7.9645278372921249E-2</v>
      </c>
      <c r="D148" s="268">
        <v>2.9645278372921257E-2</v>
      </c>
    </row>
    <row r="149" spans="1:4">
      <c r="A149" t="s">
        <v>468</v>
      </c>
      <c r="B149" s="268">
        <v>7.6259587998964325E-3</v>
      </c>
      <c r="C149" s="268">
        <v>6.1438938199844653E-2</v>
      </c>
      <c r="D149" s="268">
        <v>1.1438938199844649E-2</v>
      </c>
    </row>
    <row r="150" spans="1:4">
      <c r="A150" t="s">
        <v>470</v>
      </c>
      <c r="B150" s="268">
        <v>0</v>
      </c>
      <c r="C150" s="268">
        <v>5.000000000000001E-2</v>
      </c>
      <c r="D150" s="268">
        <v>0</v>
      </c>
    </row>
    <row r="151" spans="1:4">
      <c r="A151" t="s">
        <v>461</v>
      </c>
      <c r="B151" s="268">
        <v>8.6273759134598334E-3</v>
      </c>
      <c r="C151" s="268">
        <v>6.2941063870189759E-2</v>
      </c>
      <c r="D151" s="268">
        <v>1.2941063870189749E-2</v>
      </c>
    </row>
  </sheetData>
  <pageMargins left="0.75" right="0.75" top="1" bottom="1" header="0.5" footer="0.5"/>
  <pageSetup orientation="portrait" horizontalDpi="4294967292" verticalDpi="4294967292"/>
  <headerFooter alignWithMargins="0"/>
</worksheet>
</file>

<file path=xl/worksheets/sheet13.xml><?xml version="1.0" encoding="utf-8"?>
<worksheet xmlns="http://schemas.openxmlformats.org/spreadsheetml/2006/main" xmlns:r="http://schemas.openxmlformats.org/officeDocument/2006/relationships">
  <dimension ref="A1:E22"/>
  <sheetViews>
    <sheetView workbookViewId="0">
      <selection activeCell="D9" sqref="D9"/>
    </sheetView>
  </sheetViews>
  <sheetFormatPr defaultColWidth="11.42578125" defaultRowHeight="12"/>
  <cols>
    <col min="1" max="1" width="34" bestFit="1" customWidth="1"/>
    <col min="2" max="2" width="16" style="196" customWidth="1"/>
    <col min="3" max="3" width="19.85546875" style="196" bestFit="1" customWidth="1"/>
    <col min="4" max="4" width="22.140625" style="196" bestFit="1" customWidth="1"/>
    <col min="5" max="5" width="14.140625" bestFit="1" customWidth="1"/>
  </cols>
  <sheetData>
    <row r="1" spans="1:5">
      <c r="B1" s="173" t="s">
        <v>500</v>
      </c>
      <c r="C1" s="173" t="s">
        <v>534</v>
      </c>
      <c r="D1" s="173" t="s">
        <v>535</v>
      </c>
      <c r="E1" s="215" t="s">
        <v>501</v>
      </c>
    </row>
    <row r="2" spans="1:5" ht="12.75">
      <c r="A2" s="66" t="s">
        <v>11</v>
      </c>
      <c r="B2" s="216">
        <v>5089</v>
      </c>
      <c r="C2" s="216">
        <v>2242</v>
      </c>
      <c r="D2" s="216">
        <v>3271</v>
      </c>
      <c r="E2" s="217">
        <f>B2-C2+D2</f>
        <v>6118</v>
      </c>
    </row>
    <row r="3" spans="1:5" ht="12.75">
      <c r="A3" s="66" t="s">
        <v>530</v>
      </c>
      <c r="B3" s="216">
        <v>1399</v>
      </c>
      <c r="C3" s="216">
        <v>858</v>
      </c>
      <c r="D3" s="216">
        <v>637</v>
      </c>
      <c r="E3" s="217">
        <f>B3-C3+D3</f>
        <v>1178</v>
      </c>
    </row>
    <row r="4" spans="1:5" ht="12.75">
      <c r="A4" s="66" t="s">
        <v>30</v>
      </c>
      <c r="B4" s="216">
        <v>538</v>
      </c>
      <c r="C4" s="216">
        <v>-362</v>
      </c>
      <c r="D4" s="216">
        <v>935</v>
      </c>
      <c r="E4" s="217">
        <f>B4-C4+D4</f>
        <v>1835</v>
      </c>
    </row>
    <row r="5" spans="1:5" ht="12.75">
      <c r="A5" s="66" t="s">
        <v>551</v>
      </c>
      <c r="B5" s="216">
        <v>51</v>
      </c>
      <c r="C5" s="216">
        <v>24</v>
      </c>
      <c r="D5" s="216">
        <v>29</v>
      </c>
      <c r="E5" s="217">
        <f>B5-C5+D5</f>
        <v>56</v>
      </c>
    </row>
    <row r="6" spans="1:5" ht="12.75">
      <c r="A6" s="66" t="s">
        <v>31</v>
      </c>
      <c r="B6" s="216">
        <v>11755</v>
      </c>
      <c r="C6" s="216"/>
      <c r="D6" s="216">
        <v>12349</v>
      </c>
      <c r="E6" s="217"/>
    </row>
    <row r="7" spans="1:5" ht="12.75">
      <c r="A7" s="66" t="s">
        <v>32</v>
      </c>
      <c r="B7" s="216">
        <v>2356</v>
      </c>
      <c r="C7" s="216"/>
      <c r="D7" s="216">
        <f>1500+351+316</f>
        <v>2167</v>
      </c>
      <c r="E7" s="217"/>
    </row>
    <row r="8" spans="1:5" ht="12.75">
      <c r="A8" s="66" t="s">
        <v>343</v>
      </c>
      <c r="B8" s="216"/>
      <c r="C8" s="216"/>
      <c r="D8" s="216"/>
      <c r="E8" s="217"/>
    </row>
    <row r="9" spans="1:5" ht="12.75">
      <c r="A9" s="66" t="s">
        <v>344</v>
      </c>
      <c r="B9" s="216">
        <f>2384+7242</f>
        <v>9626</v>
      </c>
      <c r="C9" s="216"/>
      <c r="D9" s="216">
        <f>3001+7251</f>
        <v>10252</v>
      </c>
      <c r="E9" s="217"/>
    </row>
    <row r="10" spans="1:5" ht="12.75">
      <c r="A10" s="66" t="s">
        <v>492</v>
      </c>
      <c r="B10" s="216">
        <v>0</v>
      </c>
      <c r="C10" s="216"/>
      <c r="D10" s="216">
        <v>0</v>
      </c>
      <c r="E10" s="217"/>
    </row>
    <row r="11" spans="1:5" ht="12.75">
      <c r="A11" s="66" t="s">
        <v>496</v>
      </c>
      <c r="B11" s="216">
        <v>0</v>
      </c>
      <c r="C11" s="216"/>
      <c r="D11" s="216">
        <v>0</v>
      </c>
      <c r="E11" s="217"/>
    </row>
    <row r="12" spans="1:5" ht="12.75">
      <c r="A12" s="66" t="s">
        <v>33</v>
      </c>
      <c r="B12" s="216"/>
      <c r="C12" s="216"/>
      <c r="D12" s="216"/>
      <c r="E12" s="217"/>
    </row>
    <row r="13" spans="1:5" ht="12.75">
      <c r="A13" s="66" t="s">
        <v>34</v>
      </c>
      <c r="B13" s="218"/>
      <c r="C13" s="216"/>
      <c r="D13" s="216"/>
      <c r="E13" s="217"/>
    </row>
    <row r="14" spans="1:5" ht="12.75">
      <c r="A14" s="66" t="s">
        <v>195</v>
      </c>
      <c r="B14" s="197">
        <f>695/1695</f>
        <v>0.41002949852507375</v>
      </c>
      <c r="C14" s="197">
        <f>294/1318</f>
        <v>0.22306525037936267</v>
      </c>
      <c r="D14" s="197">
        <f>212/545</f>
        <v>0.38899082568807342</v>
      </c>
      <c r="E14" s="1"/>
    </row>
    <row r="15" spans="1:5" ht="12.75">
      <c r="A15" s="66" t="s">
        <v>196</v>
      </c>
      <c r="B15" s="173"/>
      <c r="C15" s="173"/>
      <c r="D15" s="173"/>
      <c r="E15" s="1"/>
    </row>
    <row r="16" spans="1:5" s="2" customFormat="1" ht="12.75">
      <c r="A16" s="240" t="s">
        <v>502</v>
      </c>
      <c r="B16" s="241"/>
      <c r="C16" s="241"/>
      <c r="D16" s="241"/>
      <c r="E16" s="242"/>
    </row>
    <row r="17" spans="1:5" ht="12.75">
      <c r="A17" s="69" t="s">
        <v>503</v>
      </c>
      <c r="B17" s="219">
        <v>142</v>
      </c>
      <c r="C17" s="219"/>
      <c r="D17" s="219" t="s">
        <v>189</v>
      </c>
      <c r="E17" s="220"/>
    </row>
    <row r="18" spans="1:5" ht="12.75">
      <c r="A18" s="69" t="s">
        <v>504</v>
      </c>
      <c r="B18" s="219">
        <v>128</v>
      </c>
      <c r="C18" s="219"/>
      <c r="D18" s="219" t="s">
        <v>189</v>
      </c>
      <c r="E18" s="220"/>
    </row>
    <row r="19" spans="1:5" ht="12.75">
      <c r="A19" s="69" t="s">
        <v>505</v>
      </c>
      <c r="B19" s="219">
        <v>117</v>
      </c>
      <c r="C19" s="219"/>
      <c r="D19" s="219" t="s">
        <v>189</v>
      </c>
      <c r="E19" s="220"/>
    </row>
    <row r="20" spans="1:5" ht="12.75">
      <c r="A20" s="69" t="s">
        <v>506</v>
      </c>
      <c r="B20" s="219">
        <v>110</v>
      </c>
      <c r="C20" s="219"/>
      <c r="D20" s="219" t="s">
        <v>189</v>
      </c>
      <c r="E20" s="220"/>
    </row>
    <row r="21" spans="1:5" ht="12.75">
      <c r="A21" s="69" t="s">
        <v>507</v>
      </c>
      <c r="B21" s="219">
        <v>102</v>
      </c>
      <c r="C21" s="219"/>
      <c r="D21" s="219" t="s">
        <v>189</v>
      </c>
      <c r="E21" s="220"/>
    </row>
    <row r="22" spans="1:5" ht="12.75">
      <c r="A22" s="69" t="s">
        <v>508</v>
      </c>
      <c r="B22" s="219">
        <v>252</v>
      </c>
      <c r="C22" s="219"/>
      <c r="D22" s="219" t="s">
        <v>189</v>
      </c>
      <c r="E22" s="220"/>
    </row>
  </sheetData>
  <pageMargins left="0.75" right="0.75" top="1" bottom="1" header="0.5" footer="0.5"/>
  <pageSetup orientation="portrait" horizontalDpi="4294967292" verticalDpi="4294967292"/>
  <headerFooter alignWithMargins="0"/>
</worksheet>
</file>

<file path=xl/worksheets/sheet14.xml><?xml version="1.0" encoding="utf-8"?>
<worksheet xmlns="http://schemas.openxmlformats.org/spreadsheetml/2006/main" xmlns:r="http://schemas.openxmlformats.org/officeDocument/2006/relationships">
  <dimension ref="A1:F6"/>
  <sheetViews>
    <sheetView workbookViewId="0">
      <selection activeCell="F6" sqref="F6"/>
    </sheetView>
  </sheetViews>
  <sheetFormatPr defaultColWidth="11.42578125" defaultRowHeight="12"/>
  <cols>
    <col min="1" max="1" width="6.7109375" bestFit="1" customWidth="1"/>
    <col min="2" max="2" width="17" bestFit="1" customWidth="1"/>
    <col min="3" max="3" width="19.140625" bestFit="1" customWidth="1"/>
  </cols>
  <sheetData>
    <row r="1" spans="1:6">
      <c r="A1" t="s">
        <v>339</v>
      </c>
      <c r="B1" t="s">
        <v>341</v>
      </c>
      <c r="C1" t="s">
        <v>553</v>
      </c>
      <c r="D1" t="s">
        <v>561</v>
      </c>
      <c r="E1" t="s">
        <v>563</v>
      </c>
      <c r="F1" t="s">
        <v>587</v>
      </c>
    </row>
    <row r="2" spans="1:6">
      <c r="A2" t="s">
        <v>60</v>
      </c>
      <c r="B2" t="s">
        <v>193</v>
      </c>
      <c r="C2" t="s">
        <v>554</v>
      </c>
      <c r="D2" t="s">
        <v>562</v>
      </c>
      <c r="E2">
        <v>1</v>
      </c>
      <c r="F2" t="s">
        <v>562</v>
      </c>
    </row>
    <row r="3" spans="1:6">
      <c r="A3" t="s">
        <v>54</v>
      </c>
      <c r="B3" t="s">
        <v>335</v>
      </c>
      <c r="C3" t="s">
        <v>557</v>
      </c>
      <c r="D3" t="s">
        <v>563</v>
      </c>
      <c r="E3">
        <v>2</v>
      </c>
      <c r="F3" t="s">
        <v>592</v>
      </c>
    </row>
    <row r="4" spans="1:6">
      <c r="C4" t="s">
        <v>555</v>
      </c>
      <c r="D4" t="s">
        <v>564</v>
      </c>
      <c r="F4" t="s">
        <v>593</v>
      </c>
    </row>
    <row r="5" spans="1:6">
      <c r="C5" t="s">
        <v>556</v>
      </c>
      <c r="F5" t="s">
        <v>594</v>
      </c>
    </row>
    <row r="6" spans="1:6">
      <c r="F6" t="s">
        <v>591</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2"/>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41"/>
  <sheetViews>
    <sheetView topLeftCell="A19" zoomScale="125" zoomScaleNormal="125" workbookViewId="0">
      <selection activeCell="D33" sqref="D33"/>
    </sheetView>
  </sheetViews>
  <sheetFormatPr defaultColWidth="11.42578125" defaultRowHeight="15.75"/>
  <cols>
    <col min="1" max="1" width="23" style="52" bestFit="1" customWidth="1"/>
    <col min="2" max="2" width="14.28515625" style="52" customWidth="1"/>
    <col min="3" max="13" width="14.28515625" style="57" customWidth="1"/>
    <col min="14" max="14" width="12.7109375" bestFit="1" customWidth="1"/>
  </cols>
  <sheetData>
    <row r="1" spans="1:14">
      <c r="A1" s="47"/>
      <c r="B1" s="48" t="s">
        <v>14</v>
      </c>
      <c r="C1" s="48">
        <v>1</v>
      </c>
      <c r="D1" s="48">
        <v>2</v>
      </c>
      <c r="E1" s="48">
        <v>3</v>
      </c>
      <c r="F1" s="48">
        <v>4</v>
      </c>
      <c r="G1" s="48">
        <v>5</v>
      </c>
      <c r="H1" s="48">
        <v>6</v>
      </c>
      <c r="I1" s="48">
        <v>7</v>
      </c>
      <c r="J1" s="48">
        <v>8</v>
      </c>
      <c r="K1" s="48">
        <v>9</v>
      </c>
      <c r="L1" s="48">
        <v>10</v>
      </c>
      <c r="M1" s="55" t="s">
        <v>46</v>
      </c>
    </row>
    <row r="2" spans="1:14">
      <c r="A2" s="50" t="s">
        <v>21</v>
      </c>
      <c r="B2" s="98"/>
      <c r="C2" s="99">
        <f>'Input sheet'!B23</f>
        <v>0.14799999999999999</v>
      </c>
      <c r="D2" s="99">
        <f>C2</f>
        <v>0.14799999999999999</v>
      </c>
      <c r="E2" s="99">
        <f>D2</f>
        <v>0.14799999999999999</v>
      </c>
      <c r="F2" s="99">
        <f>E2</f>
        <v>0.14799999999999999</v>
      </c>
      <c r="G2" s="99">
        <f>F2</f>
        <v>0.14799999999999999</v>
      </c>
      <c r="H2" s="99">
        <f>G2-((G2-'Input sheet'!B27)/5)</f>
        <v>0.1234</v>
      </c>
      <c r="I2" s="99">
        <f>G2-((G2-'Input sheet'!B27)/5)*2</f>
        <v>9.8799999999999999E-2</v>
      </c>
      <c r="J2" s="99">
        <f>G2-((G2-'Input sheet'!B27)/5)*3</f>
        <v>7.4199999999999988E-2</v>
      </c>
      <c r="K2" s="99">
        <f>G2-((G2-'Input sheet'!B27)/5)*4</f>
        <v>4.9599999999999991E-2</v>
      </c>
      <c r="L2" s="99">
        <f>G2-((G2-'Input sheet'!B27)/5)*5</f>
        <v>2.4999999999999994E-2</v>
      </c>
      <c r="M2" s="100">
        <f>L2</f>
        <v>2.4999999999999994E-2</v>
      </c>
    </row>
    <row r="3" spans="1:14">
      <c r="A3" s="50" t="s">
        <v>11</v>
      </c>
      <c r="B3" s="101">
        <f>'Input sheet'!B8</f>
        <v>382090</v>
      </c>
      <c r="C3" s="102">
        <f>B3*(1+C2)</f>
        <v>438639.31999999995</v>
      </c>
      <c r="D3" s="102">
        <f t="shared" ref="D3:L3" si="0">C3*(1+D2)</f>
        <v>503557.9393599999</v>
      </c>
      <c r="E3" s="102">
        <f t="shared" si="0"/>
        <v>578084.51438527985</v>
      </c>
      <c r="F3" s="102">
        <f t="shared" si="0"/>
        <v>663641.02251430124</v>
      </c>
      <c r="G3" s="102">
        <f t="shared" si="0"/>
        <v>761859.89384641778</v>
      </c>
      <c r="H3" s="102">
        <f t="shared" si="0"/>
        <v>855873.40474706574</v>
      </c>
      <c r="I3" s="102">
        <f t="shared" si="0"/>
        <v>940433.69713607582</v>
      </c>
      <c r="J3" s="102">
        <f t="shared" si="0"/>
        <v>1010213.8774635727</v>
      </c>
      <c r="K3" s="102">
        <f t="shared" si="0"/>
        <v>1060320.485785766</v>
      </c>
      <c r="L3" s="102">
        <f t="shared" si="0"/>
        <v>1086828.4979304101</v>
      </c>
      <c r="M3" s="118">
        <f>L3*(1+M2)</f>
        <v>1113999.2103786701</v>
      </c>
    </row>
    <row r="4" spans="1:14">
      <c r="A4" s="50" t="s">
        <v>27</v>
      </c>
      <c r="B4" s="103">
        <f>B5/B3</f>
        <v>2.2272239524719305E-2</v>
      </c>
      <c r="C4" s="99">
        <f>'Input sheet'!$B$24-(('Input sheet'!$B$24-$B$4)/10)*(10-C1)</f>
        <v>2.1845015572247373E-2</v>
      </c>
      <c r="D4" s="99">
        <f>'Input sheet'!$B$24-(('Input sheet'!$B$24-$B$4)/10)*(10-D1)</f>
        <v>2.1417791619775445E-2</v>
      </c>
      <c r="E4" s="99">
        <f>'Input sheet'!$B$24-(('Input sheet'!$B$24-$B$4)/10)*(10-E1)</f>
        <v>2.0990567667303513E-2</v>
      </c>
      <c r="F4" s="99">
        <f>'Input sheet'!$B$24-(('Input sheet'!$B$24-$B$4)/10)*(10-F1)</f>
        <v>2.0563343714831581E-2</v>
      </c>
      <c r="G4" s="99">
        <f>'Input sheet'!$B$24-(('Input sheet'!$B$24-$B$4)/10)*(10-G1)</f>
        <v>2.0136119762359652E-2</v>
      </c>
      <c r="H4" s="99">
        <f>'Input sheet'!$B$24-(('Input sheet'!$B$24-$B$4)/10)*(10-H1)</f>
        <v>1.970889580988772E-2</v>
      </c>
      <c r="I4" s="99">
        <f>'Input sheet'!$B$24-(('Input sheet'!$B$24-$B$4)/10)*(10-I1)</f>
        <v>1.9281671857415791E-2</v>
      </c>
      <c r="J4" s="99">
        <f>'Input sheet'!$B$24-(('Input sheet'!$B$24-$B$4)/10)*(10-J1)</f>
        <v>1.8854447904943859E-2</v>
      </c>
      <c r="K4" s="99">
        <f>'Input sheet'!$B$24-(('Input sheet'!$B$24-$B$4)/10)*(10-K1)</f>
        <v>1.8427223952471931E-2</v>
      </c>
      <c r="L4" s="99">
        <f>'Input sheet'!$B$24-(('Input sheet'!$B$24-$B$4)/10)*(10-L1)</f>
        <v>1.7999999999999999E-2</v>
      </c>
      <c r="M4" s="100">
        <f>L4</f>
        <v>1.7999999999999999E-2</v>
      </c>
    </row>
    <row r="5" spans="1:14">
      <c r="A5" s="50" t="s">
        <v>26</v>
      </c>
      <c r="B5" s="101">
        <f>IF('Input sheet'!B14="Yes",IF('Input sheet'!B13="Yes",'Input sheet'!B9+'Operating lease converter'!F32+'R&amp; D converter'!D39,'Input sheet'!B9+'Operating lease converter'!F32),IF('Input sheet'!B13="Yes",'Input sheet'!B9+'R&amp; D converter'!D39,'Input sheet'!B9))</f>
        <v>8510</v>
      </c>
      <c r="C5" s="102">
        <f t="shared" ref="C5:M5" si="1">C4*C3</f>
        <v>9582.0827759999975</v>
      </c>
      <c r="D5" s="102">
        <f t="shared" si="1"/>
        <v>10785.099013695997</v>
      </c>
      <c r="E5" s="102">
        <f t="shared" si="1"/>
        <v>12134.322116624508</v>
      </c>
      <c r="F5" s="102">
        <f t="shared" si="1"/>
        <v>13646.67844922386</v>
      </c>
      <c r="G5" s="102">
        <f t="shared" si="1"/>
        <v>15340.90206463008</v>
      </c>
      <c r="H5" s="102">
        <f t="shared" si="1"/>
        <v>16868.31976061378</v>
      </c>
      <c r="I5" s="102">
        <f t="shared" si="1"/>
        <v>18133.133951834159</v>
      </c>
      <c r="J5" s="102">
        <f t="shared" si="1"/>
        <v>19047.024925488269</v>
      </c>
      <c r="K5" s="102">
        <f t="shared" si="1"/>
        <v>19538.763052968141</v>
      </c>
      <c r="L5" s="102">
        <f t="shared" si="1"/>
        <v>19562.912962747381</v>
      </c>
      <c r="M5" s="118">
        <f t="shared" si="1"/>
        <v>20051.985786816062</v>
      </c>
      <c r="N5" s="120">
        <f>M5-B5</f>
        <v>11541.985786816062</v>
      </c>
    </row>
    <row r="6" spans="1:14">
      <c r="A6" s="50" t="s">
        <v>231</v>
      </c>
      <c r="B6" s="104">
        <f>'Input sheet'!B20</f>
        <v>0.34200000000000003</v>
      </c>
      <c r="C6" s="105">
        <f>B6</f>
        <v>0.34200000000000003</v>
      </c>
      <c r="D6" s="105">
        <f>C6</f>
        <v>0.34200000000000003</v>
      </c>
      <c r="E6" s="105">
        <f>D6</f>
        <v>0.34200000000000003</v>
      </c>
      <c r="F6" s="105">
        <f>E6</f>
        <v>0.34200000000000003</v>
      </c>
      <c r="G6" s="105">
        <f>F6</f>
        <v>0.34200000000000003</v>
      </c>
      <c r="H6" s="105">
        <f>G6+($M$6-$G$6)/5</f>
        <v>0.35360000000000003</v>
      </c>
      <c r="I6" s="105">
        <f>H6+($M$6-$G$6)/5</f>
        <v>0.36520000000000002</v>
      </c>
      <c r="J6" s="105">
        <f>I6+($M$6-$G$6)/5</f>
        <v>0.37680000000000002</v>
      </c>
      <c r="K6" s="105">
        <f>J6+($M$6-$G$6)/5</f>
        <v>0.38840000000000002</v>
      </c>
      <c r="L6" s="105">
        <f>K6+($M$6-$G$6)/5</f>
        <v>0.4</v>
      </c>
      <c r="M6" s="105">
        <f>IF('Input sheet'!B49="Yes",'Input sheet'!B20,'Input sheet'!B21)</f>
        <v>0.4</v>
      </c>
    </row>
    <row r="7" spans="1:14">
      <c r="A7" s="50" t="s">
        <v>12</v>
      </c>
      <c r="B7" s="101">
        <f>IF(B5&gt;0,B5*(1-B6),B5)</f>
        <v>5599.579999999999</v>
      </c>
      <c r="C7" s="102">
        <f>IF(C5&gt;0,IF(C5&lt;B10,C5,C5-(C5-B10)*C6),C5)</f>
        <v>6305.0104666079988</v>
      </c>
      <c r="D7" s="102">
        <f t="shared" ref="D7:L7" si="2">IF(D5&gt;0,IF(D5&lt;C10,D5,D5-(D5-C10)*D6),D5)</f>
        <v>7096.5951510119658</v>
      </c>
      <c r="E7" s="102">
        <f t="shared" si="2"/>
        <v>7984.3839527389255</v>
      </c>
      <c r="F7" s="102">
        <f t="shared" si="2"/>
        <v>8979.5144195893008</v>
      </c>
      <c r="G7" s="102">
        <f t="shared" si="2"/>
        <v>10094.313558526592</v>
      </c>
      <c r="H7" s="102">
        <f t="shared" si="2"/>
        <v>10903.681893260746</v>
      </c>
      <c r="I7" s="102">
        <f t="shared" si="2"/>
        <v>11510.913432624324</v>
      </c>
      <c r="J7" s="102">
        <f t="shared" si="2"/>
        <v>11870.105933564289</v>
      </c>
      <c r="K7" s="102">
        <f t="shared" si="2"/>
        <v>11949.907483195315</v>
      </c>
      <c r="L7" s="102">
        <f t="shared" si="2"/>
        <v>11737.747777648428</v>
      </c>
      <c r="M7" s="102">
        <f>M5*(1-M6)</f>
        <v>12031.191472089637</v>
      </c>
    </row>
    <row r="8" spans="1:14">
      <c r="A8" s="50" t="s">
        <v>15</v>
      </c>
      <c r="B8" s="101"/>
      <c r="C8" s="102">
        <f>(C3-B3)/C38</f>
        <v>5654.9319999999952</v>
      </c>
      <c r="D8" s="102">
        <f t="shared" ref="D8:L8" si="3">(D3-C3)/D38</f>
        <v>6491.8619359999957</v>
      </c>
      <c r="E8" s="102">
        <f t="shared" si="3"/>
        <v>7452.6575025279944</v>
      </c>
      <c r="F8" s="102">
        <f t="shared" si="3"/>
        <v>8555.6508129021386</v>
      </c>
      <c r="G8" s="102">
        <f t="shared" si="3"/>
        <v>9821.8871332116541</v>
      </c>
      <c r="H8" s="102">
        <f t="shared" si="3"/>
        <v>9401.3510900647962</v>
      </c>
      <c r="I8" s="102">
        <f t="shared" si="3"/>
        <v>8456.0292389010083</v>
      </c>
      <c r="J8" s="102">
        <f t="shared" si="3"/>
        <v>6978.0180327496837</v>
      </c>
      <c r="K8" s="102">
        <f t="shared" si="3"/>
        <v>5010.6608322193379</v>
      </c>
      <c r="L8" s="102">
        <f t="shared" si="3"/>
        <v>2650.8012144644044</v>
      </c>
      <c r="M8" s="106">
        <f>(M2/M40)*M7</f>
        <v>2506.4982233520072</v>
      </c>
      <c r="N8" s="120">
        <f>SUM(C8:M8)</f>
        <v>72980.348016393022</v>
      </c>
    </row>
    <row r="9" spans="1:14">
      <c r="A9" s="50" t="s">
        <v>16</v>
      </c>
      <c r="B9" s="101"/>
      <c r="C9" s="102">
        <f t="shared" ref="C9:L9" si="4">C7-C8</f>
        <v>650.07846660800351</v>
      </c>
      <c r="D9" s="102">
        <f t="shared" si="4"/>
        <v>604.73321501197006</v>
      </c>
      <c r="E9" s="102">
        <f t="shared" si="4"/>
        <v>531.72645021093103</v>
      </c>
      <c r="F9" s="102">
        <f t="shared" si="4"/>
        <v>423.86360668716225</v>
      </c>
      <c r="G9" s="102">
        <f t="shared" si="4"/>
        <v>272.42642531493766</v>
      </c>
      <c r="H9" s="102">
        <f t="shared" si="4"/>
        <v>1502.3308031959496</v>
      </c>
      <c r="I9" s="102">
        <f t="shared" si="4"/>
        <v>3054.8841937233155</v>
      </c>
      <c r="J9" s="102">
        <f t="shared" si="4"/>
        <v>4892.0879008146057</v>
      </c>
      <c r="K9" s="102">
        <f t="shared" si="4"/>
        <v>6939.246650975977</v>
      </c>
      <c r="L9" s="102">
        <f t="shared" si="4"/>
        <v>9086.9465631840249</v>
      </c>
      <c r="M9" s="106">
        <f>M7-M8</f>
        <v>9524.6932487376289</v>
      </c>
    </row>
    <row r="10" spans="1:14">
      <c r="A10" s="50" t="s">
        <v>49</v>
      </c>
      <c r="B10" s="101">
        <f>IF('Input sheet'!B51="Yes",'Input sheet'!B52,0)</f>
        <v>0</v>
      </c>
      <c r="C10" s="102">
        <f>IF(C5&lt;0,B10-C5,IF(B10&gt;C5,B10-C5,0))</f>
        <v>0</v>
      </c>
      <c r="D10" s="102">
        <f t="shared" ref="D10:M10" si="5">IF(D5&lt;0,C10-D5,IF(C10&gt;D5,C10-D5,0))</f>
        <v>0</v>
      </c>
      <c r="E10" s="102">
        <f t="shared" si="5"/>
        <v>0</v>
      </c>
      <c r="F10" s="102">
        <f t="shared" si="5"/>
        <v>0</v>
      </c>
      <c r="G10" s="102">
        <f t="shared" si="5"/>
        <v>0</v>
      </c>
      <c r="H10" s="102">
        <f t="shared" si="5"/>
        <v>0</v>
      </c>
      <c r="I10" s="102">
        <f t="shared" si="5"/>
        <v>0</v>
      </c>
      <c r="J10" s="102">
        <f t="shared" si="5"/>
        <v>0</v>
      </c>
      <c r="K10" s="102">
        <f t="shared" si="5"/>
        <v>0</v>
      </c>
      <c r="L10" s="102">
        <f t="shared" si="5"/>
        <v>0</v>
      </c>
      <c r="M10" s="102">
        <f t="shared" si="5"/>
        <v>0</v>
      </c>
    </row>
    <row r="11" spans="1:14">
      <c r="A11" s="50"/>
      <c r="B11" s="98"/>
      <c r="C11" s="107"/>
      <c r="D11" s="107"/>
      <c r="E11" s="107"/>
      <c r="F11" s="107"/>
      <c r="G11" s="107"/>
      <c r="H11" s="107"/>
      <c r="I11" s="107"/>
      <c r="J11" s="107"/>
      <c r="K11" s="107"/>
      <c r="L11" s="107"/>
      <c r="M11" s="107"/>
    </row>
    <row r="12" spans="1:14">
      <c r="A12" s="50" t="s">
        <v>237</v>
      </c>
      <c r="B12" s="103"/>
      <c r="C12" s="99">
        <f>'Input sheet'!B28</f>
        <v>8.8454917930882032E-2</v>
      </c>
      <c r="D12" s="99">
        <f>C12</f>
        <v>8.8454917930882032E-2</v>
      </c>
      <c r="E12" s="99">
        <f>D12</f>
        <v>8.8454917930882032E-2</v>
      </c>
      <c r="F12" s="99">
        <f>E12</f>
        <v>8.8454917930882032E-2</v>
      </c>
      <c r="G12" s="99">
        <f>F12</f>
        <v>8.8454917930882032E-2</v>
      </c>
      <c r="H12" s="99">
        <f>G12-($G$12-$M$12)/5</f>
        <v>8.6763934344705626E-2</v>
      </c>
      <c r="I12" s="99">
        <f>H12-($G$12-$M$12)/5</f>
        <v>8.507295075852922E-2</v>
      </c>
      <c r="J12" s="99">
        <f>I12-($G$12-$M$12)/5</f>
        <v>8.3381967172352814E-2</v>
      </c>
      <c r="K12" s="99">
        <f>J12-($G$12-$M$12)/5</f>
        <v>8.1690983586176408E-2</v>
      </c>
      <c r="L12" s="99">
        <f>K12-($G$12-$M$12)/5</f>
        <v>0.08</v>
      </c>
      <c r="M12" s="100">
        <f>IF('Input sheet'!B38="Yes",'Input sheet'!B39,'Input sheet'!B27+0.045)</f>
        <v>0.08</v>
      </c>
    </row>
    <row r="13" spans="1:14">
      <c r="A13" s="51" t="s">
        <v>238</v>
      </c>
      <c r="B13" s="98"/>
      <c r="C13" s="164">
        <f>1/(1+C12)</f>
        <v>0.91873350335994441</v>
      </c>
      <c r="D13" s="164">
        <f>C13*(1/(1+D12))</f>
        <v>0.84407125019603702</v>
      </c>
      <c r="E13" s="164">
        <f t="shared" ref="E13:L13" si="6">D13*(1/(1+E12))</f>
        <v>0.7754765367780132</v>
      </c>
      <c r="F13" s="164">
        <f t="shared" si="6"/>
        <v>0.71245627540750089</v>
      </c>
      <c r="G13" s="164">
        <f t="shared" si="6"/>
        <v>0.65455744989591069</v>
      </c>
      <c r="H13" s="164">
        <f t="shared" si="6"/>
        <v>0.60229956958462583</v>
      </c>
      <c r="I13" s="164">
        <f t="shared" si="6"/>
        <v>0.55507748964121095</v>
      </c>
      <c r="J13" s="164">
        <f t="shared" si="6"/>
        <v>0.51235622011502879</v>
      </c>
      <c r="K13" s="164">
        <f t="shared" si="6"/>
        <v>0.4736622823797535</v>
      </c>
      <c r="L13" s="164">
        <f t="shared" si="6"/>
        <v>0.43857618738866061</v>
      </c>
      <c r="M13" s="107"/>
    </row>
    <row r="14" spans="1:14">
      <c r="A14" s="51" t="s">
        <v>22</v>
      </c>
      <c r="B14" s="98"/>
      <c r="C14" s="102">
        <f t="shared" ref="C14:L14" si="7">C9*C13</f>
        <v>597.24886708563167</v>
      </c>
      <c r="D14" s="102">
        <f t="shared" si="7"/>
        <v>510.43792083022242</v>
      </c>
      <c r="E14" s="102">
        <f t="shared" si="7"/>
        <v>412.34138612283948</v>
      </c>
      <c r="F14" s="102">
        <f t="shared" si="7"/>
        <v>301.9842865011255</v>
      </c>
      <c r="G14" s="102">
        <f t="shared" si="7"/>
        <v>178.31874623840437</v>
      </c>
      <c r="H14" s="102">
        <f t="shared" si="7"/>
        <v>904.85319613864567</v>
      </c>
      <c r="I14" s="102">
        <f t="shared" si="7"/>
        <v>1695.6974493965527</v>
      </c>
      <c r="J14" s="102">
        <f t="shared" si="7"/>
        <v>2506.4916653318373</v>
      </c>
      <c r="K14" s="102">
        <f t="shared" si="7"/>
        <v>3286.8594066973419</v>
      </c>
      <c r="L14" s="102">
        <f t="shared" si="7"/>
        <v>3985.3183786857426</v>
      </c>
      <c r="M14" s="107"/>
    </row>
    <row r="15" spans="1:14">
      <c r="A15" s="51"/>
      <c r="B15" s="50"/>
      <c r="C15" s="56"/>
      <c r="D15" s="56"/>
      <c r="E15" s="56"/>
      <c r="F15" s="56"/>
      <c r="G15" s="56"/>
      <c r="H15" s="56"/>
      <c r="I15" s="56"/>
      <c r="J15" s="56"/>
      <c r="K15" s="56"/>
      <c r="L15" s="56"/>
    </row>
    <row r="16" spans="1:14">
      <c r="A16" s="53" t="s">
        <v>23</v>
      </c>
      <c r="B16" s="101">
        <f>M9</f>
        <v>9524.6932487376289</v>
      </c>
      <c r="C16" s="56"/>
      <c r="D16" s="56"/>
      <c r="E16" s="56"/>
      <c r="F16" s="56"/>
      <c r="G16" s="56"/>
      <c r="H16" s="56"/>
      <c r="I16" s="56"/>
      <c r="J16" s="56"/>
      <c r="K16" s="56"/>
      <c r="L16" s="56"/>
    </row>
    <row r="17" spans="1:12">
      <c r="A17" s="53" t="s">
        <v>233</v>
      </c>
      <c r="B17" s="103">
        <f>M12</f>
        <v>0.08</v>
      </c>
      <c r="C17" s="56"/>
      <c r="D17" s="56"/>
      <c r="E17" s="56"/>
      <c r="F17" s="56"/>
      <c r="G17" s="56"/>
      <c r="H17" s="56"/>
      <c r="I17" s="56"/>
      <c r="J17" s="56"/>
      <c r="K17" s="56"/>
      <c r="L17" s="56"/>
    </row>
    <row r="18" spans="1:12">
      <c r="A18" s="53" t="s">
        <v>24</v>
      </c>
      <c r="B18" s="101">
        <f>B16/(B17-'Input sheet'!B27)</f>
        <v>173176.24088613869</v>
      </c>
      <c r="C18" s="56"/>
      <c r="D18" s="165"/>
      <c r="E18" s="56"/>
      <c r="F18" s="56"/>
      <c r="G18" s="56"/>
      <c r="H18" s="56"/>
      <c r="I18" s="56"/>
      <c r="J18" s="56"/>
      <c r="K18" s="56"/>
      <c r="L18" s="56"/>
    </row>
    <row r="19" spans="1:12">
      <c r="A19" s="53" t="s">
        <v>25</v>
      </c>
      <c r="B19" s="108">
        <f>B18*L13</f>
        <v>75950.975474142993</v>
      </c>
      <c r="C19" s="56"/>
      <c r="D19" s="56"/>
      <c r="E19" s="56"/>
      <c r="F19" s="56"/>
      <c r="G19" s="56"/>
      <c r="H19" s="56"/>
      <c r="I19" s="56"/>
      <c r="J19" s="56"/>
      <c r="K19" s="56"/>
      <c r="L19" s="56"/>
    </row>
    <row r="20" spans="1:12">
      <c r="A20" s="53" t="s">
        <v>47</v>
      </c>
      <c r="B20" s="108">
        <f>SUM(C14:L14)</f>
        <v>14379.551303028344</v>
      </c>
      <c r="C20" s="56"/>
      <c r="D20" s="56"/>
      <c r="E20" s="56"/>
      <c r="F20" s="56"/>
      <c r="G20" s="56"/>
      <c r="H20" s="56"/>
      <c r="I20" s="56"/>
      <c r="J20" s="56"/>
      <c r="K20" s="56"/>
      <c r="L20" s="56"/>
    </row>
    <row r="21" spans="1:12">
      <c r="A21" s="53" t="s">
        <v>48</v>
      </c>
      <c r="B21" s="108">
        <f>B19+B20</f>
        <v>90330.526777171341</v>
      </c>
      <c r="C21" s="56"/>
      <c r="D21" s="56"/>
      <c r="E21" s="56"/>
      <c r="F21" s="56"/>
      <c r="G21" s="56"/>
      <c r="H21" s="56"/>
      <c r="I21" s="56"/>
      <c r="J21" s="56"/>
      <c r="K21" s="56"/>
      <c r="L21" s="56"/>
    </row>
    <row r="22" spans="1:12">
      <c r="A22" s="53" t="s">
        <v>201</v>
      </c>
      <c r="B22" s="109">
        <f>IF('Input sheet'!B44="Yes",'Input sheet'!B45,0)</f>
        <v>0</v>
      </c>
      <c r="C22" s="56"/>
      <c r="D22" s="56"/>
      <c r="E22" s="56"/>
      <c r="F22" s="56"/>
      <c r="G22" s="56"/>
      <c r="H22" s="56"/>
      <c r="I22" s="56"/>
      <c r="J22" s="56"/>
      <c r="K22" s="56"/>
      <c r="L22" s="56"/>
    </row>
    <row r="23" spans="1:12">
      <c r="A23" s="53" t="s">
        <v>202</v>
      </c>
      <c r="B23" s="110">
        <f>IF('Input sheet'!B46="B",('Input sheet'!B11+'Input sheet'!B12)*'Input sheet'!B47,'Valuation output'!B21*'Input sheet'!B47)</f>
        <v>45165.26338858567</v>
      </c>
      <c r="C23" s="56"/>
      <c r="D23" s="56"/>
      <c r="E23" s="56"/>
      <c r="F23" s="56"/>
      <c r="G23" s="56"/>
      <c r="H23" s="56"/>
      <c r="I23" s="56"/>
      <c r="J23" s="56"/>
      <c r="K23" s="56"/>
      <c r="L23" s="56"/>
    </row>
    <row r="24" spans="1:12">
      <c r="A24" s="53" t="s">
        <v>45</v>
      </c>
      <c r="B24" s="101">
        <f>B21*(1-B22)+B23*B22</f>
        <v>90330.526777171341</v>
      </c>
      <c r="C24" s="56"/>
      <c r="D24" s="56"/>
      <c r="E24" s="56"/>
      <c r="F24" s="56"/>
      <c r="G24" s="56"/>
      <c r="H24" s="56"/>
      <c r="I24" s="56"/>
      <c r="J24" s="56"/>
      <c r="K24" s="56"/>
      <c r="L24" s="56"/>
    </row>
    <row r="25" spans="1:12">
      <c r="A25" s="53" t="s">
        <v>495</v>
      </c>
      <c r="B25" s="101">
        <f>IF('Input sheet'!B14="Yes",'Input sheet'!B12+'Operating lease converter'!C28,'Input sheet'!B12)</f>
        <v>0</v>
      </c>
      <c r="C25" s="56"/>
      <c r="D25" s="56"/>
      <c r="E25" s="56"/>
      <c r="F25" s="56"/>
      <c r="G25" s="56"/>
      <c r="H25" s="56"/>
      <c r="I25" s="56"/>
      <c r="J25" s="56"/>
      <c r="K25" s="56"/>
      <c r="L25" s="56"/>
    </row>
    <row r="26" spans="1:12">
      <c r="A26" s="53" t="s">
        <v>497</v>
      </c>
      <c r="B26" s="101">
        <f>'Input sheet'!B17</f>
        <v>0</v>
      </c>
      <c r="C26" s="56"/>
      <c r="D26" s="56"/>
      <c r="E26" s="56"/>
      <c r="F26" s="56"/>
      <c r="G26" s="56"/>
      <c r="H26" s="56"/>
      <c r="I26" s="56"/>
      <c r="J26" s="56"/>
      <c r="K26" s="56"/>
      <c r="L26" s="56"/>
    </row>
    <row r="27" spans="1:12">
      <c r="A27" s="53" t="s">
        <v>494</v>
      </c>
      <c r="B27" s="101">
        <f>'Input sheet'!B15</f>
        <v>23823</v>
      </c>
      <c r="C27" s="56"/>
      <c r="D27" s="56"/>
      <c r="E27" s="56"/>
      <c r="F27" s="56"/>
      <c r="G27" s="56"/>
      <c r="H27" s="56"/>
      <c r="I27" s="56"/>
      <c r="J27" s="56"/>
      <c r="K27" s="56"/>
      <c r="L27" s="56"/>
    </row>
    <row r="28" spans="1:12">
      <c r="A28" s="53" t="s">
        <v>493</v>
      </c>
      <c r="B28" s="101">
        <f>'Input sheet'!B16</f>
        <v>0</v>
      </c>
      <c r="C28" s="56"/>
      <c r="D28" s="56"/>
      <c r="E28" s="56"/>
      <c r="F28" s="56"/>
      <c r="G28" s="56"/>
      <c r="H28" s="56"/>
      <c r="I28" s="56"/>
      <c r="J28" s="56"/>
      <c r="K28" s="56"/>
      <c r="L28" s="56"/>
    </row>
    <row r="29" spans="1:12">
      <c r="A29" s="53" t="s">
        <v>55</v>
      </c>
      <c r="B29" s="108">
        <f>B24-B25-B26+B27+B28</f>
        <v>114153.52677717134</v>
      </c>
      <c r="C29" s="56"/>
      <c r="D29" s="56"/>
      <c r="E29" s="56"/>
      <c r="F29" s="56"/>
      <c r="G29" s="56"/>
      <c r="H29" s="56"/>
      <c r="I29" s="56"/>
      <c r="J29" s="56"/>
      <c r="K29" s="56"/>
      <c r="L29" s="56"/>
    </row>
    <row r="30" spans="1:12">
      <c r="A30" s="53" t="s">
        <v>61</v>
      </c>
      <c r="B30" s="111">
        <f>IF('Input sheet'!B30="No",0,'Option value'!D27)</f>
        <v>0</v>
      </c>
      <c r="C30" s="56"/>
      <c r="D30" s="56"/>
      <c r="E30" s="56"/>
      <c r="F30" s="56"/>
      <c r="G30" s="56"/>
      <c r="H30" s="56"/>
      <c r="I30" s="56"/>
      <c r="J30" s="56"/>
      <c r="K30" s="56"/>
      <c r="L30" s="56"/>
    </row>
    <row r="31" spans="1:12">
      <c r="A31" s="53" t="s">
        <v>62</v>
      </c>
      <c r="B31" s="108">
        <f>B29-B30</f>
        <v>114153.52677717134</v>
      </c>
      <c r="C31" s="56"/>
      <c r="D31" s="56"/>
      <c r="E31" s="56"/>
      <c r="F31" s="56"/>
      <c r="G31" s="56"/>
      <c r="H31" s="56"/>
      <c r="I31" s="56"/>
      <c r="J31" s="56"/>
      <c r="K31" s="56"/>
      <c r="L31" s="56"/>
    </row>
    <row r="32" spans="1:12">
      <c r="A32" s="53" t="s">
        <v>13</v>
      </c>
      <c r="B32" s="112">
        <f>'Input sheet'!B18</f>
        <v>5284</v>
      </c>
      <c r="C32" s="56"/>
      <c r="D32" s="56"/>
      <c r="E32" s="56"/>
      <c r="F32" s="56"/>
      <c r="G32" s="56"/>
      <c r="H32" s="56"/>
      <c r="I32" s="56"/>
      <c r="J32" s="56"/>
      <c r="K32" s="56"/>
      <c r="L32" s="56"/>
    </row>
    <row r="33" spans="1:13">
      <c r="A33" s="53" t="s">
        <v>97</v>
      </c>
      <c r="B33" s="113">
        <f>B31/B32</f>
        <v>21.603619753438938</v>
      </c>
      <c r="C33" s="56"/>
      <c r="D33" s="56"/>
      <c r="E33" s="56"/>
      <c r="F33" s="56"/>
      <c r="G33" s="56"/>
      <c r="H33" s="56"/>
      <c r="I33" s="56"/>
      <c r="J33" s="56"/>
      <c r="K33" s="56"/>
      <c r="L33" s="56"/>
    </row>
    <row r="34" spans="1:13">
      <c r="A34" s="53" t="s">
        <v>192</v>
      </c>
      <c r="B34" s="114">
        <f>'Input sheet'!B19</f>
        <v>16.5</v>
      </c>
      <c r="C34" s="56"/>
      <c r="D34" s="56"/>
      <c r="E34" s="56"/>
      <c r="F34" s="56"/>
      <c r="G34" s="56"/>
      <c r="H34" s="56"/>
      <c r="I34" s="56"/>
      <c r="J34" s="56"/>
      <c r="K34" s="56"/>
      <c r="L34" s="56"/>
    </row>
    <row r="35" spans="1:13">
      <c r="A35" s="53" t="s">
        <v>53</v>
      </c>
      <c r="B35" s="104">
        <f>B34/B33</f>
        <v>0.76376089693827687</v>
      </c>
      <c r="C35" s="56"/>
      <c r="D35" s="56"/>
      <c r="E35" s="56"/>
      <c r="F35" s="56"/>
      <c r="G35" s="56"/>
      <c r="H35" s="56"/>
      <c r="I35" s="56"/>
      <c r="J35" s="56"/>
      <c r="K35" s="56"/>
      <c r="L35" s="56"/>
    </row>
    <row r="36" spans="1:13">
      <c r="A36" s="51"/>
      <c r="B36" s="50"/>
      <c r="C36" s="56"/>
      <c r="D36" s="56"/>
      <c r="E36" s="56"/>
      <c r="F36" s="56"/>
      <c r="G36" s="56"/>
      <c r="H36" s="56"/>
      <c r="I36" s="56"/>
      <c r="J36" s="56"/>
      <c r="K36" s="56"/>
      <c r="L36" s="56"/>
    </row>
    <row r="37" spans="1:13">
      <c r="A37" s="54" t="s">
        <v>18</v>
      </c>
      <c r="B37" s="98"/>
      <c r="C37" s="107"/>
      <c r="D37" s="107"/>
      <c r="E37" s="107"/>
      <c r="F37" s="107"/>
      <c r="G37" s="107"/>
      <c r="H37" s="107"/>
      <c r="I37" s="107"/>
      <c r="J37" s="107"/>
      <c r="K37" s="107"/>
      <c r="L37" s="107"/>
      <c r="M37" s="107" t="s">
        <v>44</v>
      </c>
    </row>
    <row r="38" spans="1:13">
      <c r="A38" s="49" t="s">
        <v>39</v>
      </c>
      <c r="B38" s="98"/>
      <c r="C38" s="115">
        <f>'Input sheet'!B25</f>
        <v>10</v>
      </c>
      <c r="D38" s="115">
        <f>C38</f>
        <v>10</v>
      </c>
      <c r="E38" s="115">
        <f t="shared" ref="E38:L38" si="8">D38</f>
        <v>10</v>
      </c>
      <c r="F38" s="115">
        <f t="shared" si="8"/>
        <v>10</v>
      </c>
      <c r="G38" s="115">
        <f t="shared" si="8"/>
        <v>10</v>
      </c>
      <c r="H38" s="115">
        <f t="shared" si="8"/>
        <v>10</v>
      </c>
      <c r="I38" s="115">
        <f t="shared" si="8"/>
        <v>10</v>
      </c>
      <c r="J38" s="115">
        <f t="shared" si="8"/>
        <v>10</v>
      </c>
      <c r="K38" s="115">
        <f t="shared" si="8"/>
        <v>10</v>
      </c>
      <c r="L38" s="115">
        <f t="shared" si="8"/>
        <v>10</v>
      </c>
      <c r="M38" s="107"/>
    </row>
    <row r="39" spans="1:13">
      <c r="A39" s="49" t="s">
        <v>19</v>
      </c>
      <c r="B39" s="116">
        <f>IF('Input sheet'!B14="Yes",IF('Input sheet'!B13="Yes",'Input sheet'!B11+'Input sheet'!B12-'Input sheet'!B15+'Operating lease converter'!F33+'R&amp; D converter'!D35,'Input sheet'!B11+'Input sheet'!B12-'Input sheet'!B15+'Operating lease converter'!F33),IF('Input sheet'!B13="Yes",'Input sheet'!B11+'Input sheet'!B12-'Input sheet'!B15+'R&amp; D converter'!D35,'Input sheet'!B11+'Input sheet'!B12-'Input sheet'!B15))</f>
        <v>70258</v>
      </c>
      <c r="C39" s="117">
        <f t="shared" ref="C39:L39" si="9">B39+C8</f>
        <v>75912.932000000001</v>
      </c>
      <c r="D39" s="117">
        <f t="shared" si="9"/>
        <v>82404.793936000002</v>
      </c>
      <c r="E39" s="117">
        <f t="shared" si="9"/>
        <v>89857.451438527991</v>
      </c>
      <c r="F39" s="117">
        <f t="shared" si="9"/>
        <v>98413.102251430129</v>
      </c>
      <c r="G39" s="117">
        <f t="shared" si="9"/>
        <v>108234.98938464178</v>
      </c>
      <c r="H39" s="117">
        <f t="shared" si="9"/>
        <v>117636.34047470658</v>
      </c>
      <c r="I39" s="117">
        <f t="shared" si="9"/>
        <v>126092.36971360759</v>
      </c>
      <c r="J39" s="117">
        <f t="shared" si="9"/>
        <v>133070.38774635727</v>
      </c>
      <c r="K39" s="117">
        <f t="shared" si="9"/>
        <v>138081.04857857662</v>
      </c>
      <c r="L39" s="117">
        <f t="shared" si="9"/>
        <v>140731.84979304104</v>
      </c>
      <c r="M39" s="107"/>
    </row>
    <row r="40" spans="1:13">
      <c r="A40" s="49" t="s">
        <v>20</v>
      </c>
      <c r="B40" s="103">
        <f t="shared" ref="B40:L40" si="10">B7/B39</f>
        <v>7.9700247658629611E-2</v>
      </c>
      <c r="C40" s="99">
        <f t="shared" si="10"/>
        <v>8.3055815399252372E-2</v>
      </c>
      <c r="D40" s="99">
        <f t="shared" si="10"/>
        <v>8.6118717274186296E-2</v>
      </c>
      <c r="E40" s="99">
        <f t="shared" si="10"/>
        <v>8.8856114044154583E-2</v>
      </c>
      <c r="F40" s="99">
        <f t="shared" si="10"/>
        <v>9.1243078555211493E-2</v>
      </c>
      <c r="G40" s="99">
        <f t="shared" si="10"/>
        <v>9.3262942195649567E-2</v>
      </c>
      <c r="H40" s="99">
        <f t="shared" si="10"/>
        <v>9.2689740680986135E-2</v>
      </c>
      <c r="I40" s="99">
        <f t="shared" si="10"/>
        <v>9.128953210070484E-2</v>
      </c>
      <c r="J40" s="99">
        <f t="shared" si="10"/>
        <v>8.9201708468676394E-2</v>
      </c>
      <c r="K40" s="99">
        <f t="shared" si="10"/>
        <v>8.6542705217038399E-2</v>
      </c>
      <c r="L40" s="119">
        <f t="shared" si="10"/>
        <v>8.3405055748999618E-2</v>
      </c>
      <c r="M40" s="99">
        <f>IF('Input sheet'!B41="Yes",'Input sheet'!B42,'Valuation output'!L12)</f>
        <v>0.12</v>
      </c>
    </row>
    <row r="41" spans="1:13">
      <c r="A41" s="51"/>
    </row>
  </sheetData>
  <phoneticPr fontId="5" type="noConversion"/>
  <pageMargins left="0.75" right="0.75" top="1" bottom="1" header="0.5" footer="0.5"/>
  <pageSetup orientation="portrait" horizontalDpi="4294967292" verticalDpi="4294967292"/>
  <headerFooter alignWithMargins="0"/>
  <drawing r:id="rId1"/>
</worksheet>
</file>

<file path=xl/worksheets/sheet3.xml><?xml version="1.0" encoding="utf-8"?>
<worksheet xmlns="http://schemas.openxmlformats.org/spreadsheetml/2006/main" xmlns:r="http://schemas.openxmlformats.org/officeDocument/2006/relationships">
  <dimension ref="A1:G27"/>
  <sheetViews>
    <sheetView workbookViewId="0">
      <selection activeCell="J2" sqref="J2"/>
    </sheetView>
  </sheetViews>
  <sheetFormatPr defaultColWidth="11.42578125" defaultRowHeight="12"/>
  <sheetData>
    <row r="1" spans="1:7" s="12" customFormat="1" ht="18.75">
      <c r="A1" s="11" t="s">
        <v>63</v>
      </c>
      <c r="B1" s="11"/>
    </row>
    <row r="2" spans="1:7" ht="12.75">
      <c r="A2" s="13" t="s">
        <v>64</v>
      </c>
      <c r="B2" s="13"/>
      <c r="D2" s="33">
        <f>'Input sheet'!B19</f>
        <v>16.5</v>
      </c>
    </row>
    <row r="3" spans="1:7" ht="12.75">
      <c r="A3" s="13" t="s">
        <v>65</v>
      </c>
      <c r="B3" s="13"/>
      <c r="D3" s="14">
        <f>'Input sheet'!B32</f>
        <v>0</v>
      </c>
    </row>
    <row r="4" spans="1:7" ht="12.75">
      <c r="A4" s="13" t="s">
        <v>66</v>
      </c>
      <c r="B4" s="13"/>
      <c r="D4" s="17">
        <f>'Input sheet'!B33</f>
        <v>0</v>
      </c>
    </row>
    <row r="5" spans="1:7" ht="12.75">
      <c r="A5" s="13" t="s">
        <v>67</v>
      </c>
      <c r="B5" s="13"/>
      <c r="D5" s="15">
        <f>'Input sheet'!B34</f>
        <v>0</v>
      </c>
      <c r="E5" s="13" t="s">
        <v>68</v>
      </c>
    </row>
    <row r="6" spans="1:7" ht="12.75">
      <c r="A6" s="13" t="s">
        <v>69</v>
      </c>
      <c r="B6" s="13"/>
      <c r="D6" s="16">
        <v>0</v>
      </c>
    </row>
    <row r="7" spans="1:7" ht="12.75">
      <c r="A7" s="13" t="s">
        <v>70</v>
      </c>
      <c r="B7" s="13"/>
      <c r="D7" s="16">
        <f>'Input sheet'!B27</f>
        <v>2.5000000000000001E-2</v>
      </c>
    </row>
    <row r="8" spans="1:7" ht="12.75">
      <c r="A8" s="13" t="s">
        <v>71</v>
      </c>
      <c r="B8" s="13"/>
      <c r="D8" s="17">
        <f>'Input sheet'!B31</f>
        <v>0</v>
      </c>
    </row>
    <row r="9" spans="1:7" ht="12.75">
      <c r="A9" s="13" t="s">
        <v>72</v>
      </c>
      <c r="B9" s="13"/>
      <c r="D9" s="18">
        <f>'Input sheet'!B18</f>
        <v>5284</v>
      </c>
    </row>
    <row r="10" spans="1:7" ht="12.75">
      <c r="A10" s="13"/>
      <c r="B10" s="13"/>
    </row>
    <row r="11" spans="1:7" s="21" customFormat="1" ht="13.5">
      <c r="A11" s="19" t="s">
        <v>73</v>
      </c>
      <c r="B11" s="20"/>
    </row>
    <row r="12" spans="1:7" s="13" customFormat="1" ht="12.75">
      <c r="A12" s="22" t="s">
        <v>74</v>
      </c>
    </row>
    <row r="13" spans="1:7" s="13" customFormat="1" ht="12.75">
      <c r="A13" s="13" t="s">
        <v>75</v>
      </c>
      <c r="C13" s="23">
        <f>D2</f>
        <v>16.5</v>
      </c>
      <c r="D13" s="13" t="s">
        <v>76</v>
      </c>
      <c r="F13" s="24">
        <f>D8</f>
        <v>0</v>
      </c>
      <c r="G13" s="25"/>
    </row>
    <row r="14" spans="1:7" s="13" customFormat="1" ht="12.75">
      <c r="A14" s="13" t="s">
        <v>77</v>
      </c>
      <c r="C14" s="23">
        <f>D3</f>
        <v>0</v>
      </c>
      <c r="D14" s="13" t="s">
        <v>78</v>
      </c>
      <c r="F14" s="26">
        <f>D9</f>
        <v>5284</v>
      </c>
      <c r="G14" s="25"/>
    </row>
    <row r="15" spans="1:7" s="13" customFormat="1" ht="12.75">
      <c r="A15" s="13" t="s">
        <v>79</v>
      </c>
      <c r="C15" s="23" t="e">
        <f ca="1">(C13*F14+C26*F13)/(F14+F13)</f>
        <v>#DIV/0!</v>
      </c>
      <c r="D15" s="13" t="s">
        <v>80</v>
      </c>
      <c r="F15" s="27">
        <f>D7</f>
        <v>2.5000000000000001E-2</v>
      </c>
    </row>
    <row r="16" spans="1:7" s="13" customFormat="1" ht="12.75">
      <c r="A16" s="13" t="s">
        <v>81</v>
      </c>
      <c r="C16" s="23">
        <f>C14</f>
        <v>0</v>
      </c>
      <c r="D16" s="13" t="s">
        <v>82</v>
      </c>
      <c r="F16" s="28">
        <f>D5^2</f>
        <v>0</v>
      </c>
    </row>
    <row r="17" spans="1:7" s="13" customFormat="1" ht="12.75">
      <c r="A17" s="13" t="s">
        <v>83</v>
      </c>
      <c r="C17" s="23">
        <f>D4</f>
        <v>0</v>
      </c>
      <c r="D17" s="13" t="s">
        <v>84</v>
      </c>
      <c r="F17" s="27">
        <f>D6</f>
        <v>0</v>
      </c>
    </row>
    <row r="18" spans="1:7" s="13" customFormat="1" ht="12.75">
      <c r="C18" s="22"/>
      <c r="D18" s="13" t="s">
        <v>85</v>
      </c>
      <c r="F18" s="29">
        <f>F15-F17</f>
        <v>2.5000000000000001E-2</v>
      </c>
    </row>
    <row r="19" spans="1:7" s="13" customFormat="1" ht="12.75"/>
    <row r="20" spans="1:7" s="13" customFormat="1" ht="12.75">
      <c r="A20" s="13" t="s">
        <v>86</v>
      </c>
      <c r="B20" s="24" t="e">
        <f ca="1">(LN(C15/C16)+(F18+(F16/2))*C17)/(((F16)^(0.5))*(C17^0.5))</f>
        <v>#DIV/0!</v>
      </c>
    </row>
    <row r="21" spans="1:7" s="13" customFormat="1" ht="12.75">
      <c r="A21" s="13" t="s">
        <v>87</v>
      </c>
      <c r="B21" s="24" t="e">
        <f ca="1">NORMSDIST(B20)</f>
        <v>#DIV/0!</v>
      </c>
    </row>
    <row r="22" spans="1:7" s="13" customFormat="1" ht="12.75"/>
    <row r="23" spans="1:7" s="13" customFormat="1" ht="15.75" customHeight="1">
      <c r="A23" s="13" t="s">
        <v>88</v>
      </c>
      <c r="B23" s="24" t="e">
        <f ca="1">B20-((F16^0.5)*(C17^(0.5)))</f>
        <v>#DIV/0!</v>
      </c>
    </row>
    <row r="24" spans="1:7" s="13" customFormat="1" ht="12.75">
      <c r="A24" s="13" t="s">
        <v>89</v>
      </c>
      <c r="B24" s="24" t="e">
        <f ca="1">NORMSDIST(B23)</f>
        <v>#DIV/0!</v>
      </c>
    </row>
    <row r="25" spans="1:7" ht="13.5" thickBot="1">
      <c r="A25" s="13"/>
      <c r="B25" s="13"/>
    </row>
    <row r="26" spans="1:7" s="13" customFormat="1" ht="13.5" thickBot="1">
      <c r="A26" s="13" t="s">
        <v>90</v>
      </c>
      <c r="C26" s="30" t="e">
        <f ca="1">((EXP((0-F17)*C17))*C15*B21-C16*(EXP((0-F15)*C17))*B24)</f>
        <v>#DIV/0!</v>
      </c>
      <c r="G26" s="31"/>
    </row>
    <row r="27" spans="1:7" s="13" customFormat="1" ht="13.5" thickBot="1">
      <c r="A27" s="13" t="s">
        <v>91</v>
      </c>
      <c r="D27" s="32" t="e">
        <f ca="1">C26*D8</f>
        <v>#DIV/0!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D16"/>
  <sheetViews>
    <sheetView zoomScale="125" zoomScaleNormal="125" workbookViewId="0">
      <selection activeCell="B14" sqref="B14"/>
    </sheetView>
  </sheetViews>
  <sheetFormatPr defaultColWidth="10.85546875" defaultRowHeight="15"/>
  <cols>
    <col min="1" max="1" width="61.7109375" style="8" customWidth="1"/>
    <col min="2" max="2" width="43.85546875" style="8" customWidth="1"/>
    <col min="3" max="3" width="68" style="8" bestFit="1" customWidth="1"/>
    <col min="4" max="16384" width="10.85546875" style="8"/>
  </cols>
  <sheetData>
    <row r="1" spans="1:4" s="155" customFormat="1" ht="12.75">
      <c r="A1" s="157" t="s">
        <v>98</v>
      </c>
      <c r="B1" s="158"/>
    </row>
    <row r="2" spans="1:4" s="155" customFormat="1" ht="12.75">
      <c r="A2" s="158" t="s">
        <v>7</v>
      </c>
      <c r="B2" s="159">
        <f>'Valuation output'!B39</f>
        <v>70258</v>
      </c>
    </row>
    <row r="3" spans="1:4" s="155" customFormat="1" ht="12.75">
      <c r="A3" s="158" t="s">
        <v>8</v>
      </c>
      <c r="B3" s="159">
        <f>'Valuation output'!L39</f>
        <v>140731.84979304104</v>
      </c>
    </row>
    <row r="4" spans="1:4" s="155" customFormat="1" ht="12.75">
      <c r="A4" s="158" t="s">
        <v>9</v>
      </c>
      <c r="B4" s="159">
        <f>B3-B2</f>
        <v>70473.849793041038</v>
      </c>
    </row>
    <row r="5" spans="1:4" s="155" customFormat="1" ht="12.75">
      <c r="A5" s="158" t="s">
        <v>10</v>
      </c>
      <c r="B5" s="159">
        <f>'Valuation output'!L5-'Valuation output'!B5</f>
        <v>11052.912962747381</v>
      </c>
    </row>
    <row r="6" spans="1:4" s="155" customFormat="1" ht="12.75">
      <c r="A6" s="158" t="s">
        <v>4</v>
      </c>
      <c r="B6" s="160">
        <f>B5/B4</f>
        <v>0.15683708205534708</v>
      </c>
    </row>
    <row r="7" spans="1:4" s="155" customFormat="1" ht="12.75">
      <c r="A7" s="158" t="s">
        <v>5</v>
      </c>
      <c r="B7" s="160">
        <f>'Valuation output'!L40</f>
        <v>8.3405055748999618E-2</v>
      </c>
    </row>
    <row r="8" spans="1:4" s="155" customFormat="1" ht="12.75">
      <c r="A8" s="158" t="s">
        <v>337</v>
      </c>
      <c r="B8" s="160">
        <f>(1/'Valuation output'!L13)^(1/10)-1</f>
        <v>8.5914157446708606E-2</v>
      </c>
    </row>
    <row r="9" spans="1:4" s="155" customFormat="1" ht="13.5" thickBot="1">
      <c r="A9" s="161" t="s">
        <v>29</v>
      </c>
      <c r="B9" s="162">
        <f>'Valuation output'!B33/'Valuation output'!B34</f>
        <v>1.3093102880872083</v>
      </c>
    </row>
    <row r="10" spans="1:4" s="155" customFormat="1" ht="13.5" thickBot="1">
      <c r="A10" s="163"/>
      <c r="B10" s="282" t="str">
        <f>IF(B9="NA","Value is negative. See below",IF(B9&gt;2,"Value seems high. See below",IF(B9&lt;0.5,"Value seems low. See below"," ")))</f>
        <v xml:space="preserve"> </v>
      </c>
      <c r="C10" s="283"/>
    </row>
    <row r="11" spans="1:4" s="13" customFormat="1" ht="13.5">
      <c r="A11" s="226" t="s">
        <v>6</v>
      </c>
      <c r="B11" s="227" t="s">
        <v>0</v>
      </c>
      <c r="C11" s="228" t="s">
        <v>1</v>
      </c>
    </row>
    <row r="12" spans="1:4" s="13" customFormat="1" ht="12.75">
      <c r="A12" s="237" t="s">
        <v>243</v>
      </c>
      <c r="B12" s="229" t="s">
        <v>2</v>
      </c>
      <c r="C12" s="230" t="s">
        <v>3</v>
      </c>
    </row>
    <row r="13" spans="1:4" s="13" customFormat="1" ht="12.75">
      <c r="A13" s="237" t="s">
        <v>244</v>
      </c>
      <c r="B13" s="231" t="s">
        <v>241</v>
      </c>
      <c r="C13" s="232" t="s">
        <v>242</v>
      </c>
      <c r="D13" s="13" t="s">
        <v>248</v>
      </c>
    </row>
    <row r="14" spans="1:4" s="13" customFormat="1" ht="12.75">
      <c r="A14" s="238" t="s">
        <v>245</v>
      </c>
      <c r="B14" s="233" t="s">
        <v>239</v>
      </c>
      <c r="C14" s="234" t="s">
        <v>240</v>
      </c>
      <c r="D14" s="13" t="s">
        <v>248</v>
      </c>
    </row>
    <row r="15" spans="1:4" s="13" customFormat="1" ht="13.5" thickBot="1">
      <c r="A15" s="239" t="s">
        <v>250</v>
      </c>
      <c r="B15" s="235" t="s">
        <v>246</v>
      </c>
      <c r="C15" s="236" t="s">
        <v>247</v>
      </c>
      <c r="D15" s="13" t="s">
        <v>249</v>
      </c>
    </row>
    <row r="16" spans="1:4">
      <c r="B16" s="85"/>
    </row>
  </sheetData>
  <mergeCells count="1">
    <mergeCell ref="B10:C10"/>
  </mergeCells>
  <phoneticPr fontId="5"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J40"/>
  <sheetViews>
    <sheetView workbookViewId="0">
      <selection activeCell="F6" sqref="F6"/>
    </sheetView>
  </sheetViews>
  <sheetFormatPr defaultColWidth="11.42578125" defaultRowHeight="12"/>
  <sheetData>
    <row r="1" spans="1:10" s="11" customFormat="1" ht="18.75">
      <c r="A1" s="34" t="s">
        <v>509</v>
      </c>
      <c r="B1" s="34"/>
      <c r="C1" s="34"/>
      <c r="D1" s="34"/>
      <c r="E1" s="34"/>
      <c r="F1" s="34"/>
      <c r="G1" s="34"/>
      <c r="H1" s="34"/>
      <c r="I1" s="34"/>
      <c r="J1" s="34"/>
    </row>
    <row r="2" spans="1:10" s="13" customFormat="1" ht="12.75">
      <c r="A2" s="13" t="s">
        <v>510</v>
      </c>
    </row>
    <row r="3" spans="1:10" s="13" customFormat="1" ht="12.75">
      <c r="A3" s="13" t="s">
        <v>511</v>
      </c>
    </row>
    <row r="4" spans="1:10" s="13" customFormat="1" ht="12.75"/>
    <row r="5" spans="1:10" s="13" customFormat="1" ht="12.75">
      <c r="A5" s="22" t="s">
        <v>6</v>
      </c>
    </row>
    <row r="6" spans="1:10" s="13" customFormat="1" ht="12.75">
      <c r="A6" s="13" t="s">
        <v>512</v>
      </c>
      <c r="F6" s="141">
        <v>3</v>
      </c>
      <c r="G6" s="13" t="s">
        <v>513</v>
      </c>
    </row>
    <row r="7" spans="1:10" s="13" customFormat="1" ht="12.75">
      <c r="A7" s="13" t="s">
        <v>514</v>
      </c>
      <c r="F7" s="38">
        <f>'Traiing 12 month'!E3</f>
        <v>1178</v>
      </c>
      <c r="G7" s="13" t="s">
        <v>515</v>
      </c>
    </row>
    <row r="8" spans="1:10" s="13" customFormat="1" ht="12.75">
      <c r="A8" s="13" t="s">
        <v>516</v>
      </c>
    </row>
    <row r="9" spans="1:10" s="13" customFormat="1" ht="12.75">
      <c r="A9" s="13" t="s">
        <v>517</v>
      </c>
    </row>
    <row r="10" spans="1:10" s="201" customFormat="1" ht="12.75">
      <c r="A10" s="199" t="s">
        <v>209</v>
      </c>
      <c r="B10" s="199" t="s">
        <v>518</v>
      </c>
      <c r="C10" s="200"/>
      <c r="D10" s="200"/>
      <c r="E10" s="200"/>
      <c r="F10" s="200"/>
      <c r="G10" s="200"/>
      <c r="H10" s="200"/>
      <c r="I10" s="200"/>
    </row>
    <row r="11" spans="1:10" s="201" customFormat="1" ht="12.75">
      <c r="A11" s="202">
        <v>-1</v>
      </c>
      <c r="B11" s="203">
        <v>1399</v>
      </c>
      <c r="C11" s="200" t="s">
        <v>519</v>
      </c>
      <c r="D11" s="200"/>
      <c r="E11" s="200"/>
      <c r="F11" s="200"/>
      <c r="G11" s="200"/>
      <c r="H11" s="200"/>
      <c r="I11" s="200"/>
    </row>
    <row r="12" spans="1:10" s="201" customFormat="1" ht="12.75">
      <c r="A12" s="202">
        <f>IF((0-A11)&lt;$F$6,IF(A11&gt;-1,,A11-1),)</f>
        <v>-2</v>
      </c>
      <c r="B12" s="203">
        <v>388</v>
      </c>
      <c r="C12" s="200" t="s">
        <v>520</v>
      </c>
      <c r="D12" s="200"/>
      <c r="E12" s="200"/>
      <c r="F12" s="200"/>
      <c r="G12" s="200"/>
      <c r="H12" s="200"/>
      <c r="I12" s="200"/>
    </row>
    <row r="13" spans="1:10" s="201" customFormat="1" ht="12.75">
      <c r="A13" s="202">
        <f t="shared" ref="A13:A20" si="0">IF((0-A12)&lt;$F$6,IF(A12&gt;-1,,A12-1),)</f>
        <v>-3</v>
      </c>
      <c r="B13" s="203">
        <v>144</v>
      </c>
      <c r="C13" s="200"/>
      <c r="D13" s="200"/>
      <c r="E13" s="200"/>
      <c r="F13" s="200"/>
      <c r="G13" s="200"/>
      <c r="H13" s="200"/>
      <c r="I13" s="200"/>
    </row>
    <row r="14" spans="1:10" s="201" customFormat="1" ht="12.75">
      <c r="A14" s="202">
        <f t="shared" si="0"/>
        <v>0</v>
      </c>
      <c r="B14" s="203"/>
      <c r="C14" s="200"/>
      <c r="D14" s="200"/>
      <c r="E14" s="200"/>
      <c r="F14" s="200"/>
      <c r="G14" s="200"/>
      <c r="H14" s="200"/>
      <c r="I14" s="200"/>
    </row>
    <row r="15" spans="1:10" s="201" customFormat="1" ht="12.75">
      <c r="A15" s="202">
        <f t="shared" si="0"/>
        <v>0</v>
      </c>
      <c r="B15" s="203"/>
      <c r="C15" s="200"/>
      <c r="D15" s="200"/>
      <c r="E15" s="200"/>
      <c r="F15" s="200"/>
      <c r="G15" s="200"/>
      <c r="H15" s="200"/>
      <c r="I15" s="200"/>
    </row>
    <row r="16" spans="1:10" s="201" customFormat="1" ht="12.75">
      <c r="A16" s="202">
        <f t="shared" si="0"/>
        <v>0</v>
      </c>
      <c r="B16" s="203"/>
      <c r="C16" s="200"/>
      <c r="D16" s="200"/>
      <c r="E16" s="200"/>
      <c r="F16" s="200"/>
      <c r="G16" s="200"/>
      <c r="H16" s="200"/>
      <c r="I16" s="200"/>
    </row>
    <row r="17" spans="1:9" s="201" customFormat="1" ht="12.75">
      <c r="A17" s="202">
        <f t="shared" si="0"/>
        <v>0</v>
      </c>
      <c r="B17" s="203"/>
      <c r="C17" s="200"/>
      <c r="D17" s="200"/>
      <c r="E17" s="200"/>
      <c r="F17" s="200"/>
      <c r="G17" s="200"/>
      <c r="H17" s="200"/>
      <c r="I17" s="200"/>
    </row>
    <row r="18" spans="1:9" s="201" customFormat="1" ht="12.75">
      <c r="A18" s="202">
        <f t="shared" si="0"/>
        <v>0</v>
      </c>
      <c r="B18" s="203"/>
      <c r="C18" s="200"/>
      <c r="D18" s="200"/>
      <c r="E18" s="200"/>
      <c r="F18" s="200"/>
      <c r="G18" s="200"/>
      <c r="H18" s="200"/>
      <c r="I18" s="200"/>
    </row>
    <row r="19" spans="1:9" s="201" customFormat="1" ht="12.75">
      <c r="A19" s="202">
        <f t="shared" si="0"/>
        <v>0</v>
      </c>
      <c r="B19" s="203"/>
      <c r="C19" s="200"/>
      <c r="D19" s="200"/>
      <c r="E19" s="200"/>
      <c r="F19" s="200"/>
      <c r="G19" s="200"/>
      <c r="H19" s="200"/>
      <c r="I19" s="200"/>
    </row>
    <row r="20" spans="1:9" s="201" customFormat="1" ht="12.75">
      <c r="A20" s="202">
        <f t="shared" si="0"/>
        <v>0</v>
      </c>
      <c r="B20" s="203"/>
      <c r="C20" s="200"/>
      <c r="D20" s="200"/>
      <c r="E20" s="200"/>
      <c r="F20" s="200"/>
      <c r="G20" s="200"/>
      <c r="H20" s="200"/>
      <c r="I20" s="200"/>
    </row>
    <row r="21" spans="1:9" s="201" customFormat="1" ht="12.75">
      <c r="A21" s="200"/>
      <c r="B21" s="200"/>
      <c r="C21" s="200"/>
      <c r="D21" s="200"/>
      <c r="E21" s="200"/>
      <c r="F21" s="200"/>
      <c r="G21" s="200"/>
      <c r="H21" s="200"/>
      <c r="I21" s="200"/>
    </row>
    <row r="22" spans="1:9" s="201" customFormat="1" ht="12.75">
      <c r="A22" s="204" t="s">
        <v>213</v>
      </c>
      <c r="B22" s="200"/>
      <c r="C22" s="200"/>
      <c r="D22" s="200"/>
      <c r="E22" s="200"/>
      <c r="F22" s="200"/>
      <c r="G22" s="200"/>
      <c r="H22" s="200"/>
      <c r="I22" s="200"/>
    </row>
    <row r="23" spans="1:9" s="201" customFormat="1" ht="12.75">
      <c r="A23" s="199" t="s">
        <v>209</v>
      </c>
      <c r="B23" s="199" t="s">
        <v>521</v>
      </c>
      <c r="C23" s="205" t="s">
        <v>522</v>
      </c>
      <c r="D23" s="206"/>
      <c r="E23" s="200" t="s">
        <v>523</v>
      </c>
      <c r="F23" s="200"/>
      <c r="G23" s="200"/>
      <c r="H23" s="200"/>
      <c r="I23" s="200"/>
    </row>
    <row r="24" spans="1:9" s="201" customFormat="1" ht="12.75">
      <c r="A24" s="199" t="s">
        <v>524</v>
      </c>
      <c r="B24" s="199">
        <f>F7</f>
        <v>1178</v>
      </c>
      <c r="C24" s="199">
        <f>1</f>
        <v>1</v>
      </c>
      <c r="D24" s="199">
        <f>B24*C24</f>
        <v>1178</v>
      </c>
      <c r="E24" s="200"/>
      <c r="F24" s="200"/>
      <c r="G24" s="200"/>
      <c r="H24" s="200"/>
      <c r="I24" s="200"/>
    </row>
    <row r="25" spans="1:9" s="201" customFormat="1" ht="12.75">
      <c r="A25" s="202">
        <f>A11</f>
        <v>-1</v>
      </c>
      <c r="B25" s="199">
        <f>B11</f>
        <v>1399</v>
      </c>
      <c r="C25" s="199">
        <f>IF(A25&lt;0,($F$6+A25)/$F$6,0)</f>
        <v>0.66666666666666663</v>
      </c>
      <c r="D25" s="199">
        <f>B25*C25</f>
        <v>932.66666666666663</v>
      </c>
      <c r="E25" s="207">
        <f t="shared" ref="E25:E34" si="1">IF(A25&lt;0,B25/$F$6,0)</f>
        <v>466.33333333333331</v>
      </c>
      <c r="F25" s="200"/>
      <c r="G25" s="200"/>
      <c r="H25" s="200"/>
      <c r="I25" s="200"/>
    </row>
    <row r="26" spans="1:9" s="201" customFormat="1" ht="12.75">
      <c r="A26" s="202">
        <f t="shared" ref="A26:B34" si="2">A12</f>
        <v>-2</v>
      </c>
      <c r="B26" s="199">
        <f t="shared" si="2"/>
        <v>388</v>
      </c>
      <c r="C26" s="199">
        <f>IF(A26&lt;0,($F$6+A26)/$F$6,0)</f>
        <v>0.33333333333333331</v>
      </c>
      <c r="D26" s="199">
        <f t="shared" ref="D26:D34" si="3">B26*C26</f>
        <v>129.33333333333331</v>
      </c>
      <c r="E26" s="207">
        <f t="shared" si="1"/>
        <v>129.33333333333334</v>
      </c>
      <c r="F26" s="200"/>
      <c r="G26" s="200"/>
      <c r="H26" s="200"/>
      <c r="I26" s="200"/>
    </row>
    <row r="27" spans="1:9" s="201" customFormat="1" ht="12.75">
      <c r="A27" s="202">
        <f t="shared" si="2"/>
        <v>-3</v>
      </c>
      <c r="B27" s="199">
        <f t="shared" si="2"/>
        <v>144</v>
      </c>
      <c r="C27" s="199">
        <f>IF(A27&lt;0,($F$6+A27)/$F$6,0)</f>
        <v>0</v>
      </c>
      <c r="D27" s="199">
        <f t="shared" si="3"/>
        <v>0</v>
      </c>
      <c r="E27" s="207">
        <f t="shared" si="1"/>
        <v>48</v>
      </c>
      <c r="F27" s="200"/>
      <c r="G27" s="200"/>
      <c r="H27" s="200"/>
      <c r="I27" s="200"/>
    </row>
    <row r="28" spans="1:9" s="201" customFormat="1" ht="12.75">
      <c r="A28" s="202">
        <f t="shared" si="2"/>
        <v>0</v>
      </c>
      <c r="B28" s="199">
        <f t="shared" si="2"/>
        <v>0</v>
      </c>
      <c r="C28" s="199">
        <f t="shared" ref="C28:C34" si="4">IF(A28&lt;0,($F$6+A28)/$F$6,0)</f>
        <v>0</v>
      </c>
      <c r="D28" s="199">
        <f t="shared" si="3"/>
        <v>0</v>
      </c>
      <c r="E28" s="207">
        <f t="shared" si="1"/>
        <v>0</v>
      </c>
      <c r="F28" s="200"/>
      <c r="G28" s="200"/>
      <c r="H28" s="200"/>
      <c r="I28" s="200"/>
    </row>
    <row r="29" spans="1:9" s="201" customFormat="1" ht="12.75">
      <c r="A29" s="202">
        <f t="shared" si="2"/>
        <v>0</v>
      </c>
      <c r="B29" s="199">
        <f t="shared" si="2"/>
        <v>0</v>
      </c>
      <c r="C29" s="199">
        <f t="shared" si="4"/>
        <v>0</v>
      </c>
      <c r="D29" s="199">
        <f t="shared" si="3"/>
        <v>0</v>
      </c>
      <c r="E29" s="207">
        <f t="shared" si="1"/>
        <v>0</v>
      </c>
      <c r="F29" s="200"/>
      <c r="G29" s="200"/>
      <c r="H29" s="200"/>
      <c r="I29" s="200"/>
    </row>
    <row r="30" spans="1:9" s="201" customFormat="1" ht="12.75">
      <c r="A30" s="202">
        <f t="shared" si="2"/>
        <v>0</v>
      </c>
      <c r="B30" s="199">
        <f t="shared" si="2"/>
        <v>0</v>
      </c>
      <c r="C30" s="199">
        <f t="shared" si="4"/>
        <v>0</v>
      </c>
      <c r="D30" s="199">
        <f t="shared" si="3"/>
        <v>0</v>
      </c>
      <c r="E30" s="207">
        <f t="shared" si="1"/>
        <v>0</v>
      </c>
      <c r="F30" s="200"/>
      <c r="G30" s="200"/>
      <c r="H30" s="200"/>
      <c r="I30" s="200"/>
    </row>
    <row r="31" spans="1:9" s="201" customFormat="1" ht="12.75">
      <c r="A31" s="202">
        <f t="shared" si="2"/>
        <v>0</v>
      </c>
      <c r="B31" s="199">
        <f t="shared" si="2"/>
        <v>0</v>
      </c>
      <c r="C31" s="199">
        <f t="shared" si="4"/>
        <v>0</v>
      </c>
      <c r="D31" s="199">
        <f t="shared" si="3"/>
        <v>0</v>
      </c>
      <c r="E31" s="207">
        <f t="shared" si="1"/>
        <v>0</v>
      </c>
      <c r="F31" s="200"/>
      <c r="G31" s="200"/>
      <c r="H31" s="200"/>
      <c r="I31" s="200"/>
    </row>
    <row r="32" spans="1:9" s="201" customFormat="1" ht="12.75">
      <c r="A32" s="202">
        <f t="shared" si="2"/>
        <v>0</v>
      </c>
      <c r="B32" s="199">
        <f t="shared" si="2"/>
        <v>0</v>
      </c>
      <c r="C32" s="199">
        <f t="shared" si="4"/>
        <v>0</v>
      </c>
      <c r="D32" s="199">
        <f t="shared" si="3"/>
        <v>0</v>
      </c>
      <c r="E32" s="207">
        <f t="shared" si="1"/>
        <v>0</v>
      </c>
      <c r="F32" s="200"/>
      <c r="G32" s="200"/>
      <c r="H32" s="200"/>
      <c r="I32" s="200"/>
    </row>
    <row r="33" spans="1:9" s="201" customFormat="1" ht="12.75">
      <c r="A33" s="202">
        <f t="shared" si="2"/>
        <v>0</v>
      </c>
      <c r="B33" s="199">
        <f t="shared" si="2"/>
        <v>0</v>
      </c>
      <c r="C33" s="199">
        <f t="shared" si="4"/>
        <v>0</v>
      </c>
      <c r="D33" s="199">
        <f t="shared" si="3"/>
        <v>0</v>
      </c>
      <c r="E33" s="207">
        <f t="shared" si="1"/>
        <v>0</v>
      </c>
      <c r="F33" s="200"/>
      <c r="G33" s="200"/>
      <c r="H33" s="200"/>
      <c r="I33" s="200"/>
    </row>
    <row r="34" spans="1:9" s="201" customFormat="1" ht="15.95" customHeight="1" thickBot="1">
      <c r="A34" s="202">
        <f t="shared" si="2"/>
        <v>0</v>
      </c>
      <c r="B34" s="199">
        <f t="shared" si="2"/>
        <v>0</v>
      </c>
      <c r="C34" s="199">
        <f t="shared" si="4"/>
        <v>0</v>
      </c>
      <c r="D34" s="208">
        <f t="shared" si="3"/>
        <v>0</v>
      </c>
      <c r="E34" s="209">
        <f t="shared" si="1"/>
        <v>0</v>
      </c>
      <c r="F34" s="200"/>
      <c r="G34" s="200"/>
      <c r="H34" s="200"/>
      <c r="I34" s="200"/>
    </row>
    <row r="35" spans="1:9" s="13" customFormat="1" ht="13.5" thickBot="1">
      <c r="A35" s="13" t="s">
        <v>525</v>
      </c>
      <c r="D35" s="210">
        <f>SUM(D24:D34)</f>
        <v>2240</v>
      </c>
      <c r="E35" s="30">
        <f>SUM(E25:E34)</f>
        <v>643.66666666666663</v>
      </c>
    </row>
    <row r="36" spans="1:9" ht="12.75" thickBot="1"/>
    <row r="37" spans="1:9" s="13" customFormat="1" ht="13.5" thickBot="1">
      <c r="A37" s="13" t="s">
        <v>526</v>
      </c>
      <c r="D37" s="210">
        <f>E35</f>
        <v>643.66666666666663</v>
      </c>
    </row>
    <row r="38" spans="1:9" s="13" customFormat="1" ht="13.5" thickBot="1"/>
    <row r="39" spans="1:9" s="13" customFormat="1" ht="12.75">
      <c r="A39" s="13" t="s">
        <v>527</v>
      </c>
      <c r="D39" s="211">
        <f>F7-D37</f>
        <v>534.33333333333337</v>
      </c>
      <c r="E39" s="13" t="s">
        <v>528</v>
      </c>
    </row>
    <row r="40" spans="1:9" ht="12.75">
      <c r="A40" t="s">
        <v>529</v>
      </c>
      <c r="D40" s="212">
        <f>D39*'Input sheet'!B21</f>
        <v>213.73333333333335</v>
      </c>
      <c r="E40" s="13"/>
    </row>
  </sheetData>
  <conditionalFormatting sqref="B11:B20">
    <cfRule type="cellIs" dxfId="0" priority="1" stopIfTrue="1" operator="equal">
      <formula>0</formula>
    </cfRule>
  </conditionalFormatting>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dimension ref="A1:K34"/>
  <sheetViews>
    <sheetView zoomScale="125" zoomScaleNormal="125" workbookViewId="0">
      <selection activeCell="A36" sqref="A36"/>
    </sheetView>
  </sheetViews>
  <sheetFormatPr defaultColWidth="11.42578125" defaultRowHeight="12"/>
  <sheetData>
    <row r="1" spans="1:11" s="11" customFormat="1" ht="18.75">
      <c r="A1" s="34" t="s">
        <v>206</v>
      </c>
      <c r="B1" s="34"/>
      <c r="C1" s="34"/>
      <c r="D1" s="34"/>
      <c r="E1" s="34"/>
      <c r="F1" s="34"/>
      <c r="G1" s="34"/>
      <c r="H1" s="34"/>
      <c r="I1" s="34"/>
      <c r="J1" s="34"/>
      <c r="K1" s="34"/>
    </row>
    <row r="2" spans="1:11" s="11" customFormat="1" ht="18.75">
      <c r="A2" s="34" t="s">
        <v>251</v>
      </c>
      <c r="B2" s="34"/>
      <c r="C2" s="34"/>
      <c r="D2" s="34"/>
      <c r="E2" s="34"/>
      <c r="F2" s="34"/>
      <c r="G2" s="34"/>
      <c r="H2" s="34"/>
      <c r="I2" s="34"/>
      <c r="J2" s="34"/>
      <c r="K2" s="34"/>
    </row>
    <row r="3" spans="1:11" s="22" customFormat="1" ht="12.75">
      <c r="A3" s="22" t="s">
        <v>6</v>
      </c>
    </row>
    <row r="4" spans="1:11" s="13" customFormat="1" ht="12.75">
      <c r="A4" s="13" t="s">
        <v>207</v>
      </c>
      <c r="E4" s="38">
        <v>380</v>
      </c>
    </row>
    <row r="5" spans="1:11" s="20" customFormat="1" ht="12.75">
      <c r="A5" s="20" t="s">
        <v>208</v>
      </c>
    </row>
    <row r="6" spans="1:11" s="13" customFormat="1" ht="12.75">
      <c r="A6" s="35" t="s">
        <v>209</v>
      </c>
      <c r="B6" s="35" t="s">
        <v>210</v>
      </c>
      <c r="C6" s="13" t="s">
        <v>211</v>
      </c>
    </row>
    <row r="7" spans="1:11" s="13" customFormat="1" ht="12.75">
      <c r="A7" s="35">
        <v>1</v>
      </c>
      <c r="B7" s="198">
        <v>56</v>
      </c>
    </row>
    <row r="8" spans="1:11" s="13" customFormat="1" ht="12.75">
      <c r="A8" s="35">
        <v>2</v>
      </c>
      <c r="B8" s="198">
        <v>47</v>
      </c>
    </row>
    <row r="9" spans="1:11" s="13" customFormat="1" ht="12.75">
      <c r="A9" s="35">
        <v>3</v>
      </c>
      <c r="B9" s="198">
        <v>39</v>
      </c>
    </row>
    <row r="10" spans="1:11" s="13" customFormat="1" ht="12.75">
      <c r="A10" s="35">
        <v>4</v>
      </c>
      <c r="B10" s="198">
        <v>35</v>
      </c>
    </row>
    <row r="11" spans="1:11" s="13" customFormat="1" ht="12.75">
      <c r="A11" s="35">
        <v>5</v>
      </c>
      <c r="B11" s="198">
        <v>31</v>
      </c>
    </row>
    <row r="12" spans="1:11" s="13" customFormat="1" ht="12.75">
      <c r="A12" s="35" t="s">
        <v>212</v>
      </c>
      <c r="B12" s="198">
        <v>93</v>
      </c>
    </row>
    <row r="13" spans="1:11" s="13" customFormat="1" ht="12.75"/>
    <row r="14" spans="1:11" s="36" customFormat="1" ht="16.5" thickBot="1">
      <c r="A14" s="36" t="s">
        <v>213</v>
      </c>
    </row>
    <row r="15" spans="1:11" s="13" customFormat="1" ht="13.5" thickBot="1">
      <c r="A15" s="13" t="s">
        <v>214</v>
      </c>
      <c r="C15" s="86">
        <f>'Cost of capital worksheet'!B23</f>
        <v>2.9000000000000001E-2</v>
      </c>
      <c r="D15" s="13" t="s">
        <v>334</v>
      </c>
    </row>
    <row r="16" spans="1:11" s="13" customFormat="1" ht="12.75"/>
    <row r="17" spans="1:7" s="13" customFormat="1" ht="12.75">
      <c r="D17" s="39"/>
    </row>
    <row r="18" spans="1:7" s="13" customFormat="1" ht="12.75">
      <c r="A18" s="13" t="s">
        <v>215</v>
      </c>
      <c r="D18" s="40">
        <f>IF(B12&gt;0,ROUND(B12/AVERAGE(B7:B11),0),0)</f>
        <v>2</v>
      </c>
      <c r="E18" s="13" t="s">
        <v>216</v>
      </c>
    </row>
    <row r="19" spans="1:7" s="22" customFormat="1" ht="12.75">
      <c r="E19" s="13" t="s">
        <v>217</v>
      </c>
    </row>
    <row r="20" spans="1:7" s="20" customFormat="1" ht="12.75">
      <c r="A20" s="20" t="s">
        <v>218</v>
      </c>
    </row>
    <row r="21" spans="1:7" s="13" customFormat="1" ht="12.75">
      <c r="A21" s="35" t="s">
        <v>209</v>
      </c>
      <c r="B21" s="35" t="s">
        <v>210</v>
      </c>
      <c r="C21" s="35" t="s">
        <v>219</v>
      </c>
    </row>
    <row r="22" spans="1:7" s="13" customFormat="1" ht="12.75">
      <c r="A22" s="24">
        <f>A7</f>
        <v>1</v>
      </c>
      <c r="B22" s="33">
        <f>B7</f>
        <v>56</v>
      </c>
      <c r="C22" s="14">
        <f>B22/(1+$C$15)^A22</f>
        <v>54.421768707482997</v>
      </c>
    </row>
    <row r="23" spans="1:7" s="13" customFormat="1" ht="12.75">
      <c r="A23" s="24">
        <f t="shared" ref="A23:B26" si="0">A8</f>
        <v>2</v>
      </c>
      <c r="B23" s="33">
        <f t="shared" si="0"/>
        <v>47</v>
      </c>
      <c r="C23" s="14">
        <f>B23/(1+$C$15)^A23</f>
        <v>44.388156484306904</v>
      </c>
    </row>
    <row r="24" spans="1:7" s="13" customFormat="1" ht="12.75">
      <c r="A24" s="24">
        <f t="shared" si="0"/>
        <v>3</v>
      </c>
      <c r="B24" s="33">
        <f t="shared" si="0"/>
        <v>39</v>
      </c>
      <c r="C24" s="14">
        <f>B24/(1+$C$15)^A24</f>
        <v>35.794679876930076</v>
      </c>
    </row>
    <row r="25" spans="1:7" s="13" customFormat="1" ht="12.75">
      <c r="A25" s="24">
        <f t="shared" si="0"/>
        <v>4</v>
      </c>
      <c r="B25" s="33">
        <f t="shared" si="0"/>
        <v>35</v>
      </c>
      <c r="C25" s="14">
        <f>B25/(1+$C$15)^A25</f>
        <v>31.218105596485326</v>
      </c>
    </row>
    <row r="26" spans="1:7" s="13" customFormat="1" ht="12.75">
      <c r="A26" s="24">
        <f t="shared" si="0"/>
        <v>5</v>
      </c>
      <c r="B26" s="33">
        <f t="shared" si="0"/>
        <v>31</v>
      </c>
      <c r="C26" s="14">
        <f>B26/(1+$C$15)^A26</f>
        <v>26.871061321422886</v>
      </c>
    </row>
    <row r="27" spans="1:7" s="13" customFormat="1" ht="13.5" thickBot="1">
      <c r="A27" s="41" t="str">
        <f>A12</f>
        <v>6 and beyond</v>
      </c>
      <c r="B27" s="42">
        <f>IF(B12&gt;0,IF(D18&gt;0,B12/D18,B12),0)</f>
        <v>46.5</v>
      </c>
      <c r="C27" s="43">
        <f>IF(D18&gt;0,(B27*(1-(1+C15)^(-D18))/C15)/(1+$C$15)^5,B27/(1+C15)^6)</f>
        <v>77.237352097010316</v>
      </c>
      <c r="D27" s="13" t="s">
        <v>220</v>
      </c>
    </row>
    <row r="28" spans="1:7" s="13" customFormat="1" ht="13.5" thickBot="1">
      <c r="A28" s="37" t="s">
        <v>221</v>
      </c>
      <c r="B28" s="44"/>
      <c r="C28" s="45">
        <f>SUM(C22:C27)</f>
        <v>269.93112408363851</v>
      </c>
    </row>
    <row r="29" spans="1:7" s="13" customFormat="1" ht="12.75"/>
    <row r="30" spans="1:7" s="13" customFormat="1" ht="12.75">
      <c r="A30" s="20" t="s">
        <v>222</v>
      </c>
    </row>
    <row r="31" spans="1:7" s="13" customFormat="1" ht="13.5" thickBot="1">
      <c r="A31" s="13" t="s">
        <v>223</v>
      </c>
      <c r="F31" s="43">
        <f>C28/(5+D18)</f>
        <v>38.561589154805503</v>
      </c>
      <c r="G31" s="13" t="s">
        <v>224</v>
      </c>
    </row>
    <row r="32" spans="1:7" s="13" customFormat="1" ht="13.5" thickBot="1">
      <c r="A32" s="13" t="s">
        <v>225</v>
      </c>
      <c r="F32" s="87">
        <f>E4-F31</f>
        <v>341.43841084519448</v>
      </c>
      <c r="G32" s="13" t="s">
        <v>227</v>
      </c>
    </row>
    <row r="33" spans="1:7" s="13" customFormat="1" ht="13.5" thickBot="1">
      <c r="A33" s="13" t="s">
        <v>226</v>
      </c>
      <c r="F33" s="46">
        <f>C28</f>
        <v>269.93112408363851</v>
      </c>
      <c r="G33" s="13" t="s">
        <v>228</v>
      </c>
    </row>
    <row r="34" spans="1:7" ht="12.75">
      <c r="A34" s="13" t="s">
        <v>644</v>
      </c>
      <c r="F34" s="276">
        <f>C28/(5+D18)</f>
        <v>38.561589154805503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dimension ref="A1:L59"/>
  <sheetViews>
    <sheetView topLeftCell="A25" workbookViewId="0">
      <selection activeCell="C43" sqref="C43"/>
    </sheetView>
  </sheetViews>
  <sheetFormatPr defaultColWidth="11.42578125" defaultRowHeight="12"/>
  <cols>
    <col min="1" max="1" width="40.140625" bestFit="1" customWidth="1"/>
    <col min="2" max="2" width="17.28515625" bestFit="1" customWidth="1"/>
    <col min="8" max="8" width="19.42578125" bestFit="1" customWidth="1"/>
    <col min="12" max="12" width="18.140625" bestFit="1" customWidth="1"/>
  </cols>
  <sheetData>
    <row r="1" spans="1:12" s="121" customFormat="1" ht="19.5">
      <c r="A1" s="121" t="s">
        <v>280</v>
      </c>
      <c r="B1" s="257"/>
      <c r="C1" s="253"/>
      <c r="H1" s="138" t="s">
        <v>560</v>
      </c>
    </row>
    <row r="2" spans="1:12" s="19" customFormat="1" ht="15" customHeight="1">
      <c r="A2" s="19" t="s">
        <v>6</v>
      </c>
      <c r="B2" s="258"/>
      <c r="C2" s="253"/>
      <c r="H2" s="177" t="s">
        <v>456</v>
      </c>
      <c r="I2" s="177" t="s">
        <v>11</v>
      </c>
      <c r="J2" s="177" t="s">
        <v>484</v>
      </c>
      <c r="K2" s="177" t="s">
        <v>486</v>
      </c>
      <c r="L2" s="177" t="s">
        <v>485</v>
      </c>
    </row>
    <row r="3" spans="1:12" s="13" customFormat="1" ht="15" customHeight="1">
      <c r="A3" s="122" t="s">
        <v>281</v>
      </c>
      <c r="B3" s="123"/>
      <c r="H3" s="175" t="s">
        <v>349</v>
      </c>
      <c r="I3" s="175">
        <v>19</v>
      </c>
      <c r="J3" s="132">
        <f>IF(I3=0,0,VLOOKUP(H3,'Country equity risk premiums'!$A$1:$E$140,4))</f>
        <v>0.14750000000000002</v>
      </c>
      <c r="K3" s="132">
        <f>IF(I3&gt;0,I3/$I$14,)</f>
        <v>0.10106382978723404</v>
      </c>
      <c r="L3" s="132">
        <f t="shared" ref="L3:L11" si="0">IF(K3=0,0,J3*K3)</f>
        <v>1.4906914893617023E-2</v>
      </c>
    </row>
    <row r="4" spans="1:12" s="13" customFormat="1" ht="15" customHeight="1">
      <c r="A4" s="123" t="s">
        <v>282</v>
      </c>
      <c r="B4" s="129">
        <f>'Input sheet'!B18</f>
        <v>5284</v>
      </c>
      <c r="H4" s="245" t="s">
        <v>361</v>
      </c>
      <c r="I4" s="175">
        <v>4</v>
      </c>
      <c r="J4" s="132">
        <f>IF(I4=0,0,VLOOKUP(H4,'Country equity risk premiums'!$A$1:$E$140,4))</f>
        <v>0.104</v>
      </c>
      <c r="K4" s="132">
        <f t="shared" ref="K4:K13" si="1">IF(I4&gt;0,I4/$I$14,)</f>
        <v>2.1276595744680851E-2</v>
      </c>
      <c r="L4" s="132">
        <f t="shared" si="0"/>
        <v>2.2127659574468083E-3</v>
      </c>
    </row>
    <row r="5" spans="1:12" s="13" customFormat="1" ht="15" customHeight="1">
      <c r="A5" s="123" t="s">
        <v>283</v>
      </c>
      <c r="B5" s="130">
        <f>'Input sheet'!B19</f>
        <v>16.5</v>
      </c>
      <c r="H5" s="245" t="s">
        <v>613</v>
      </c>
      <c r="I5" s="175">
        <v>130</v>
      </c>
      <c r="J5" s="132">
        <f>IF(I5=0,0,VLOOKUP(H5,'Country equity risk premiums'!$A$1:$E$140,4))</f>
        <v>0.13250000000000001</v>
      </c>
      <c r="K5" s="132">
        <f t="shared" si="1"/>
        <v>0.69148936170212771</v>
      </c>
      <c r="L5" s="132">
        <f t="shared" si="0"/>
        <v>9.1622340425531926E-2</v>
      </c>
    </row>
    <row r="6" spans="1:12" s="13" customFormat="1" ht="15" customHeight="1">
      <c r="B6" s="125"/>
      <c r="H6" s="245" t="s">
        <v>370</v>
      </c>
      <c r="I6" s="175">
        <v>23</v>
      </c>
      <c r="J6" s="132">
        <f>IF(I6=0,0,VLOOKUP(H6,'Country equity risk premiums'!$A$1:$E$140,4))</f>
        <v>5.9000000000000004E-2</v>
      </c>
      <c r="K6" s="132">
        <f t="shared" si="1"/>
        <v>0.12234042553191489</v>
      </c>
      <c r="L6" s="132">
        <f t="shared" si="0"/>
        <v>7.2180851063829788E-3</v>
      </c>
    </row>
    <row r="7" spans="1:12" s="13" customFormat="1" ht="15" customHeight="1">
      <c r="A7" s="13" t="s">
        <v>586</v>
      </c>
      <c r="B7" s="245" t="s">
        <v>592</v>
      </c>
      <c r="H7" s="245" t="s">
        <v>372</v>
      </c>
      <c r="I7" s="189">
        <v>5</v>
      </c>
      <c r="J7" s="132">
        <f>IF(I7=0,0,VLOOKUP(H7,'Country equity risk premiums'!$A$1:$E$140,4))</f>
        <v>8.3000000000000004E-2</v>
      </c>
      <c r="K7" s="132">
        <f t="shared" si="1"/>
        <v>2.6595744680851064E-2</v>
      </c>
      <c r="L7" s="132">
        <f t="shared" si="0"/>
        <v>2.2074468085106383E-3</v>
      </c>
    </row>
    <row r="8" spans="1:12" s="13" customFormat="1" ht="15" customHeight="1">
      <c r="A8" s="13" t="s">
        <v>588</v>
      </c>
      <c r="B8" s="254">
        <v>1</v>
      </c>
      <c r="H8" s="245" t="s">
        <v>453</v>
      </c>
      <c r="I8" s="175">
        <v>7</v>
      </c>
      <c r="J8" s="132">
        <f>IF(I8=0,0,VLOOKUP(H8,'Country equity risk premiums'!$A$1:$E$140,4))</f>
        <v>0.13250000000000001</v>
      </c>
      <c r="K8" s="132">
        <f t="shared" si="1"/>
        <v>3.7234042553191488E-2</v>
      </c>
      <c r="L8" s="132">
        <f t="shared" si="0"/>
        <v>4.9335106382978723E-3</v>
      </c>
    </row>
    <row r="9" spans="1:12" s="13" customFormat="1" ht="15" customHeight="1">
      <c r="A9" s="13" t="s">
        <v>308</v>
      </c>
      <c r="B9" s="181">
        <v>1</v>
      </c>
      <c r="H9" s="245"/>
      <c r="I9" s="175"/>
      <c r="J9" s="132">
        <f>IF(I9=0,0,VLOOKUP(H9,'Country equity risk premiums'!$A$1:$E$140,4))</f>
        <v>0</v>
      </c>
      <c r="K9" s="132">
        <f t="shared" si="1"/>
        <v>0</v>
      </c>
      <c r="L9" s="132">
        <f t="shared" si="0"/>
        <v>0</v>
      </c>
    </row>
    <row r="10" spans="1:12" s="13" customFormat="1" ht="15" customHeight="1">
      <c r="A10" s="13" t="s">
        <v>284</v>
      </c>
      <c r="B10" s="134">
        <f>'Input sheet'!B27</f>
        <v>2.5000000000000001E-2</v>
      </c>
      <c r="H10" s="245"/>
      <c r="I10" s="175"/>
      <c r="J10" s="132">
        <f>IF(I10=0,0,VLOOKUP(H10,'Country equity risk premiums'!$A$1:$E$140,4))</f>
        <v>0</v>
      </c>
      <c r="K10" s="132">
        <f t="shared" si="1"/>
        <v>0</v>
      </c>
      <c r="L10" s="132">
        <f t="shared" si="0"/>
        <v>0</v>
      </c>
    </row>
    <row r="11" spans="1:12" s="13" customFormat="1" ht="15" customHeight="1">
      <c r="A11" s="13" t="s">
        <v>552</v>
      </c>
      <c r="B11" s="246" t="s">
        <v>556</v>
      </c>
      <c r="H11" s="245"/>
      <c r="I11" s="175"/>
      <c r="J11" s="132">
        <f>IF(I11=0,0,VLOOKUP(H11,'Country equity risk premiums'!$A$1:$E$140,4))</f>
        <v>0</v>
      </c>
      <c r="K11" s="132">
        <f t="shared" si="1"/>
        <v>0</v>
      </c>
      <c r="L11" s="132">
        <f t="shared" si="0"/>
        <v>0</v>
      </c>
    </row>
    <row r="12" spans="1:12" s="13" customFormat="1" ht="15" customHeight="1">
      <c r="A12" s="13" t="s">
        <v>558</v>
      </c>
      <c r="B12" s="246">
        <v>5.7500000000000002E-2</v>
      </c>
      <c r="H12" s="245"/>
      <c r="I12" s="175"/>
      <c r="J12" s="132">
        <f>IF(I12=0,0,VLOOKUP(H12,'Country equity risk premiums'!$A$1:$E$140,4))</f>
        <v>0</v>
      </c>
      <c r="K12" s="132">
        <f t="shared" si="1"/>
        <v>0</v>
      </c>
      <c r="L12" s="132">
        <f>IF(K12=0,0,J12*K12)</f>
        <v>0</v>
      </c>
    </row>
    <row r="13" spans="1:12" s="13" customFormat="1" ht="15" customHeight="1">
      <c r="A13" s="13" t="s">
        <v>559</v>
      </c>
      <c r="B13" s="248">
        <f>IF(B11="Will Input",B12,IF(B11="Country of Incorporation",VLOOKUP('Input sheet'!B5,'Country equity risk premiums'!A2:D140,4),IF(B11="Operating regions",'Cost of capital worksheet'!L27,'Cost of capital worksheet'!L14)))</f>
        <v>6.3454917930882038E-2</v>
      </c>
      <c r="H13" s="245"/>
      <c r="I13" s="175"/>
      <c r="J13" s="132">
        <f>IF(I13=0,0,VLOOKUP(H13,'Country equity risk premiums'!$A$1:$E$140,4))</f>
        <v>0</v>
      </c>
      <c r="K13" s="132">
        <f t="shared" si="1"/>
        <v>0</v>
      </c>
      <c r="L13" s="132">
        <f>IF(K13=0,0,J13*K13)</f>
        <v>0</v>
      </c>
    </row>
    <row r="14" spans="1:12" s="13" customFormat="1" ht="15" customHeight="1">
      <c r="B14" s="125"/>
      <c r="H14" s="176" t="s">
        <v>487</v>
      </c>
      <c r="I14" s="176">
        <f>SUM(I3:I13)</f>
        <v>188</v>
      </c>
      <c r="J14" s="176"/>
      <c r="K14" s="132">
        <f>SUM(K3:K13)</f>
        <v>1</v>
      </c>
      <c r="L14" s="132">
        <f>SUM(L3:L13)</f>
        <v>0.12310106382978725</v>
      </c>
    </row>
    <row r="15" spans="1:12" s="13" customFormat="1" ht="15" customHeight="1">
      <c r="A15" s="22" t="s">
        <v>285</v>
      </c>
      <c r="B15" s="125"/>
      <c r="H15" s="138" t="s">
        <v>560</v>
      </c>
    </row>
    <row r="16" spans="1:12" s="13" customFormat="1" ht="15" customHeight="1">
      <c r="A16" s="13" t="s">
        <v>286</v>
      </c>
      <c r="B16" s="130">
        <f>'Input sheet'!B12</f>
        <v>0</v>
      </c>
      <c r="H16" s="24" t="s">
        <v>460</v>
      </c>
      <c r="I16" s="24" t="s">
        <v>11</v>
      </c>
      <c r="J16" s="24" t="s">
        <v>484</v>
      </c>
      <c r="K16" s="24" t="s">
        <v>486</v>
      </c>
      <c r="L16" s="24" t="s">
        <v>485</v>
      </c>
    </row>
    <row r="17" spans="1:12" s="13" customFormat="1" ht="15" customHeight="1">
      <c r="A17" s="13" t="s">
        <v>287</v>
      </c>
      <c r="B17" s="130">
        <f>'Input sheet'!B10</f>
        <v>0</v>
      </c>
      <c r="H17" s="24" t="str">
        <f>'Country equity risk premiums'!A143</f>
        <v>Africa</v>
      </c>
      <c r="I17" s="175">
        <v>0</v>
      </c>
      <c r="J17" s="29">
        <f>'Country equity risk premiums'!C143</f>
        <v>0.10039475352432138</v>
      </c>
      <c r="K17" s="132">
        <f>I17/$I$27</f>
        <v>0</v>
      </c>
      <c r="L17" s="178">
        <f>J17*K17</f>
        <v>0</v>
      </c>
    </row>
    <row r="18" spans="1:12" s="13" customFormat="1" ht="15" customHeight="1">
      <c r="A18" s="13" t="s">
        <v>288</v>
      </c>
      <c r="B18" s="124">
        <v>3</v>
      </c>
      <c r="H18" s="24" t="str">
        <f>'Country equity risk premiums'!A144</f>
        <v>Asia</v>
      </c>
      <c r="I18" s="175">
        <v>56</v>
      </c>
      <c r="J18" s="29">
        <f>'Country equity risk premiums'!C144</f>
        <v>6.5053851718984659E-2</v>
      </c>
      <c r="K18" s="132">
        <f t="shared" ref="K18:K27" si="2">I18/$I$27</f>
        <v>4.2136945071482315E-2</v>
      </c>
      <c r="L18" s="178">
        <f t="shared" ref="L18:L25" si="3">J18*K18</f>
        <v>2.741170576571212E-3</v>
      </c>
    </row>
    <row r="19" spans="1:12" s="13" customFormat="1" ht="15" customHeight="1">
      <c r="A19" s="13" t="s">
        <v>565</v>
      </c>
      <c r="B19" s="141" t="s">
        <v>563</v>
      </c>
      <c r="H19" s="24" t="str">
        <f>'Country equity risk premiums'!A145</f>
        <v>Australia &amp; New Zealand</v>
      </c>
      <c r="I19" s="175"/>
      <c r="J19" s="29">
        <f>'Country equity risk premiums'!C145</f>
        <v>5.0048748898635989E-2</v>
      </c>
      <c r="K19" s="132">
        <f t="shared" si="2"/>
        <v>0</v>
      </c>
      <c r="L19" s="178">
        <f t="shared" si="3"/>
        <v>0</v>
      </c>
    </row>
    <row r="20" spans="1:12" s="13" customFormat="1" ht="15" customHeight="1">
      <c r="A20" s="13" t="s">
        <v>567</v>
      </c>
      <c r="B20" s="249">
        <v>3.5000000000000003E-2</v>
      </c>
      <c r="H20" s="24" t="str">
        <f>'Country equity risk premiums'!A146</f>
        <v>Caribbean</v>
      </c>
      <c r="I20" s="175">
        <v>100</v>
      </c>
      <c r="J20" s="29">
        <f>'Country equity risk premiums'!C146</f>
        <v>0.12646501499585222</v>
      </c>
      <c r="K20" s="132">
        <f t="shared" si="2"/>
        <v>7.5244544770504143E-2</v>
      </c>
      <c r="L20" s="178">
        <f t="shared" si="3"/>
        <v>9.5158024827578808E-3</v>
      </c>
    </row>
    <row r="21" spans="1:12" s="13" customFormat="1" ht="15" customHeight="1">
      <c r="A21" s="13" t="s">
        <v>566</v>
      </c>
      <c r="B21" s="141" t="s">
        <v>577</v>
      </c>
      <c r="H21" s="24" t="str">
        <f>'Country equity risk premiums'!A147</f>
        <v>Central and South America</v>
      </c>
      <c r="I21" s="175"/>
      <c r="J21" s="29">
        <f>'Country equity risk premiums'!C147</f>
        <v>8.6227526200864907E-2</v>
      </c>
      <c r="K21" s="132">
        <f t="shared" si="2"/>
        <v>0</v>
      </c>
      <c r="L21" s="178">
        <f t="shared" si="3"/>
        <v>0</v>
      </c>
    </row>
    <row r="22" spans="1:12" s="13" customFormat="1" ht="15" customHeight="1">
      <c r="A22" s="13" t="s">
        <v>583</v>
      </c>
      <c r="B22" s="141">
        <v>1</v>
      </c>
      <c r="H22" s="24" t="str">
        <f>'Country equity risk premiums'!A148</f>
        <v>Eastern Europe &amp; Russia</v>
      </c>
      <c r="I22" s="175"/>
      <c r="J22" s="29">
        <f>'Country equity risk premiums'!C148</f>
        <v>7.9645278372921249E-2</v>
      </c>
      <c r="K22" s="132">
        <f t="shared" si="2"/>
        <v>0</v>
      </c>
      <c r="L22" s="178">
        <f t="shared" si="3"/>
        <v>0</v>
      </c>
    </row>
    <row r="23" spans="1:12" s="13" customFormat="1" ht="15" customHeight="1">
      <c r="A23" s="13" t="s">
        <v>214</v>
      </c>
      <c r="B23" s="248">
        <f>IF(B19="Direct Input",B20,IF(B19="Synthetic Rating",'Synthetic rating'!D13,B10+VLOOKUP('Cost of capital worksheet'!B21,'Synthetic rating'!G39:H53,2)))</f>
        <v>2.9000000000000001E-2</v>
      </c>
      <c r="H23" s="24" t="str">
        <f>'Country equity risk premiums'!A149</f>
        <v>Middle East</v>
      </c>
      <c r="I23" s="175">
        <v>631</v>
      </c>
      <c r="J23" s="29">
        <f>'Country equity risk premiums'!C149</f>
        <v>6.1438938199844653E-2</v>
      </c>
      <c r="K23" s="132">
        <f t="shared" si="2"/>
        <v>0.4747930775018811</v>
      </c>
      <c r="L23" s="178">
        <f t="shared" si="3"/>
        <v>2.9170782546352126E-2</v>
      </c>
    </row>
    <row r="24" spans="1:12" s="13" customFormat="1" ht="15" customHeight="1">
      <c r="A24" s="13" t="s">
        <v>289</v>
      </c>
      <c r="B24" s="251">
        <f>'Input sheet'!B21</f>
        <v>0.4</v>
      </c>
      <c r="H24" s="24" t="str">
        <f>'Country equity risk premiums'!A150</f>
        <v>North America</v>
      </c>
      <c r="I24" s="175">
        <v>374</v>
      </c>
      <c r="J24" s="29">
        <f>'Country equity risk premiums'!C150</f>
        <v>5.000000000000001E-2</v>
      </c>
      <c r="K24" s="132">
        <f t="shared" si="2"/>
        <v>0.28141459744168545</v>
      </c>
      <c r="L24" s="178">
        <f t="shared" si="3"/>
        <v>1.4070729872084275E-2</v>
      </c>
    </row>
    <row r="25" spans="1:12" s="13" customFormat="1" ht="15" customHeight="1">
      <c r="B25" s="125"/>
      <c r="H25" s="24" t="str">
        <f>'Country equity risk premiums'!A151</f>
        <v>Western Europe</v>
      </c>
      <c r="I25" s="175">
        <v>168</v>
      </c>
      <c r="J25" s="29">
        <f>'Country equity risk premiums'!C151</f>
        <v>6.2941063870189759E-2</v>
      </c>
      <c r="K25" s="132">
        <f t="shared" si="2"/>
        <v>0.12641083521444696</v>
      </c>
      <c r="L25" s="178">
        <f t="shared" si="3"/>
        <v>7.9564324531165385E-3</v>
      </c>
    </row>
    <row r="26" spans="1:12" s="13" customFormat="1" ht="15" customHeight="1">
      <c r="A26" s="13" t="s">
        <v>290</v>
      </c>
      <c r="B26" s="124">
        <v>0</v>
      </c>
      <c r="H26" s="24"/>
      <c r="I26" s="175"/>
      <c r="J26" s="29"/>
      <c r="K26" s="132"/>
      <c r="L26" s="178"/>
    </row>
    <row r="27" spans="1:12" s="13" customFormat="1" ht="15" customHeight="1">
      <c r="A27" s="13" t="s">
        <v>291</v>
      </c>
      <c r="B27" s="124">
        <v>0</v>
      </c>
      <c r="H27" s="176" t="s">
        <v>487</v>
      </c>
      <c r="I27" s="176">
        <f>SUM(I17:I26)</f>
        <v>1329</v>
      </c>
      <c r="J27" s="134"/>
      <c r="K27" s="132">
        <f t="shared" si="2"/>
        <v>1</v>
      </c>
      <c r="L27" s="179">
        <f>SUM(L17:L26)</f>
        <v>6.3454917930882038E-2</v>
      </c>
    </row>
    <row r="28" spans="1:12" s="13" customFormat="1" ht="15" customHeight="1">
      <c r="A28" s="13" t="s">
        <v>292</v>
      </c>
      <c r="B28" s="124">
        <v>0</v>
      </c>
    </row>
    <row r="29" spans="1:12" s="13" customFormat="1" ht="15" customHeight="1">
      <c r="A29" s="13" t="s">
        <v>293</v>
      </c>
      <c r="B29" s="124">
        <v>0</v>
      </c>
      <c r="H29" s="121" t="s">
        <v>589</v>
      </c>
    </row>
    <row r="30" spans="1:12" s="13" customFormat="1" ht="15" customHeight="1">
      <c r="B30" s="125"/>
      <c r="H30" s="24" t="s">
        <v>498</v>
      </c>
      <c r="I30" s="24" t="s">
        <v>11</v>
      </c>
      <c r="J30" s="24" t="s">
        <v>259</v>
      </c>
      <c r="K30" s="24" t="s">
        <v>499</v>
      </c>
      <c r="L30" s="24" t="s">
        <v>309</v>
      </c>
    </row>
    <row r="31" spans="1:12" s="13" customFormat="1" ht="15" customHeight="1">
      <c r="A31" s="13" t="s">
        <v>294</v>
      </c>
      <c r="B31" s="130">
        <f>IF('Input sheet'!B14="Yes",'Operating lease converter'!F33,0)</f>
        <v>0</v>
      </c>
      <c r="H31" s="245" t="s">
        <v>100</v>
      </c>
      <c r="I31" s="190">
        <v>84</v>
      </c>
      <c r="J31" s="191">
        <f>IF(H31=0,,VLOOKUP(H31,'Industry Averages(US)'!$A$2:$S$99,15))</f>
        <v>1.6748290047479237</v>
      </c>
      <c r="K31" s="192">
        <f>I31*J31</f>
        <v>140.68563639882558</v>
      </c>
      <c r="L31" s="191">
        <f>VLOOKUP(H31,'Industry Averages(US)'!$A$2:$S$99,7)</f>
        <v>1.1258558946631088</v>
      </c>
    </row>
    <row r="32" spans="1:12" s="13" customFormat="1" ht="15" customHeight="1">
      <c r="B32" s="126"/>
      <c r="H32" s="189" t="s">
        <v>144</v>
      </c>
      <c r="I32" s="190">
        <v>16</v>
      </c>
      <c r="J32" s="191">
        <f>IF(H32=0,,VLOOKUP(H32,'Industry Averages(US)'!$A$2:$S$99,15))</f>
        <v>5.5678260187030713</v>
      </c>
      <c r="K32" s="192">
        <f>I32*J32</f>
        <v>89.08521629924914</v>
      </c>
      <c r="L32" s="191">
        <f>IF(J32=0,0,VLOOKUP(H32,'Industry Averages(US)'!$A$2:$S$99,7))</f>
        <v>1.0234784634430105</v>
      </c>
    </row>
    <row r="33" spans="1:12" s="13" customFormat="1" ht="15" customHeight="1">
      <c r="A33" s="22" t="s">
        <v>295</v>
      </c>
      <c r="B33" s="125"/>
      <c r="H33" s="245"/>
      <c r="I33" s="190"/>
      <c r="J33" s="191">
        <f>IF(H33=0,,VLOOKUP(H33,'Industry Averages(US)'!$A$2:$S$99,15))</f>
        <v>0</v>
      </c>
      <c r="K33" s="192">
        <f t="shared" ref="K33:K42" si="4">I33*J33</f>
        <v>0</v>
      </c>
      <c r="L33" s="191">
        <f>IF(J33=0,0,VLOOKUP(H33,'Industry Averages(US)'!$A$2:$S$99,7))</f>
        <v>0</v>
      </c>
    </row>
    <row r="34" spans="1:12" s="13" customFormat="1" ht="15" customHeight="1">
      <c r="A34" s="13" t="s">
        <v>296</v>
      </c>
      <c r="B34" s="124">
        <v>0</v>
      </c>
      <c r="H34" s="245"/>
      <c r="I34" s="190"/>
      <c r="J34" s="191">
        <f>IF(H34=0,,VLOOKUP(H34,'Industry Averages(US)'!$A$2:$S$99,15))</f>
        <v>0</v>
      </c>
      <c r="K34" s="192">
        <f t="shared" si="4"/>
        <v>0</v>
      </c>
      <c r="L34" s="191">
        <f>IF(J34=0,0,VLOOKUP(H34,'Industry Averages(US)'!$A$2:$S$99,7))</f>
        <v>0</v>
      </c>
    </row>
    <row r="35" spans="1:12" s="13" customFormat="1" ht="15" customHeight="1">
      <c r="A35" s="13" t="s">
        <v>297</v>
      </c>
      <c r="B35" s="124">
        <v>70</v>
      </c>
      <c r="H35" s="245"/>
      <c r="I35" s="190"/>
      <c r="J35" s="191">
        <f>IF(H35=0,,VLOOKUP(H35,'Industry Averages(US)'!$A$2:$S$99,15))</f>
        <v>0</v>
      </c>
      <c r="K35" s="192">
        <f t="shared" si="4"/>
        <v>0</v>
      </c>
      <c r="L35" s="191">
        <f>IF(J35=0,0,VLOOKUP(H35,'Industry Averages(US)'!$A$2:$S$99,7))</f>
        <v>0</v>
      </c>
    </row>
    <row r="36" spans="1:12" s="13" customFormat="1" ht="15" customHeight="1">
      <c r="A36" s="13" t="s">
        <v>298</v>
      </c>
      <c r="B36" s="124">
        <v>5</v>
      </c>
      <c r="H36" s="245"/>
      <c r="I36" s="190"/>
      <c r="J36" s="191">
        <f>IF(H36=0,,VLOOKUP(H36,'Industry Averages(US)'!$A$2:$S$99,15))</f>
        <v>0</v>
      </c>
      <c r="K36" s="192">
        <f t="shared" si="4"/>
        <v>0</v>
      </c>
      <c r="L36" s="191">
        <f>IF(J36=0,0,VLOOKUP(H36,'Industry Averages(US)'!$A$2:$S$99,7))</f>
        <v>0</v>
      </c>
    </row>
    <row r="37" spans="1:12" s="13" customFormat="1" ht="15" customHeight="1">
      <c r="H37" s="245"/>
      <c r="I37" s="190"/>
      <c r="J37" s="191">
        <f>IF(H37=0,,VLOOKUP(H37,'Industry Averages(US)'!$A$2:$S$99,15))</f>
        <v>0</v>
      </c>
      <c r="K37" s="192">
        <f t="shared" si="4"/>
        <v>0</v>
      </c>
      <c r="L37" s="191">
        <f>IF(J37=0,0,VLOOKUP(H37,'Industry Averages(US)'!$A$2:$S$99,7))</f>
        <v>0</v>
      </c>
    </row>
    <row r="38" spans="1:12" s="127" customFormat="1" ht="15" customHeight="1">
      <c r="A38" s="19" t="s">
        <v>213</v>
      </c>
      <c r="B38" s="13"/>
      <c r="C38" s="13"/>
      <c r="D38" s="13"/>
      <c r="E38" s="13"/>
      <c r="F38" s="13"/>
      <c r="G38" s="13"/>
      <c r="H38" s="245"/>
      <c r="I38" s="190"/>
      <c r="J38" s="191">
        <f>IF(H38=0,,VLOOKUP(H38,'Industry Averages(US)'!$A$2:$S$99,15))</f>
        <v>0</v>
      </c>
      <c r="K38" s="192">
        <f t="shared" si="4"/>
        <v>0</v>
      </c>
      <c r="L38" s="191">
        <f>IF(J38=0,0,VLOOKUP(H38,'Industry Averages(US)'!$A$2:$S$99,7))</f>
        <v>0</v>
      </c>
    </row>
    <row r="39" spans="1:12" s="13" customFormat="1" ht="15" customHeight="1">
      <c r="A39" s="24" t="s">
        <v>299</v>
      </c>
      <c r="B39" s="24"/>
      <c r="C39" s="131">
        <f>B17*(1-(1+B23)^(-B18))/B23+B16/(1+B23)^B18</f>
        <v>0</v>
      </c>
      <c r="H39" s="245"/>
      <c r="I39" s="190"/>
      <c r="J39" s="191">
        <f>IF(H39=0,,VLOOKUP(H39,'Industry Averages(US)'!$A$2:$S$99,15))</f>
        <v>0</v>
      </c>
      <c r="K39" s="192">
        <f t="shared" si="4"/>
        <v>0</v>
      </c>
      <c r="L39" s="191">
        <f>IF(J39=0,0,VLOOKUP(H39,'Industry Averages(US)'!$A$2:$S$99,7))</f>
        <v>0</v>
      </c>
    </row>
    <row r="40" spans="1:12" s="13" customFormat="1" ht="15" customHeight="1">
      <c r="A40" s="24" t="s">
        <v>300</v>
      </c>
      <c r="B40" s="24"/>
      <c r="C40" s="131">
        <f>B27*(1-(1+B23)^(-B28))/B23+B26/(1+B23)^B28</f>
        <v>0</v>
      </c>
      <c r="H40" s="245"/>
      <c r="I40" s="190"/>
      <c r="J40" s="191">
        <f>IF(H40=0,,VLOOKUP(H40,'Industry Averages(US)'!$A$2:$S$99,15))</f>
        <v>0</v>
      </c>
      <c r="K40" s="192">
        <f t="shared" si="4"/>
        <v>0</v>
      </c>
      <c r="L40" s="191">
        <f>IF(J40=0,0,VLOOKUP(H40,'Industry Averages(US)'!$A$2:$S$99,7))</f>
        <v>0</v>
      </c>
    </row>
    <row r="41" spans="1:12" s="13" customFormat="1" ht="15" customHeight="1">
      <c r="A41" s="24" t="s">
        <v>301</v>
      </c>
      <c r="B41" s="24"/>
      <c r="C41" s="131">
        <f>B31</f>
        <v>0</v>
      </c>
      <c r="H41" s="245"/>
      <c r="I41" s="190"/>
      <c r="J41" s="191">
        <f>IF(H41=0,,VLOOKUP(H41,'Industry Averages(US)'!$A$2:$S$99,15))</f>
        <v>0</v>
      </c>
      <c r="K41" s="192">
        <f t="shared" si="4"/>
        <v>0</v>
      </c>
      <c r="L41" s="191">
        <f>IF(J41=0,0,VLOOKUP(H41,'Industry Averages(US)'!$A$2:$S$99,7))</f>
        <v>0</v>
      </c>
    </row>
    <row r="42" spans="1:12" ht="12.75">
      <c r="A42" s="24" t="s">
        <v>302</v>
      </c>
      <c r="B42" s="24"/>
      <c r="C42" s="131">
        <f>B29-C40</f>
        <v>0</v>
      </c>
      <c r="D42" s="13"/>
      <c r="E42" s="13"/>
      <c r="F42" s="13"/>
      <c r="G42" s="13"/>
      <c r="H42" s="245"/>
      <c r="I42" s="190"/>
      <c r="J42" s="191">
        <f>IF(H42=0,,VLOOKUP(H42,'Industry Averages(US)'!$A$2:$S$99,15))</f>
        <v>0</v>
      </c>
      <c r="K42" s="192">
        <f t="shared" si="4"/>
        <v>0</v>
      </c>
      <c r="L42" s="191">
        <f>IF(J42=0,0,VLOOKUP(H42,'Industry Averages(US)'!$A$2:$S$99,7))</f>
        <v>0</v>
      </c>
    </row>
    <row r="43" spans="1:12" ht="12.75">
      <c r="A43" s="24" t="s">
        <v>310</v>
      </c>
      <c r="B43" s="24"/>
      <c r="C43" s="137">
        <f>IF(B7="Direct Input",B8,B9*(1+(1-B24)*(C46/B46)))</f>
        <v>1</v>
      </c>
      <c r="D43" s="13"/>
      <c r="E43" s="13"/>
      <c r="F43" s="13"/>
      <c r="G43" s="13"/>
      <c r="H43" s="193" t="s">
        <v>338</v>
      </c>
      <c r="I43" s="194">
        <f>SUM(I31:I42)</f>
        <v>100</v>
      </c>
      <c r="J43" s="195"/>
      <c r="K43" s="192">
        <f>SUM(K31:K42)</f>
        <v>229.77085269807472</v>
      </c>
      <c r="L43" s="195">
        <f>L31*(K31/K43)+L32*K32/K43+L33*K33/K43+L34*K34/K43+L35*K35/K43+L36*K36/K43+L37*K37/K43+L38*K38/K43+L39*K39/K43+L40*K40/K43+L41*K41/K43+L42*K42/K43</f>
        <v>1.0861628026224559</v>
      </c>
    </row>
    <row r="44" spans="1:12" ht="12.75">
      <c r="A44" s="13"/>
      <c r="B44" s="13"/>
      <c r="C44" s="137"/>
      <c r="D44" s="13"/>
      <c r="E44" s="13"/>
      <c r="F44" s="13"/>
      <c r="G44" s="13"/>
    </row>
    <row r="45" spans="1:12" ht="19.5">
      <c r="A45" s="127"/>
      <c r="B45" s="128" t="s">
        <v>281</v>
      </c>
      <c r="C45" s="128" t="s">
        <v>303</v>
      </c>
      <c r="D45" s="128" t="s">
        <v>295</v>
      </c>
      <c r="E45" s="128" t="s">
        <v>304</v>
      </c>
      <c r="F45" s="13"/>
      <c r="G45" s="127"/>
      <c r="H45" s="255" t="s">
        <v>590</v>
      </c>
    </row>
    <row r="46" spans="1:12" ht="12.75">
      <c r="A46" s="24" t="s">
        <v>305</v>
      </c>
      <c r="B46" s="131">
        <f>B4*B5</f>
        <v>87186</v>
      </c>
      <c r="C46" s="131">
        <f>C39+C40+C41</f>
        <v>0</v>
      </c>
      <c r="D46" s="131">
        <f>B34*B35</f>
        <v>0</v>
      </c>
      <c r="E46" s="130">
        <f>SUM(B46:D46)</f>
        <v>87186</v>
      </c>
      <c r="F46" s="127"/>
      <c r="G46" s="13"/>
      <c r="H46" s="24" t="s">
        <v>498</v>
      </c>
      <c r="I46" s="24" t="s">
        <v>11</v>
      </c>
      <c r="J46" s="24" t="s">
        <v>259</v>
      </c>
      <c r="K46" s="24" t="s">
        <v>499</v>
      </c>
      <c r="L46" s="24" t="s">
        <v>309</v>
      </c>
    </row>
    <row r="47" spans="1:12" ht="13.5" thickBot="1">
      <c r="A47" s="24" t="s">
        <v>306</v>
      </c>
      <c r="B47" s="132">
        <f>B46/$E$46</f>
        <v>1</v>
      </c>
      <c r="C47" s="132">
        <f>C46/$E$46</f>
        <v>0</v>
      </c>
      <c r="D47" s="132">
        <f>D46/$E$46</f>
        <v>0</v>
      </c>
      <c r="E47" s="133">
        <f>SUM(B47:D47)</f>
        <v>1</v>
      </c>
      <c r="F47" s="13"/>
      <c r="G47" s="13"/>
      <c r="H47" s="189" t="s">
        <v>100</v>
      </c>
      <c r="I47" s="190">
        <v>84</v>
      </c>
      <c r="J47" s="191">
        <f>IF(H47=0,,VLOOKUP(H47,'Global industry averages'!$A$2:$O$97,13))</f>
        <v>1.5981781168140481</v>
      </c>
      <c r="K47" s="192">
        <f>I47*J47</f>
        <v>134.24696181238005</v>
      </c>
      <c r="L47" s="191">
        <f>IF(H47=0,,VLOOKUP(H47,'Global industry averages'!$A$2:$O$97,3))</f>
        <v>0.89108098504441369</v>
      </c>
    </row>
    <row r="48" spans="1:12" ht="13.5" thickBot="1">
      <c r="A48" s="24" t="s">
        <v>307</v>
      </c>
      <c r="B48" s="134">
        <f>B10+C43*B13</f>
        <v>8.8454917930882032E-2</v>
      </c>
      <c r="C48" s="132">
        <f>B23*(1-B24)</f>
        <v>1.7399999999999999E-2</v>
      </c>
      <c r="D48" s="135">
        <f>B36/B35</f>
        <v>7.1428571428571425E-2</v>
      </c>
      <c r="E48" s="136">
        <f>B47*B48+C47*C48+D47*D48</f>
        <v>8.8454917930882032E-2</v>
      </c>
      <c r="F48" s="13"/>
      <c r="G48" s="13"/>
      <c r="H48" s="189" t="s">
        <v>549</v>
      </c>
      <c r="I48" s="190">
        <v>16</v>
      </c>
      <c r="J48" s="191">
        <f>IF(H48=0,,VLOOKUP(H48,'Global industry averages'!$A$2:$O$97,13))</f>
        <v>6.7594345459111018</v>
      </c>
      <c r="K48" s="192">
        <f>I48*J48</f>
        <v>108.15095273457763</v>
      </c>
      <c r="L48" s="191">
        <f>IF(H48=0,,VLOOKUP(H48,'Global industry averages'!$A$2:$O$97,3))</f>
        <v>1.104494705899693</v>
      </c>
    </row>
    <row r="49" spans="6:12" ht="12.75">
      <c r="F49" s="13"/>
      <c r="H49" s="189"/>
      <c r="I49" s="190"/>
      <c r="J49" s="191">
        <f>IF(H49=0,,VLOOKUP(H49,'Global industry averages'!$A$2:$O$97,13))</f>
        <v>0</v>
      </c>
      <c r="K49" s="192">
        <f t="shared" ref="K49:K58" si="5">I49*J49</f>
        <v>0</v>
      </c>
      <c r="L49" s="191">
        <f>IF(H49=0,,VLOOKUP(H49,'Global industry averages'!$A$2:$O$97,3))</f>
        <v>0</v>
      </c>
    </row>
    <row r="50" spans="6:12" ht="12.75">
      <c r="H50" s="189"/>
      <c r="I50" s="190"/>
      <c r="J50" s="191">
        <f>IF(H50=0,,VLOOKUP(H50,'Global industry averages'!$A$2:$O$97,13))</f>
        <v>0</v>
      </c>
      <c r="K50" s="192">
        <f t="shared" si="5"/>
        <v>0</v>
      </c>
      <c r="L50" s="191">
        <f>IF(H50=0,,VLOOKUP(H50,'Global industry averages'!$A$2:$O$97,3))</f>
        <v>0</v>
      </c>
    </row>
    <row r="51" spans="6:12" ht="12.75">
      <c r="H51" s="189"/>
      <c r="I51" s="190"/>
      <c r="J51" s="191">
        <f>IF(H51=0,,VLOOKUP(H51,'Global industry averages'!$A$2:$O$97,13))</f>
        <v>0</v>
      </c>
      <c r="K51" s="192">
        <f t="shared" si="5"/>
        <v>0</v>
      </c>
      <c r="L51" s="191">
        <f>IF(H51=0,,VLOOKUP(H51,'Global industry averages'!$A$2:$O$97,3))</f>
        <v>0</v>
      </c>
    </row>
    <row r="52" spans="6:12" ht="12.75">
      <c r="H52" s="189"/>
      <c r="I52" s="190"/>
      <c r="J52" s="191">
        <f>IF(H52=0,,VLOOKUP(H52,'Global industry averages'!$A$2:$O$97,13))</f>
        <v>0</v>
      </c>
      <c r="K52" s="192">
        <f t="shared" si="5"/>
        <v>0</v>
      </c>
      <c r="L52" s="191">
        <f>IF(H52=0,,VLOOKUP(H52,'Global industry averages'!$A$2:$O$97,3))</f>
        <v>0</v>
      </c>
    </row>
    <row r="53" spans="6:12" ht="12.75">
      <c r="H53" s="189"/>
      <c r="I53" s="190"/>
      <c r="J53" s="191">
        <f>IF(H53=0,,VLOOKUP(H53,'Global industry averages'!$A$2:$O$97,13))</f>
        <v>0</v>
      </c>
      <c r="K53" s="192">
        <f t="shared" si="5"/>
        <v>0</v>
      </c>
      <c r="L53" s="191">
        <f>IF(H53=0,,VLOOKUP(H53,'Global industry averages'!$A$2:$O$97,3))</f>
        <v>0</v>
      </c>
    </row>
    <row r="54" spans="6:12" ht="12.75">
      <c r="H54" s="189"/>
      <c r="I54" s="190"/>
      <c r="J54" s="191">
        <f>IF(H54=0,,VLOOKUP(H54,'Global industry averages'!$A$2:$O$97,13))</f>
        <v>0</v>
      </c>
      <c r="K54" s="192">
        <f t="shared" si="5"/>
        <v>0</v>
      </c>
      <c r="L54" s="191">
        <f>IF(H54=0,,VLOOKUP(H54,'Global industry averages'!$A$2:$O$97,3))</f>
        <v>0</v>
      </c>
    </row>
    <row r="55" spans="6:12" ht="12.75">
      <c r="H55" s="189"/>
      <c r="I55" s="190"/>
      <c r="J55" s="191">
        <f>IF(H55=0,,VLOOKUP(H55,'Global industry averages'!$A$2:$O$97,13))</f>
        <v>0</v>
      </c>
      <c r="K55" s="192">
        <f t="shared" si="5"/>
        <v>0</v>
      </c>
      <c r="L55" s="191">
        <f>IF(H55=0,,VLOOKUP(H55,'Global industry averages'!$A$2:$O$97,3))</f>
        <v>0</v>
      </c>
    </row>
    <row r="56" spans="6:12" ht="12.75">
      <c r="H56" s="189"/>
      <c r="I56" s="190"/>
      <c r="J56" s="191">
        <f>IF(H56=0,,VLOOKUP(H56,'Global industry averages'!$A$2:$O$97,13))</f>
        <v>0</v>
      </c>
      <c r="K56" s="192">
        <f t="shared" si="5"/>
        <v>0</v>
      </c>
      <c r="L56" s="191">
        <f>IF(H56=0,,VLOOKUP(H56,'Global industry averages'!$A$2:$O$97,3))</f>
        <v>0</v>
      </c>
    </row>
    <row r="57" spans="6:12" ht="12.75">
      <c r="H57" s="189"/>
      <c r="I57" s="190"/>
      <c r="J57" s="191">
        <f>IF(H57=0,,VLOOKUP(H57,'Global industry averages'!$A$2:$O$97,13))</f>
        <v>0</v>
      </c>
      <c r="K57" s="192">
        <f t="shared" si="5"/>
        <v>0</v>
      </c>
      <c r="L57" s="191">
        <f>IF(H57=0,,VLOOKUP(H57,'Global industry averages'!$A$2:$O$97,3))</f>
        <v>0</v>
      </c>
    </row>
    <row r="58" spans="6:12" ht="12.75">
      <c r="H58" s="189"/>
      <c r="I58" s="190"/>
      <c r="J58" s="191">
        <f>IF(H58=0,,VLOOKUP(H58,'Global industry averages'!$A$2:$O$97,13))</f>
        <v>0</v>
      </c>
      <c r="K58" s="192">
        <f t="shared" si="5"/>
        <v>0</v>
      </c>
      <c r="L58" s="191">
        <f>IF(H58=0,,VLOOKUP(H58,'Global industry averages'!$A$2:$O$97,3))</f>
        <v>0</v>
      </c>
    </row>
    <row r="59" spans="6:12" ht="12.75">
      <c r="H59" s="193" t="s">
        <v>338</v>
      </c>
      <c r="I59" s="194">
        <f>SUM(I47:I58)</f>
        <v>100</v>
      </c>
      <c r="J59" s="195"/>
      <c r="K59" s="192">
        <f>SUM(K47:K58)</f>
        <v>242.39791454695768</v>
      </c>
      <c r="L59" s="195">
        <f>L47*(K47/K59)+L48*K48/K59+L49*K49/K59+L50*K50/K59+L51*K51/K59+L52*K52/K59+L53*K53/K59+L54*K54/K59+L55*K55/K59+L56*K56/K59+L57*K57/K59+L58*K58/K59</f>
        <v>0.98630002717300591</v>
      </c>
    </row>
  </sheetData>
  <dataValidations count="8">
    <dataValidation type="list" allowBlank="1" showInputMessage="1" showErrorMessage="1" sqref="B11">
      <formula1>'Answer keys'!$C$2:$C$5</formula1>
    </dataValidation>
    <dataValidation type="list" allowBlank="1" showInputMessage="1" showErrorMessage="1" sqref="B19">
      <formula1>'Answer keys'!$D$2:$D$4</formula1>
    </dataValidation>
    <dataValidation type="list" allowBlank="1" showInputMessage="1" showErrorMessage="1" sqref="B21">
      <formula1>'Synthetic rating'!$G$39:$G$53</formula1>
    </dataValidation>
    <dataValidation type="list" allowBlank="1" showInputMessage="1" showErrorMessage="1" sqref="B22">
      <formula1>'Answer keys'!$E$2:$E$3</formula1>
    </dataValidation>
    <dataValidation type="list" allowBlank="1" showInputMessage="1" showErrorMessage="1" sqref="B7">
      <formula1>'Answer keys'!$F$2:$F$6</formula1>
    </dataValidation>
    <dataValidation type="list" allowBlank="1" showInputMessage="1" showErrorMessage="1" sqref="H47:H58">
      <formula1>'Global industry averages'!$A$2:$A$97</formula1>
    </dataValidation>
    <dataValidation type="list" allowBlank="1" showInputMessage="1" showErrorMessage="1" sqref="H3:H13">
      <formula1>'Country equity risk premiums'!$A$1:$A$140</formula1>
    </dataValidation>
    <dataValidation type="list" allowBlank="1" showInputMessage="1" showErrorMessage="1" sqref="H31:H42">
      <formula1>'Industry Averages(US)'!$A$2:$A$99</formula1>
    </dataValidation>
  </dataValidations>
  <pageMargins left="0.75" right="0.75" top="1" bottom="1" header="0.5" footer="0.5"/>
  <pageSetup orientation="portrait" horizontalDpi="4294967292" verticalDpi="4294967292"/>
  <headerFooter alignWithMargins="0"/>
  <legacyDrawing r:id="rId1"/>
</worksheet>
</file>

<file path=xl/worksheets/sheet8.xml><?xml version="1.0" encoding="utf-8"?>
<worksheet xmlns="http://schemas.openxmlformats.org/spreadsheetml/2006/main" xmlns:r="http://schemas.openxmlformats.org/officeDocument/2006/relationships">
  <dimension ref="A1:J53"/>
  <sheetViews>
    <sheetView topLeftCell="A12" workbookViewId="0">
      <selection activeCell="F5" sqref="F5"/>
    </sheetView>
  </sheetViews>
  <sheetFormatPr defaultColWidth="11.42578125" defaultRowHeight="12"/>
  <sheetData>
    <row r="1" spans="1:10" ht="18.75">
      <c r="A1" s="11" t="s">
        <v>311</v>
      </c>
    </row>
    <row r="2" spans="1:10" ht="18.75">
      <c r="A2" s="11" t="s">
        <v>312</v>
      </c>
    </row>
    <row r="3" spans="1:10" s="139" customFormat="1" ht="16.5" thickBot="1">
      <c r="A3" s="138" t="s">
        <v>313</v>
      </c>
    </row>
    <row r="4" spans="1:10" s="140" customFormat="1" ht="13.5" thickBot="1">
      <c r="A4" s="13" t="s">
        <v>314</v>
      </c>
      <c r="B4" s="13"/>
      <c r="C4" s="252">
        <f>'Cost of capital worksheet'!B22</f>
        <v>1</v>
      </c>
      <c r="D4" s="13"/>
      <c r="E4" s="13"/>
      <c r="F4" s="13"/>
      <c r="G4" s="13"/>
      <c r="H4" s="13"/>
      <c r="I4" s="13"/>
      <c r="J4" s="13"/>
    </row>
    <row r="5" spans="1:10" s="140" customFormat="1" ht="13.5" thickBot="1">
      <c r="A5" s="13" t="s">
        <v>315</v>
      </c>
      <c r="B5" s="13"/>
      <c r="C5" s="13"/>
      <c r="D5" s="13"/>
      <c r="E5" s="123"/>
      <c r="F5" s="130">
        <f>IF('Input sheet'!B14="Yes",'Input sheet'!B9+'Operating lease converter'!F32,'Input sheet'!B9)</f>
        <v>8510</v>
      </c>
      <c r="G5" s="13" t="s">
        <v>316</v>
      </c>
      <c r="H5" s="13"/>
      <c r="I5" s="13"/>
      <c r="J5" s="13"/>
    </row>
    <row r="6" spans="1:10" s="140" customFormat="1" ht="13.5" thickBot="1">
      <c r="A6" s="13" t="s">
        <v>317</v>
      </c>
      <c r="B6" s="13"/>
      <c r="C6" s="13"/>
      <c r="D6" s="13"/>
      <c r="E6" s="13"/>
      <c r="F6" s="221">
        <f>IF('Input sheet'!B14="Yes",'Cost of capital worksheet'!B17+'Operating lease converter'!C28*'Operating lease converter'!C15,'Cost of capital worksheet'!B17)</f>
        <v>0</v>
      </c>
      <c r="G6" s="13" t="s">
        <v>318</v>
      </c>
      <c r="H6" s="13"/>
      <c r="I6" s="13"/>
      <c r="J6" s="13"/>
    </row>
    <row r="7" spans="1:10" s="140" customFormat="1" ht="13.5" thickBot="1">
      <c r="A7" s="13" t="s">
        <v>333</v>
      </c>
      <c r="B7" s="13"/>
      <c r="C7" s="13"/>
      <c r="D7" s="13"/>
      <c r="E7" s="13"/>
      <c r="F7" s="150">
        <f>'Input sheet'!B27</f>
        <v>2.5000000000000001E-2</v>
      </c>
      <c r="G7" s="13"/>
      <c r="H7" s="13"/>
      <c r="I7" s="13"/>
      <c r="J7" s="13"/>
    </row>
    <row r="8" spans="1:10" s="140" customFormat="1" ht="13.5" thickBot="1">
      <c r="A8" s="22" t="s">
        <v>213</v>
      </c>
      <c r="B8" s="13"/>
      <c r="C8" s="13"/>
      <c r="D8" s="13"/>
      <c r="E8" s="13"/>
      <c r="F8" s="123"/>
      <c r="G8" s="13"/>
      <c r="H8" s="13"/>
      <c r="I8" s="13"/>
      <c r="J8" s="13"/>
    </row>
    <row r="9" spans="1:10" s="140" customFormat="1" ht="13.5" thickBot="1">
      <c r="A9" s="13" t="s">
        <v>319</v>
      </c>
      <c r="B9" s="13"/>
      <c r="C9" s="13"/>
      <c r="D9" s="151">
        <f>IF(F6=0,1000000,IF(F5&lt;0,-100000,F5/F6))</f>
        <v>1000000</v>
      </c>
      <c r="E9" s="13"/>
      <c r="F9" s="123"/>
      <c r="G9" s="13"/>
      <c r="H9" s="13"/>
      <c r="I9" s="13"/>
      <c r="J9" s="13"/>
    </row>
    <row r="10" spans="1:10" s="140" customFormat="1" ht="13.5" thickBot="1">
      <c r="A10" s="13" t="s">
        <v>320</v>
      </c>
      <c r="D10" s="152" t="str">
        <f>IF(C4=1,VLOOKUP(D9,A19:D33,3),(IF(C4=2,VLOOKUP(D9,A38:D52,3),VLOOKUP(D9,F19:I33,3))))</f>
        <v>Aaa/AAA</v>
      </c>
      <c r="F10" s="21" t="s">
        <v>321</v>
      </c>
    </row>
    <row r="11" spans="1:10" s="140" customFormat="1" ht="13.5" thickBot="1">
      <c r="A11" s="13" t="s">
        <v>584</v>
      </c>
      <c r="D11" s="153">
        <f>IF(C4=1,VLOOKUP(D9,A19:D33,4),(IF(C4=2,VLOOKUP(D9,A38:D52,4),VLOOKUP(D9,F19:I33,4))))</f>
        <v>4.0000000000000001E-3</v>
      </c>
      <c r="F11" s="21" t="s">
        <v>322</v>
      </c>
    </row>
    <row r="12" spans="1:10" s="140" customFormat="1" ht="13.5" thickBot="1">
      <c r="A12" s="13" t="s">
        <v>585</v>
      </c>
      <c r="D12" s="153">
        <f>VLOOKUP('Input sheet'!B5,'Country equity risk premiums'!A2:C140,3)</f>
        <v>0</v>
      </c>
      <c r="F12" s="21"/>
    </row>
    <row r="13" spans="1:10" s="13" customFormat="1" ht="13.5" thickBot="1">
      <c r="A13" s="13" t="s">
        <v>323</v>
      </c>
      <c r="D13" s="154">
        <f>F7+D11+D12</f>
        <v>2.9000000000000001E-2</v>
      </c>
    </row>
    <row r="14" spans="1:10" s="13" customFormat="1" ht="12.75">
      <c r="D14" s="142"/>
    </row>
    <row r="15" spans="1:10" s="20" customFormat="1" ht="13.5">
      <c r="A15" s="20" t="s">
        <v>324</v>
      </c>
      <c r="D15" s="143"/>
    </row>
    <row r="16" spans="1:10" s="140" customFormat="1" ht="12.75">
      <c r="A16" s="22" t="s">
        <v>325</v>
      </c>
      <c r="F16"/>
      <c r="G16"/>
      <c r="H16"/>
      <c r="I16"/>
    </row>
    <row r="17" spans="1:10" s="140" customFormat="1" ht="12.75">
      <c r="A17" s="144" t="s">
        <v>326</v>
      </c>
      <c r="B17" s="144"/>
      <c r="C17" s="145"/>
      <c r="D17" s="145"/>
      <c r="F17"/>
      <c r="G17"/>
      <c r="H17"/>
      <c r="I17"/>
      <c r="J17" s="13"/>
    </row>
    <row r="18" spans="1:10" s="140" customFormat="1" ht="12.75">
      <c r="A18" s="128" t="s">
        <v>327</v>
      </c>
      <c r="B18" s="128" t="s">
        <v>328</v>
      </c>
      <c r="C18" s="128" t="s">
        <v>329</v>
      </c>
      <c r="D18" s="128" t="s">
        <v>330</v>
      </c>
      <c r="F18"/>
      <c r="G18"/>
      <c r="H18"/>
      <c r="I18"/>
    </row>
    <row r="19" spans="1:10" s="140" customFormat="1" ht="12.75">
      <c r="A19" s="35">
        <v>-100000</v>
      </c>
      <c r="B19" s="35">
        <v>0.19999900000000001</v>
      </c>
      <c r="C19" s="250" t="s">
        <v>568</v>
      </c>
      <c r="D19" s="146">
        <v>0.12</v>
      </c>
      <c r="F19"/>
      <c r="G19"/>
      <c r="H19"/>
      <c r="I19"/>
    </row>
    <row r="20" spans="1:10" s="140" customFormat="1" ht="12.75">
      <c r="A20" s="35">
        <v>0.2</v>
      </c>
      <c r="B20" s="35">
        <v>0.64999899999999999</v>
      </c>
      <c r="C20" s="250" t="s">
        <v>569</v>
      </c>
      <c r="D20" s="147">
        <v>0.105</v>
      </c>
      <c r="F20"/>
      <c r="G20"/>
      <c r="H20"/>
      <c r="I20"/>
    </row>
    <row r="21" spans="1:10" s="140" customFormat="1" ht="12.75">
      <c r="A21" s="35">
        <v>0.65</v>
      </c>
      <c r="B21" s="35">
        <v>0.79999900000000002</v>
      </c>
      <c r="C21" s="250" t="s">
        <v>570</v>
      </c>
      <c r="D21" s="147">
        <v>9.5000000000000001E-2</v>
      </c>
      <c r="F21"/>
      <c r="G21"/>
      <c r="H21"/>
      <c r="I21"/>
    </row>
    <row r="22" spans="1:10" s="140" customFormat="1" ht="12.75">
      <c r="A22" s="35">
        <v>0.8</v>
      </c>
      <c r="B22" s="35">
        <v>1.2499990000000001</v>
      </c>
      <c r="C22" s="250" t="s">
        <v>571</v>
      </c>
      <c r="D22" s="147">
        <v>8.7499999999999994E-2</v>
      </c>
      <c r="F22"/>
      <c r="G22"/>
      <c r="H22"/>
      <c r="I22"/>
    </row>
    <row r="23" spans="1:10" s="140" customFormat="1" ht="12.75">
      <c r="A23" s="35">
        <v>1.25</v>
      </c>
      <c r="B23" s="35">
        <v>1.4999990000000001</v>
      </c>
      <c r="C23" s="250" t="s">
        <v>572</v>
      </c>
      <c r="D23" s="147">
        <v>7.2499999999999995E-2</v>
      </c>
      <c r="F23"/>
      <c r="G23"/>
      <c r="H23"/>
      <c r="I23"/>
    </row>
    <row r="24" spans="1:10" s="140" customFormat="1" ht="12.75">
      <c r="A24" s="35">
        <v>1.5</v>
      </c>
      <c r="B24" s="35">
        <v>1.7499990000000001</v>
      </c>
      <c r="C24" s="250" t="s">
        <v>573</v>
      </c>
      <c r="D24" s="147">
        <v>6.5000000000000002E-2</v>
      </c>
      <c r="F24"/>
      <c r="G24"/>
      <c r="H24"/>
      <c r="I24"/>
    </row>
    <row r="25" spans="1:10" s="140" customFormat="1" ht="12.75">
      <c r="A25" s="35">
        <v>1.75</v>
      </c>
      <c r="B25" s="35">
        <v>1.9999990000000001</v>
      </c>
      <c r="C25" s="250" t="s">
        <v>574</v>
      </c>
      <c r="D25" s="147">
        <v>5.5E-2</v>
      </c>
      <c r="F25"/>
      <c r="G25"/>
      <c r="H25"/>
      <c r="I25"/>
    </row>
    <row r="26" spans="1:10" s="140" customFormat="1" ht="12.75">
      <c r="A26" s="35">
        <v>2</v>
      </c>
      <c r="B26" s="35">
        <v>2.2499999000000002</v>
      </c>
      <c r="C26" s="250" t="s">
        <v>575</v>
      </c>
      <c r="D26" s="147">
        <v>0.04</v>
      </c>
      <c r="F26"/>
      <c r="G26"/>
      <c r="H26"/>
      <c r="I26"/>
    </row>
    <row r="27" spans="1:10" s="140" customFormat="1" ht="12.75">
      <c r="A27" s="35">
        <v>2.25</v>
      </c>
      <c r="B27" s="35">
        <v>2.4999899999999999</v>
      </c>
      <c r="C27" s="250" t="s">
        <v>576</v>
      </c>
      <c r="D27" s="147">
        <v>0.03</v>
      </c>
      <c r="F27"/>
      <c r="G27"/>
      <c r="H27"/>
      <c r="I27"/>
    </row>
    <row r="28" spans="1:10" s="140" customFormat="1" ht="12.75">
      <c r="A28" s="35">
        <v>2.5</v>
      </c>
      <c r="B28" s="35">
        <v>2.9999989999999999</v>
      </c>
      <c r="C28" s="250" t="s">
        <v>577</v>
      </c>
      <c r="D28" s="147">
        <v>0.02</v>
      </c>
      <c r="F28"/>
      <c r="G28"/>
      <c r="H28"/>
      <c r="I28"/>
    </row>
    <row r="29" spans="1:10" s="140" customFormat="1" ht="12.75">
      <c r="A29" s="35">
        <v>3</v>
      </c>
      <c r="B29" s="35">
        <v>4.2499989999999999</v>
      </c>
      <c r="C29" s="250" t="s">
        <v>578</v>
      </c>
      <c r="D29" s="147">
        <v>1.2999999999999999E-2</v>
      </c>
      <c r="F29"/>
      <c r="G29"/>
      <c r="H29"/>
      <c r="I29"/>
    </row>
    <row r="30" spans="1:10" s="140" customFormat="1" ht="12.75">
      <c r="A30" s="35">
        <v>4.25</v>
      </c>
      <c r="B30" s="35">
        <v>5.4999989999999999</v>
      </c>
      <c r="C30" s="250" t="s">
        <v>579</v>
      </c>
      <c r="D30" s="147">
        <v>0.01</v>
      </c>
      <c r="F30"/>
      <c r="G30"/>
      <c r="H30"/>
      <c r="I30"/>
    </row>
    <row r="31" spans="1:10" s="140" customFormat="1" ht="12.75">
      <c r="A31" s="35">
        <v>5.5</v>
      </c>
      <c r="B31" s="35">
        <v>6.4999989999999999</v>
      </c>
      <c r="C31" s="250" t="s">
        <v>580</v>
      </c>
      <c r="D31" s="147">
        <v>8.5000000000000006E-3</v>
      </c>
      <c r="F31"/>
      <c r="G31"/>
      <c r="H31"/>
      <c r="I31"/>
    </row>
    <row r="32" spans="1:10" s="140" customFormat="1" ht="12.75">
      <c r="A32" s="35">
        <v>6.5</v>
      </c>
      <c r="B32" s="35">
        <v>8.4999990000000007</v>
      </c>
      <c r="C32" s="250" t="s">
        <v>581</v>
      </c>
      <c r="D32" s="147">
        <v>7.0000000000000001E-3</v>
      </c>
      <c r="F32"/>
      <c r="G32"/>
      <c r="H32"/>
      <c r="I32"/>
    </row>
    <row r="33" spans="1:9" s="140" customFormat="1" ht="12.75">
      <c r="A33" s="148">
        <v>8.5</v>
      </c>
      <c r="B33" s="35">
        <v>100000</v>
      </c>
      <c r="C33" s="250" t="s">
        <v>582</v>
      </c>
      <c r="D33" s="147">
        <v>4.0000000000000001E-3</v>
      </c>
      <c r="F33"/>
      <c r="G33"/>
      <c r="H33"/>
      <c r="I33"/>
    </row>
    <row r="34" spans="1:9" s="140" customFormat="1" ht="12.75"/>
    <row r="35" spans="1:9" s="140" customFormat="1" ht="12.75">
      <c r="A35" s="22" t="s">
        <v>332</v>
      </c>
    </row>
    <row r="36" spans="1:9" s="140" customFormat="1" ht="12.75">
      <c r="A36" s="144" t="s">
        <v>326</v>
      </c>
      <c r="B36" s="149"/>
      <c r="C36" s="35"/>
      <c r="D36" s="35"/>
    </row>
    <row r="37" spans="1:9" s="140" customFormat="1" ht="12.75">
      <c r="A37" s="35" t="s">
        <v>331</v>
      </c>
      <c r="B37" s="35" t="s">
        <v>328</v>
      </c>
      <c r="C37" s="35" t="s">
        <v>329</v>
      </c>
      <c r="D37" s="35" t="s">
        <v>330</v>
      </c>
    </row>
    <row r="38" spans="1:9" s="140" customFormat="1" ht="12.75">
      <c r="A38" s="35">
        <v>-100000</v>
      </c>
      <c r="B38" s="35">
        <v>0.49999900000000003</v>
      </c>
      <c r="C38" s="250" t="s">
        <v>568</v>
      </c>
      <c r="D38" s="146">
        <v>0.12</v>
      </c>
      <c r="G38" s="35" t="s">
        <v>329</v>
      </c>
      <c r="H38" s="35" t="s">
        <v>330</v>
      </c>
    </row>
    <row r="39" spans="1:9" s="140" customFormat="1" ht="12.75">
      <c r="A39" s="35">
        <v>0.5</v>
      </c>
      <c r="B39" s="35">
        <v>0.79999900000000002</v>
      </c>
      <c r="C39" s="250" t="s">
        <v>569</v>
      </c>
      <c r="D39" s="147">
        <v>0.105</v>
      </c>
      <c r="G39" s="250" t="s">
        <v>580</v>
      </c>
      <c r="H39" s="146">
        <v>8.5000000000000006E-3</v>
      </c>
    </row>
    <row r="40" spans="1:9" s="140" customFormat="1" ht="12.75">
      <c r="A40" s="35">
        <v>0.8</v>
      </c>
      <c r="B40" s="35">
        <v>1.2499990000000001</v>
      </c>
      <c r="C40" s="250" t="s">
        <v>570</v>
      </c>
      <c r="D40" s="147">
        <v>9.5000000000000001E-2</v>
      </c>
      <c r="G40" s="250" t="s">
        <v>579</v>
      </c>
      <c r="H40" s="147">
        <v>0.01</v>
      </c>
    </row>
    <row r="41" spans="1:9" s="140" customFormat="1" ht="12.75">
      <c r="A41" s="35">
        <v>1.25</v>
      </c>
      <c r="B41" s="35">
        <v>1.4999990000000001</v>
      </c>
      <c r="C41" s="250" t="s">
        <v>571</v>
      </c>
      <c r="D41" s="147">
        <v>8.7499999999999994E-2</v>
      </c>
      <c r="G41" s="250" t="s">
        <v>578</v>
      </c>
      <c r="H41" s="147">
        <v>1.2999999999999999E-2</v>
      </c>
    </row>
    <row r="42" spans="1:9" s="140" customFormat="1" ht="12.75">
      <c r="A42" s="35">
        <v>1.5</v>
      </c>
      <c r="B42" s="35">
        <v>1.9999990000000001</v>
      </c>
      <c r="C42" s="250" t="s">
        <v>572</v>
      </c>
      <c r="D42" s="147">
        <v>7.2499999999999995E-2</v>
      </c>
      <c r="G42" s="250" t="s">
        <v>581</v>
      </c>
      <c r="H42" s="147">
        <v>7.0000000000000001E-3</v>
      </c>
    </row>
    <row r="43" spans="1:9" s="140" customFormat="1" ht="12.75">
      <c r="A43" s="35">
        <v>2</v>
      </c>
      <c r="B43" s="35">
        <v>2.4999989999999999</v>
      </c>
      <c r="C43" s="250" t="s">
        <v>573</v>
      </c>
      <c r="D43" s="147">
        <v>6.5000000000000002E-2</v>
      </c>
      <c r="G43" s="250" t="s">
        <v>582</v>
      </c>
      <c r="H43" s="147">
        <v>4.0000000000000001E-3</v>
      </c>
    </row>
    <row r="44" spans="1:9" s="140" customFormat="1" ht="12.75">
      <c r="A44" s="35">
        <v>2.5</v>
      </c>
      <c r="B44" s="35">
        <v>2.9999989999999999</v>
      </c>
      <c r="C44" s="250" t="s">
        <v>574</v>
      </c>
      <c r="D44" s="147">
        <v>5.5E-2</v>
      </c>
      <c r="G44" s="250" t="s">
        <v>574</v>
      </c>
      <c r="H44" s="147">
        <v>5.5E-2</v>
      </c>
    </row>
    <row r="45" spans="1:9" s="140" customFormat="1" ht="12.75">
      <c r="A45" s="35">
        <v>3</v>
      </c>
      <c r="B45" s="35">
        <v>3.4999989999999999</v>
      </c>
      <c r="C45" s="250" t="s">
        <v>575</v>
      </c>
      <c r="D45" s="147">
        <v>0.04</v>
      </c>
      <c r="G45" s="250" t="s">
        <v>573</v>
      </c>
      <c r="H45" s="147">
        <v>6.5000000000000002E-2</v>
      </c>
    </row>
    <row r="46" spans="1:9" s="140" customFormat="1" ht="12.75">
      <c r="A46" s="35">
        <v>3.5</v>
      </c>
      <c r="B46" s="35">
        <v>3.9999999000000002</v>
      </c>
      <c r="C46" s="250" t="s">
        <v>576</v>
      </c>
      <c r="D46" s="147">
        <v>0.03</v>
      </c>
      <c r="G46" s="250" t="s">
        <v>572</v>
      </c>
      <c r="H46" s="147">
        <v>7.2499999999999995E-2</v>
      </c>
    </row>
    <row r="47" spans="1:9" s="140" customFormat="1" ht="12.75">
      <c r="A47" s="35">
        <v>4</v>
      </c>
      <c r="B47" s="35">
        <v>4.4999989999999999</v>
      </c>
      <c r="C47" s="250" t="s">
        <v>577</v>
      </c>
      <c r="D47" s="147">
        <v>0.02</v>
      </c>
      <c r="G47" s="250" t="s">
        <v>576</v>
      </c>
      <c r="H47" s="147">
        <v>0.03</v>
      </c>
    </row>
    <row r="48" spans="1:9" s="140" customFormat="1" ht="12.75">
      <c r="A48" s="35">
        <v>4.5</v>
      </c>
      <c r="B48" s="35">
        <v>5.9999989999999999</v>
      </c>
      <c r="C48" s="250" t="s">
        <v>578</v>
      </c>
      <c r="D48" s="147">
        <v>1.2999999999999999E-2</v>
      </c>
      <c r="G48" s="250" t="s">
        <v>575</v>
      </c>
      <c r="H48" s="147">
        <v>0.04</v>
      </c>
    </row>
    <row r="49" spans="1:10" s="140" customFormat="1" ht="12.75">
      <c r="A49" s="35">
        <v>6</v>
      </c>
      <c r="B49" s="35">
        <v>7.4999989999999999</v>
      </c>
      <c r="C49" s="250" t="s">
        <v>579</v>
      </c>
      <c r="D49" s="147">
        <v>0.01</v>
      </c>
      <c r="G49" s="250" t="s">
        <v>577</v>
      </c>
      <c r="H49" s="147">
        <v>0.02</v>
      </c>
    </row>
    <row r="50" spans="1:10" s="140" customFormat="1" ht="12.75">
      <c r="A50" s="35">
        <v>7.5</v>
      </c>
      <c r="B50" s="35">
        <v>9.4999990000000007</v>
      </c>
      <c r="C50" s="250" t="s">
        <v>580</v>
      </c>
      <c r="D50" s="147">
        <v>8.5000000000000006E-3</v>
      </c>
      <c r="G50" s="250" t="s">
        <v>569</v>
      </c>
      <c r="H50" s="147">
        <v>8.7499999999999994E-2</v>
      </c>
    </row>
    <row r="51" spans="1:10" ht="12.75">
      <c r="A51" s="35">
        <v>9.5</v>
      </c>
      <c r="B51" s="35">
        <v>12.499999000000001</v>
      </c>
      <c r="C51" s="250" t="s">
        <v>581</v>
      </c>
      <c r="D51" s="147">
        <v>7.0000000000000001E-3</v>
      </c>
      <c r="F51" s="140"/>
      <c r="G51" s="250" t="s">
        <v>570</v>
      </c>
      <c r="H51" s="147">
        <v>9.5000000000000001E-2</v>
      </c>
      <c r="I51" s="140"/>
      <c r="J51" s="140"/>
    </row>
    <row r="52" spans="1:10" ht="12.75">
      <c r="A52" s="35">
        <v>12.5</v>
      </c>
      <c r="B52" s="35">
        <v>100000</v>
      </c>
      <c r="C52" s="250" t="s">
        <v>582</v>
      </c>
      <c r="D52" s="147">
        <v>4.0000000000000001E-3</v>
      </c>
      <c r="G52" s="250" t="s">
        <v>571</v>
      </c>
      <c r="H52" s="147">
        <v>0.105</v>
      </c>
    </row>
    <row r="53" spans="1:10" ht="12.75">
      <c r="G53" s="250" t="s">
        <v>568</v>
      </c>
      <c r="H53" s="147">
        <v>0.12</v>
      </c>
    </row>
  </sheetData>
  <pageMargins left="0.75" right="0.75" top="1" bottom="1" header="0.5" footer="0.5"/>
  <pageSetup orientation="portrait" horizontalDpi="4294967292" verticalDpi="4294967292"/>
  <headerFooter alignWithMargins="0"/>
  <legacyDrawing r:id="rId1"/>
</worksheet>
</file>

<file path=xl/worksheets/sheet9.xml><?xml version="1.0" encoding="utf-8"?>
<worksheet xmlns="http://schemas.openxmlformats.org/spreadsheetml/2006/main" xmlns:r="http://schemas.openxmlformats.org/officeDocument/2006/relationships">
  <dimension ref="A1:S99"/>
  <sheetViews>
    <sheetView workbookViewId="0">
      <pane xSplit="1" ySplit="1" topLeftCell="E2" activePane="bottomRight" state="frozen"/>
      <selection pane="topRight" activeCell="B1" sqref="B1"/>
      <selection pane="bottomLeft" activeCell="A2" sqref="A2"/>
      <selection pane="bottomRight" activeCell="N18" sqref="N18"/>
    </sheetView>
  </sheetViews>
  <sheetFormatPr defaultColWidth="11.42578125" defaultRowHeight="12"/>
  <cols>
    <col min="1" max="1" width="18.140625" bestFit="1" customWidth="1"/>
    <col min="2" max="2" width="13.140625" bestFit="1" customWidth="1"/>
    <col min="3" max="3" width="35.85546875" bestFit="1" customWidth="1"/>
    <col min="4" max="4" width="19.42578125" bestFit="1" customWidth="1"/>
    <col min="5" max="5" width="19.42578125" customWidth="1"/>
    <col min="6" max="6" width="20.7109375" bestFit="1" customWidth="1"/>
    <col min="7" max="7" width="18.28515625" bestFit="1" customWidth="1"/>
    <col min="8" max="8" width="17.28515625" bestFit="1" customWidth="1"/>
    <col min="9" max="9" width="11.7109375" bestFit="1" customWidth="1"/>
    <col min="10" max="10" width="22" bestFit="1" customWidth="1"/>
    <col min="11" max="12" width="16.140625" bestFit="1" customWidth="1"/>
    <col min="13" max="13" width="12" bestFit="1" customWidth="1"/>
    <col min="14" max="14" width="12" customWidth="1"/>
    <col min="15" max="15" width="7.85546875" bestFit="1" customWidth="1"/>
    <col min="16" max="16" width="9.28515625" bestFit="1" customWidth="1"/>
    <col min="17" max="17" width="7.140625" bestFit="1" customWidth="1"/>
    <col min="18" max="18" width="9.140625" bestFit="1" customWidth="1"/>
    <col min="19" max="19" width="8.85546875" bestFit="1" customWidth="1"/>
  </cols>
  <sheetData>
    <row r="1" spans="1:19" s="2" customFormat="1">
      <c r="A1" s="4" t="s">
        <v>99</v>
      </c>
      <c r="B1" s="3" t="s">
        <v>264</v>
      </c>
      <c r="C1" s="10" t="s">
        <v>252</v>
      </c>
      <c r="D1" s="3" t="s">
        <v>17</v>
      </c>
      <c r="E1" s="10" t="s">
        <v>279</v>
      </c>
      <c r="F1" s="3" t="s">
        <v>253</v>
      </c>
      <c r="G1" s="3" t="s">
        <v>309</v>
      </c>
      <c r="H1" s="3" t="s">
        <v>254</v>
      </c>
      <c r="I1" s="3" t="s">
        <v>255</v>
      </c>
      <c r="J1" s="3" t="s">
        <v>256</v>
      </c>
      <c r="K1" s="3" t="s">
        <v>257</v>
      </c>
      <c r="L1" s="3" t="s">
        <v>258</v>
      </c>
      <c r="M1" s="3" t="s">
        <v>237</v>
      </c>
      <c r="N1" s="9" t="s">
        <v>190</v>
      </c>
      <c r="O1" s="3" t="s">
        <v>259</v>
      </c>
      <c r="P1" s="3" t="s">
        <v>260</v>
      </c>
      <c r="Q1" s="3" t="s">
        <v>261</v>
      </c>
      <c r="R1" s="3" t="s">
        <v>262</v>
      </c>
      <c r="S1" s="3" t="s">
        <v>263</v>
      </c>
    </row>
    <row r="2" spans="1:19">
      <c r="A2" t="s">
        <v>100</v>
      </c>
      <c r="B2" s="196">
        <v>31</v>
      </c>
      <c r="C2" s="259">
        <v>4.5954999999999989E-2</v>
      </c>
      <c r="D2" s="259">
        <v>0.11442807163475993</v>
      </c>
      <c r="E2" s="259">
        <v>0.11586644926766379</v>
      </c>
      <c r="F2" s="259">
        <v>0.1680906451612903</v>
      </c>
      <c r="G2" s="260">
        <v>1.1258558946631088</v>
      </c>
      <c r="H2" s="260">
        <v>1.3005263157894738</v>
      </c>
      <c r="I2" s="259">
        <v>9.5426315789473692E-2</v>
      </c>
      <c r="J2" s="259">
        <v>0.83024347826086997</v>
      </c>
      <c r="K2" s="259">
        <v>5.5400000000000005E-2</v>
      </c>
      <c r="L2" s="259">
        <v>0.26354976554848508</v>
      </c>
      <c r="M2" s="259">
        <v>7.9037126842833844E-2</v>
      </c>
      <c r="N2" s="260">
        <v>1.3945714375956517</v>
      </c>
      <c r="O2" s="260">
        <v>1.6748290047479237</v>
      </c>
      <c r="P2" s="260">
        <v>10.905187878819207</v>
      </c>
      <c r="Q2" s="260">
        <v>14.636522147238207</v>
      </c>
      <c r="R2" s="260">
        <v>3.238334913218587</v>
      </c>
      <c r="S2" s="260">
        <v>49.369167990671393</v>
      </c>
    </row>
    <row r="3" spans="1:19">
      <c r="A3" t="s">
        <v>101</v>
      </c>
      <c r="B3" s="196">
        <v>66</v>
      </c>
      <c r="C3" s="259">
        <v>0.12333333333333335</v>
      </c>
      <c r="D3" s="259">
        <v>9.9933057078019652E-2</v>
      </c>
      <c r="E3" s="259">
        <v>0.18079887062064062</v>
      </c>
      <c r="F3" s="259">
        <v>0.23029984848484852</v>
      </c>
      <c r="G3" s="260">
        <v>0.86921660387026634</v>
      </c>
      <c r="H3" s="260">
        <v>0.91660377358490552</v>
      </c>
      <c r="I3" s="259">
        <v>7.6230188679245275E-2</v>
      </c>
      <c r="J3" s="259">
        <v>0.44750181818181828</v>
      </c>
      <c r="K3" s="259">
        <v>4.0399999999999998E-2</v>
      </c>
      <c r="L3" s="259">
        <v>0.16459048694681688</v>
      </c>
      <c r="M3" s="259">
        <v>6.7673098208071408E-2</v>
      </c>
      <c r="N3" s="260">
        <v>2.6677242329124193</v>
      </c>
      <c r="O3" s="260">
        <v>1.3070044610265905</v>
      </c>
      <c r="P3" s="260">
        <v>10.537576656505291</v>
      </c>
      <c r="Q3" s="260">
        <v>13.078799941106444</v>
      </c>
      <c r="R3" s="260">
        <v>4.581071889635302</v>
      </c>
      <c r="S3" s="260">
        <v>24.318542187418888</v>
      </c>
    </row>
    <row r="4" spans="1:19">
      <c r="A4" t="s">
        <v>102</v>
      </c>
      <c r="B4" s="196">
        <v>35</v>
      </c>
      <c r="C4" s="259">
        <v>6.5137500000000015E-2</v>
      </c>
      <c r="D4" s="259">
        <v>8.0445944412484247E-2</v>
      </c>
      <c r="E4" s="259">
        <v>0.1680018530070084</v>
      </c>
      <c r="F4" s="259">
        <v>0.26028571428571429</v>
      </c>
      <c r="G4" s="260">
        <v>0.92077866375310358</v>
      </c>
      <c r="H4" s="260">
        <v>1.0668965517241378</v>
      </c>
      <c r="I4" s="259">
        <v>8.3744827586206896E-2</v>
      </c>
      <c r="J4" s="259">
        <v>0.63956774193548405</v>
      </c>
      <c r="K4" s="259">
        <v>4.5399999999999996E-2</v>
      </c>
      <c r="L4" s="259">
        <v>0.30309071927311459</v>
      </c>
      <c r="M4" s="259">
        <v>6.6618738750700124E-2</v>
      </c>
      <c r="N4" s="260">
        <v>2.7177683727815154</v>
      </c>
      <c r="O4" s="260">
        <v>1.0106692624147904</v>
      </c>
      <c r="P4" s="260">
        <v>7.8919615186460765</v>
      </c>
      <c r="Q4" s="260">
        <v>12.563333923120016</v>
      </c>
      <c r="R4" s="260">
        <v>4.9990165284684274</v>
      </c>
      <c r="S4" s="260">
        <v>16.16224108869471</v>
      </c>
    </row>
    <row r="5" spans="1:19">
      <c r="A5" t="s">
        <v>103</v>
      </c>
      <c r="B5" s="196">
        <v>46</v>
      </c>
      <c r="C5" s="259">
        <v>7.4786842105263138E-2</v>
      </c>
      <c r="D5" s="259">
        <v>0.10702273659910529</v>
      </c>
      <c r="E5" s="259">
        <v>0.14622188781834669</v>
      </c>
      <c r="F5" s="259">
        <v>0.18851934782608695</v>
      </c>
      <c r="G5" s="260">
        <v>1.1712392854194695</v>
      </c>
      <c r="H5" s="260">
        <v>1.2035897435897434</v>
      </c>
      <c r="I5" s="259">
        <v>9.0579487179487175E-2</v>
      </c>
      <c r="J5" s="259">
        <v>0.67004102564102563</v>
      </c>
      <c r="K5" s="259">
        <v>5.04E-2</v>
      </c>
      <c r="L5" s="259">
        <v>8.5749562410936786E-2</v>
      </c>
      <c r="M5" s="259">
        <v>8.5405402557745813E-2</v>
      </c>
      <c r="N5" s="260">
        <v>1.9183803077591857</v>
      </c>
      <c r="O5" s="260">
        <v>2.0784712915737988</v>
      </c>
      <c r="P5" s="260">
        <v>15.703637168853191</v>
      </c>
      <c r="Q5" s="260">
        <v>19.420838577128805</v>
      </c>
      <c r="R5" s="260">
        <v>4.5987030786539842</v>
      </c>
      <c r="S5" s="260">
        <v>21.966396433922405</v>
      </c>
    </row>
    <row r="6" spans="1:19">
      <c r="A6" t="s">
        <v>104</v>
      </c>
      <c r="B6" s="196">
        <v>54</v>
      </c>
      <c r="C6" s="259">
        <v>9.0000000000000011E-3</v>
      </c>
      <c r="D6" s="259">
        <v>6.8846109627435537E-2</v>
      </c>
      <c r="E6" s="259">
        <v>0.14062475877534353</v>
      </c>
      <c r="F6" s="259">
        <v>0.17879513468013469</v>
      </c>
      <c r="G6" s="260">
        <v>1.5049836833225858</v>
      </c>
      <c r="H6" s="260">
        <v>1.6613636363636366</v>
      </c>
      <c r="I6" s="259">
        <v>0.11346818181818183</v>
      </c>
      <c r="J6" s="259">
        <v>0.5150039999999998</v>
      </c>
      <c r="K6" s="259">
        <v>4.5399999999999996E-2</v>
      </c>
      <c r="L6" s="259">
        <v>0.18114800553096766</v>
      </c>
      <c r="M6" s="259">
        <v>9.7848118661256547E-2</v>
      </c>
      <c r="N6" s="260">
        <v>2.5283067748652157</v>
      </c>
      <c r="O6" s="260">
        <v>0.92801145191843648</v>
      </c>
      <c r="P6" s="260">
        <v>9.5616701098549761</v>
      </c>
      <c r="Q6" s="260">
        <v>13.479504607310723</v>
      </c>
      <c r="R6" s="260">
        <v>2.8953685286648474</v>
      </c>
      <c r="S6" s="260">
        <v>23.264440687940869</v>
      </c>
    </row>
    <row r="7" spans="1:19">
      <c r="A7" t="s">
        <v>105</v>
      </c>
      <c r="B7" s="196">
        <v>11</v>
      </c>
      <c r="C7" s="259">
        <v>9.6581818181818213E-2</v>
      </c>
      <c r="D7" s="259">
        <v>6.549842969724802E-2</v>
      </c>
      <c r="E7" s="259">
        <v>6.0982915488660451E-2</v>
      </c>
      <c r="F7" s="259">
        <v>0.17788636363636365</v>
      </c>
      <c r="G7" s="260">
        <v>1.1354538648224781</v>
      </c>
      <c r="H7" s="260">
        <v>1.69625</v>
      </c>
      <c r="I7" s="259">
        <v>0.11521250000000001</v>
      </c>
      <c r="J7" s="259">
        <v>0.49507272727272722</v>
      </c>
      <c r="K7" s="259">
        <v>4.0399999999999998E-2</v>
      </c>
      <c r="L7" s="259">
        <v>0.46617435996763745</v>
      </c>
      <c r="M7" s="259">
        <v>7.2803453037844107E-2</v>
      </c>
      <c r="N7" s="260">
        <v>1.3176111758279845</v>
      </c>
      <c r="O7" s="260">
        <v>0.98385758270636359</v>
      </c>
      <c r="P7" s="260">
        <v>8.7624135094310027</v>
      </c>
      <c r="Q7" s="260">
        <v>15.021086570380806</v>
      </c>
      <c r="R7" s="260">
        <v>1.5933273240221189</v>
      </c>
      <c r="S7" s="260">
        <v>12.649591405253796</v>
      </c>
    </row>
    <row r="8" spans="1:19">
      <c r="A8" t="s">
        <v>106</v>
      </c>
      <c r="B8" s="196">
        <v>375</v>
      </c>
      <c r="C8" s="259">
        <v>0</v>
      </c>
      <c r="D8" s="259" t="s">
        <v>189</v>
      </c>
      <c r="E8" s="259" t="s">
        <v>189</v>
      </c>
      <c r="F8" s="259">
        <v>0.17907770666666667</v>
      </c>
      <c r="G8" s="260">
        <v>0.62006581912985104</v>
      </c>
      <c r="H8" s="260">
        <v>0.88184952978056397</v>
      </c>
      <c r="I8" s="259">
        <v>7.4492476489028195E-2</v>
      </c>
      <c r="J8" s="259">
        <v>0.43182477611940312</v>
      </c>
      <c r="K8" s="259">
        <v>4.0399999999999998E-2</v>
      </c>
      <c r="L8" s="259">
        <v>0.45739142807013888</v>
      </c>
      <c r="M8" s="259">
        <v>5.1507424503650513E-2</v>
      </c>
      <c r="N8" s="260" t="s">
        <v>189</v>
      </c>
      <c r="O8" s="260" t="s">
        <v>189</v>
      </c>
      <c r="P8" s="260">
        <v>5.4009422074625979</v>
      </c>
      <c r="Q8" s="260">
        <v>5.4009422074625979</v>
      </c>
      <c r="R8" s="260">
        <v>1.2059868375447365</v>
      </c>
      <c r="S8" s="260">
        <v>18.140057485878234</v>
      </c>
    </row>
    <row r="9" spans="1:19">
      <c r="A9" t="s">
        <v>107</v>
      </c>
      <c r="B9" s="196">
        <v>86</v>
      </c>
      <c r="C9" s="259">
        <v>0</v>
      </c>
      <c r="D9" s="259" t="s">
        <v>189</v>
      </c>
      <c r="E9" s="259" t="s">
        <v>189</v>
      </c>
      <c r="F9" s="259">
        <v>0.21875558139534887</v>
      </c>
      <c r="G9" s="260">
        <v>0.85989181029207429</v>
      </c>
      <c r="H9" s="260">
        <v>0.95164556962025304</v>
      </c>
      <c r="I9" s="259">
        <v>7.7982278481012648E-2</v>
      </c>
      <c r="J9" s="259">
        <v>0.32121012658227838</v>
      </c>
      <c r="K9" s="259">
        <v>4.0399999999999998E-2</v>
      </c>
      <c r="L9" s="259">
        <v>0.24385320239335406</v>
      </c>
      <c r="M9" s="259">
        <v>6.4877051769502272E-2</v>
      </c>
      <c r="N9" s="260" t="s">
        <v>189</v>
      </c>
      <c r="O9" s="260" t="s">
        <v>189</v>
      </c>
      <c r="P9" s="260">
        <v>5.4328400137908153</v>
      </c>
      <c r="Q9" s="260">
        <v>5.4328400137908153</v>
      </c>
      <c r="R9" s="260">
        <v>1.5850629960766822</v>
      </c>
      <c r="S9" s="260">
        <v>18.569014820394099</v>
      </c>
    </row>
    <row r="10" spans="1:19">
      <c r="A10" t="s">
        <v>108</v>
      </c>
      <c r="B10" s="196">
        <v>36</v>
      </c>
      <c r="C10" s="259">
        <v>3.2425000000000002E-2</v>
      </c>
      <c r="D10" s="259">
        <v>0.20461580383721154</v>
      </c>
      <c r="E10" s="259">
        <v>0.13871009336482043</v>
      </c>
      <c r="F10" s="259">
        <v>0.17037444444444447</v>
      </c>
      <c r="G10" s="260">
        <v>0.71369675779727471</v>
      </c>
      <c r="H10" s="260">
        <v>0.80851851851851841</v>
      </c>
      <c r="I10" s="259">
        <v>7.0825925925925917E-2</v>
      </c>
      <c r="J10" s="259">
        <v>0.47978064516129032</v>
      </c>
      <c r="K10" s="259">
        <v>4.0399999999999998E-2</v>
      </c>
      <c r="L10" s="259">
        <v>0.18116584536604385</v>
      </c>
      <c r="M10" s="259">
        <v>6.2386147273395649E-2</v>
      </c>
      <c r="N10" s="260">
        <v>0.86164430054014318</v>
      </c>
      <c r="O10" s="260">
        <v>3.5930844127302213</v>
      </c>
      <c r="P10" s="260">
        <v>14.357790428644446</v>
      </c>
      <c r="Q10" s="260">
        <v>17.56015100177116</v>
      </c>
      <c r="R10" s="260">
        <v>4.7931973355852371</v>
      </c>
      <c r="S10" s="260">
        <v>28.963324278262593</v>
      </c>
    </row>
    <row r="11" spans="1:19">
      <c r="A11" t="s">
        <v>109</v>
      </c>
      <c r="B11" s="196">
        <v>232</v>
      </c>
      <c r="C11" s="259">
        <v>0.23919495798319323</v>
      </c>
      <c r="D11" s="259">
        <v>0.22273711574457786</v>
      </c>
      <c r="E11" s="259">
        <v>0.16570478877816588</v>
      </c>
      <c r="F11" s="259">
        <v>2.627478448275862E-2</v>
      </c>
      <c r="G11" s="260">
        <v>1.2730969228127766</v>
      </c>
      <c r="H11" s="260">
        <v>1.2361111111111109</v>
      </c>
      <c r="I11" s="259">
        <v>9.2205555555555554E-2</v>
      </c>
      <c r="J11" s="259">
        <v>0.83672400000000036</v>
      </c>
      <c r="K11" s="259">
        <v>5.5400000000000005E-2</v>
      </c>
      <c r="L11" s="259">
        <v>0.11162729271636407</v>
      </c>
      <c r="M11" s="259">
        <v>8.5623390225372534E-2</v>
      </c>
      <c r="N11" s="260">
        <v>0.92647426771925223</v>
      </c>
      <c r="O11" s="260">
        <v>8.1741988955421352</v>
      </c>
      <c r="P11" s="260">
        <v>28.373574517347418</v>
      </c>
      <c r="Q11" s="260">
        <v>36.698862999177187</v>
      </c>
      <c r="R11" s="260">
        <v>6.4608736996526046</v>
      </c>
      <c r="S11" s="260">
        <v>63.707235745752989</v>
      </c>
    </row>
    <row r="12" spans="1:19">
      <c r="A12" t="s">
        <v>110</v>
      </c>
      <c r="B12" s="196">
        <v>42</v>
      </c>
      <c r="C12" s="259">
        <v>4.8636363636363623E-2</v>
      </c>
      <c r="D12" s="259">
        <v>5.4963353579462184E-3</v>
      </c>
      <c r="E12" s="259">
        <v>-3.8420810684657932E-3</v>
      </c>
      <c r="F12" s="259">
        <v>0.11269571428571429</v>
      </c>
      <c r="G12" s="260">
        <v>1.2845248687400135</v>
      </c>
      <c r="H12" s="260">
        <v>1.6926470588235289</v>
      </c>
      <c r="I12" s="259">
        <v>0.11503235294117645</v>
      </c>
      <c r="J12" s="259">
        <v>0.76767647058823507</v>
      </c>
      <c r="K12" s="259">
        <v>5.04E-2</v>
      </c>
      <c r="L12" s="259">
        <v>0.30245695043755283</v>
      </c>
      <c r="M12" s="259">
        <v>8.9386316450163553E-2</v>
      </c>
      <c r="N12" s="260">
        <v>1.0697563706082647</v>
      </c>
      <c r="O12" s="260">
        <v>1.6408004116442483</v>
      </c>
      <c r="P12" s="260">
        <v>26.981182166410996</v>
      </c>
      <c r="Q12" s="260">
        <v>298.52625518420984</v>
      </c>
      <c r="R12" s="260">
        <v>2.4213162085075859</v>
      </c>
      <c r="S12" s="260">
        <v>755.50283778138248</v>
      </c>
    </row>
    <row r="13" spans="1:19">
      <c r="A13" t="s">
        <v>111</v>
      </c>
      <c r="B13" s="196">
        <v>18</v>
      </c>
      <c r="C13" s="259">
        <v>8.7352941176470578E-2</v>
      </c>
      <c r="D13" s="259">
        <v>0.19144690320173954</v>
      </c>
      <c r="E13" s="259">
        <v>0.11435377468717609</v>
      </c>
      <c r="F13" s="259">
        <v>0.20745555555555556</v>
      </c>
      <c r="G13" s="260">
        <v>0.70936857784395502</v>
      </c>
      <c r="H13" s="260">
        <v>0.95705882352941196</v>
      </c>
      <c r="I13" s="259">
        <v>7.8252941176470595E-2</v>
      </c>
      <c r="J13" s="259">
        <v>0.37319999999999998</v>
      </c>
      <c r="K13" s="259">
        <v>4.0399999999999998E-2</v>
      </c>
      <c r="L13" s="259">
        <v>0.35245875834597518</v>
      </c>
      <c r="M13" s="259">
        <v>5.9215606994797568E-2</v>
      </c>
      <c r="N13" s="260">
        <v>0.85992272093736544</v>
      </c>
      <c r="O13" s="260">
        <v>2.6189843578489831</v>
      </c>
      <c r="P13" s="260">
        <v>8.0329770384538826</v>
      </c>
      <c r="Q13" s="260">
        <v>13.679951537733654</v>
      </c>
      <c r="R13" s="260">
        <v>5.2432480881506454</v>
      </c>
      <c r="S13" s="260">
        <v>25.951556684903853</v>
      </c>
    </row>
    <row r="14" spans="1:19">
      <c r="A14" t="s">
        <v>112</v>
      </c>
      <c r="B14" s="196">
        <v>18</v>
      </c>
      <c r="C14" s="259">
        <v>-6.2447058823529397E-2</v>
      </c>
      <c r="D14" s="259">
        <v>0.1415471207946877</v>
      </c>
      <c r="E14" s="259">
        <v>0.152958947019842</v>
      </c>
      <c r="F14" s="259">
        <v>0.21555861705500079</v>
      </c>
      <c r="G14" s="260">
        <v>1.1980938266661822</v>
      </c>
      <c r="H14" s="260">
        <v>1.3173333333333332</v>
      </c>
      <c r="I14" s="259">
        <v>9.6266666666666667E-2</v>
      </c>
      <c r="J14" s="259">
        <v>0.3816133333333333</v>
      </c>
      <c r="K14" s="259">
        <v>4.0399999999999998E-2</v>
      </c>
      <c r="L14" s="259">
        <v>0.18885377187345631</v>
      </c>
      <c r="M14" s="259">
        <v>8.2664158991194531E-2</v>
      </c>
      <c r="N14" s="260">
        <v>1.4168201107882625</v>
      </c>
      <c r="O14" s="260">
        <v>1.5918713116444017</v>
      </c>
      <c r="P14" s="260">
        <v>8.3742876779015507</v>
      </c>
      <c r="Q14" s="260">
        <v>11.246228836780022</v>
      </c>
      <c r="R14" s="260">
        <v>2.7622775665862349</v>
      </c>
      <c r="S14" s="260">
        <v>14.55224637364244</v>
      </c>
    </row>
    <row r="15" spans="1:19">
      <c r="A15" t="s">
        <v>113</v>
      </c>
      <c r="B15" s="196">
        <v>32</v>
      </c>
      <c r="C15" s="259">
        <v>9.0217857142857141E-2</v>
      </c>
      <c r="D15" s="259">
        <v>0.15728826869638765</v>
      </c>
      <c r="E15" s="259">
        <v>0.15211342432835301</v>
      </c>
      <c r="F15" s="259">
        <v>0.2114559375</v>
      </c>
      <c r="G15" s="260">
        <v>1.2405943589784865</v>
      </c>
      <c r="H15" s="260">
        <v>1.3169230769230766</v>
      </c>
      <c r="I15" s="259">
        <v>9.6246153846153829E-2</v>
      </c>
      <c r="J15" s="259">
        <v>0.44719629629629631</v>
      </c>
      <c r="K15" s="259">
        <v>4.0399999999999998E-2</v>
      </c>
      <c r="L15" s="259">
        <v>0.14843033916441206</v>
      </c>
      <c r="M15" s="259">
        <v>8.5558256008844383E-2</v>
      </c>
      <c r="N15" s="260">
        <v>1.377252400596249</v>
      </c>
      <c r="O15" s="260">
        <v>2.0697062140066858</v>
      </c>
      <c r="P15" s="260">
        <v>10.11337305120851</v>
      </c>
      <c r="Q15" s="260">
        <v>13.158681389022242</v>
      </c>
      <c r="R15" s="260">
        <v>3.4656901508377005</v>
      </c>
      <c r="S15" s="260">
        <v>22.157343393512143</v>
      </c>
    </row>
    <row r="16" spans="1:19">
      <c r="A16" t="s">
        <v>114</v>
      </c>
      <c r="B16" s="196">
        <v>73</v>
      </c>
      <c r="C16" s="259">
        <v>0.11685737704918032</v>
      </c>
      <c r="D16" s="259">
        <v>0.11657767141736787</v>
      </c>
      <c r="E16" s="259">
        <v>0.14168736935590781</v>
      </c>
      <c r="F16" s="259">
        <v>0.15518876712328766</v>
      </c>
      <c r="G16" s="260">
        <v>1.0260039614082239</v>
      </c>
      <c r="H16" s="260">
        <v>1.1336842105263154</v>
      </c>
      <c r="I16" s="259">
        <v>8.7084210526315778E-2</v>
      </c>
      <c r="J16" s="259">
        <v>0.60603809523809538</v>
      </c>
      <c r="K16" s="259">
        <v>4.5399999999999996E-2</v>
      </c>
      <c r="L16" s="259">
        <v>0.16363676831333096</v>
      </c>
      <c r="M16" s="259">
        <v>7.7291497313526844E-2</v>
      </c>
      <c r="N16" s="260">
        <v>1.7013781308253768</v>
      </c>
      <c r="O16" s="260">
        <v>1.7118281051224484</v>
      </c>
      <c r="P16" s="260">
        <v>10.919840351552882</v>
      </c>
      <c r="Q16" s="260">
        <v>14.684013536295582</v>
      </c>
      <c r="R16" s="260">
        <v>3.9134412961488958</v>
      </c>
      <c r="S16" s="260">
        <v>30.182830490972613</v>
      </c>
    </row>
    <row r="17" spans="1:19">
      <c r="A17" t="s">
        <v>115</v>
      </c>
      <c r="B17" s="196">
        <v>19</v>
      </c>
      <c r="C17" s="259">
        <v>5.7915789473684212E-2</v>
      </c>
      <c r="D17" s="259">
        <v>0.10200344317309222</v>
      </c>
      <c r="E17" s="259">
        <v>7.6512189567619224E-2</v>
      </c>
      <c r="F17" s="259">
        <v>9.4717241824646428E-2</v>
      </c>
      <c r="G17" s="260">
        <v>0.89491710935307933</v>
      </c>
      <c r="H17" s="260">
        <v>1.4441666666666668</v>
      </c>
      <c r="I17" s="259">
        <v>0.10260833333333334</v>
      </c>
      <c r="J17" s="259">
        <v>0.46065</v>
      </c>
      <c r="K17" s="259">
        <v>4.0399999999999998E-2</v>
      </c>
      <c r="L17" s="259">
        <v>0.43666733340606856</v>
      </c>
      <c r="M17" s="259">
        <v>6.8387442193188763E-2</v>
      </c>
      <c r="N17" s="260">
        <v>0.86789450368389987</v>
      </c>
      <c r="O17" s="260">
        <v>1.4010154898014471</v>
      </c>
      <c r="P17" s="260">
        <v>6.9695184426229506</v>
      </c>
      <c r="Q17" s="260">
        <v>13.73498233215548</v>
      </c>
      <c r="R17" s="260">
        <v>1.4264189023267233</v>
      </c>
      <c r="S17" s="260">
        <v>36.355087512269392</v>
      </c>
    </row>
    <row r="18" spans="1:19">
      <c r="A18" t="s">
        <v>265</v>
      </c>
      <c r="B18" s="196">
        <v>181</v>
      </c>
      <c r="C18" s="259">
        <v>0.10341407407407406</v>
      </c>
      <c r="D18" s="259">
        <v>0.26927595947326632</v>
      </c>
      <c r="E18" s="259">
        <v>0.25517096601566158</v>
      </c>
      <c r="F18" s="259">
        <v>0.13430558011049726</v>
      </c>
      <c r="G18" s="260">
        <v>0.90011364518604753</v>
      </c>
      <c r="H18" s="260">
        <v>0.84773437500000004</v>
      </c>
      <c r="I18" s="259">
        <v>7.2786718750000007E-2</v>
      </c>
      <c r="J18" s="259">
        <v>0.671378102189781</v>
      </c>
      <c r="K18" s="259">
        <v>5.04E-2</v>
      </c>
      <c r="L18" s="259">
        <v>7.0522648821137457E-2</v>
      </c>
      <c r="M18" s="259">
        <v>6.9786211445102053E-2</v>
      </c>
      <c r="N18" s="260">
        <v>1.2576035133990107</v>
      </c>
      <c r="O18" s="260">
        <v>4.0941965034146577</v>
      </c>
      <c r="P18" s="260">
        <v>12.983571785837537</v>
      </c>
      <c r="Q18" s="260">
        <v>15.204463522935209</v>
      </c>
      <c r="R18" s="260">
        <v>4.2762332056908212</v>
      </c>
      <c r="S18" s="260">
        <v>65.03180971148943</v>
      </c>
    </row>
    <row r="19" spans="1:19">
      <c r="A19" t="s">
        <v>116</v>
      </c>
      <c r="B19" s="196">
        <v>68</v>
      </c>
      <c r="C19" s="259">
        <v>-7.7333333333333308E-3</v>
      </c>
      <c r="D19" s="259">
        <v>0.15878198419786518</v>
      </c>
      <c r="E19" s="259">
        <v>0.2906729083906302</v>
      </c>
      <c r="F19" s="259">
        <v>7.6268235294117637E-2</v>
      </c>
      <c r="G19" s="260">
        <v>1.2938059959262698</v>
      </c>
      <c r="H19" s="260">
        <v>1.2827586206896551</v>
      </c>
      <c r="I19" s="259">
        <v>9.4537931034482756E-2</v>
      </c>
      <c r="J19" s="259">
        <v>0.77258852459016414</v>
      </c>
      <c r="K19" s="259">
        <v>5.04E-2</v>
      </c>
      <c r="L19" s="259">
        <v>7.8853490409147797E-2</v>
      </c>
      <c r="M19" s="259">
        <v>8.9467814746327132E-2</v>
      </c>
      <c r="N19" s="260">
        <v>2.4470952085876596</v>
      </c>
      <c r="O19" s="260">
        <v>1.6722309872865717</v>
      </c>
      <c r="P19" s="260">
        <v>8.6896531141990963</v>
      </c>
      <c r="Q19" s="260">
        <v>10.531616642368768</v>
      </c>
      <c r="R19" s="260">
        <v>4.0602206115244961</v>
      </c>
      <c r="S19" s="260">
        <v>51.523502918163864</v>
      </c>
    </row>
    <row r="20" spans="1:19">
      <c r="A20" t="s">
        <v>117</v>
      </c>
      <c r="B20" s="196">
        <v>123</v>
      </c>
      <c r="C20" s="259">
        <v>0.11321399999999997</v>
      </c>
      <c r="D20" s="259">
        <v>0.13182005875121158</v>
      </c>
      <c r="E20" s="259">
        <v>8.832760304034934E-2</v>
      </c>
      <c r="F20" s="259">
        <v>0.20270463414634152</v>
      </c>
      <c r="G20" s="260">
        <v>0.88246150114580935</v>
      </c>
      <c r="H20" s="260">
        <v>1.1506481481481483</v>
      </c>
      <c r="I20" s="259">
        <v>8.7932407407407417E-2</v>
      </c>
      <c r="J20" s="259">
        <v>0.57214513274336287</v>
      </c>
      <c r="K20" s="259">
        <v>4.5399999999999996E-2</v>
      </c>
      <c r="L20" s="259">
        <v>0.37794408501134213</v>
      </c>
      <c r="M20" s="259">
        <v>6.499407102267922E-2</v>
      </c>
      <c r="N20" s="260">
        <v>0.85667892734537743</v>
      </c>
      <c r="O20" s="260">
        <v>2.1811062114073865</v>
      </c>
      <c r="P20" s="260">
        <v>12.678326290131038</v>
      </c>
      <c r="Q20" s="260">
        <v>16.546087386623469</v>
      </c>
      <c r="R20" s="260">
        <v>2.9100063695915774</v>
      </c>
      <c r="S20" s="260">
        <v>28.678852685333393</v>
      </c>
    </row>
    <row r="21" spans="1:19">
      <c r="A21" t="s">
        <v>118</v>
      </c>
      <c r="B21" s="196">
        <v>199</v>
      </c>
      <c r="C21" s="259">
        <v>0.23484297520661154</v>
      </c>
      <c r="D21" s="259">
        <v>0.25652594541773183</v>
      </c>
      <c r="E21" s="259">
        <v>0.16784455120202263</v>
      </c>
      <c r="F21" s="259">
        <v>5.8932914572864314E-2</v>
      </c>
      <c r="G21" s="260">
        <v>0.99132917957201649</v>
      </c>
      <c r="H21" s="260">
        <v>1.0411724137931035</v>
      </c>
      <c r="I21" s="259">
        <v>8.2458620689655177E-2</v>
      </c>
      <c r="J21" s="259">
        <v>0.84776666666666645</v>
      </c>
      <c r="K21" s="259">
        <v>5.5400000000000005E-2</v>
      </c>
      <c r="L21" s="259">
        <v>0.11618784378216318</v>
      </c>
      <c r="M21" s="259">
        <v>7.6740015277791965E-2</v>
      </c>
      <c r="N21" s="260">
        <v>0.82194885811118334</v>
      </c>
      <c r="O21" s="260">
        <v>4.0571864696333311</v>
      </c>
      <c r="P21" s="260">
        <v>11.841584579537139</v>
      </c>
      <c r="Q21" s="260">
        <v>15.815891304977084</v>
      </c>
      <c r="R21" s="260">
        <v>3.8521357811023447</v>
      </c>
      <c r="S21" s="260">
        <v>49.112295530900511</v>
      </c>
    </row>
    <row r="22" spans="1:19">
      <c r="A22" t="s">
        <v>119</v>
      </c>
      <c r="B22" s="196">
        <v>66</v>
      </c>
      <c r="C22" s="259">
        <v>0.13826666666666668</v>
      </c>
      <c r="D22" s="259">
        <v>0.12172471099235814</v>
      </c>
      <c r="E22" s="259">
        <v>9.1051301841125809E-2</v>
      </c>
      <c r="F22" s="259">
        <v>0.10237454545454543</v>
      </c>
      <c r="G22" s="260">
        <v>0.81666419546098734</v>
      </c>
      <c r="H22" s="260">
        <v>0.81897435897435888</v>
      </c>
      <c r="I22" s="259">
        <v>7.1348717948717943E-2</v>
      </c>
      <c r="J22" s="259">
        <v>0.724487234042553</v>
      </c>
      <c r="K22" s="259">
        <v>5.04E-2</v>
      </c>
      <c r="L22" s="259">
        <v>7.3035292897853488E-2</v>
      </c>
      <c r="M22" s="259">
        <v>6.8346330692678092E-2</v>
      </c>
      <c r="N22" s="260">
        <v>0.99957190549973618</v>
      </c>
      <c r="O22" s="260">
        <v>6.0052128444999857</v>
      </c>
      <c r="P22" s="260">
        <v>30.968768977089471</v>
      </c>
      <c r="Q22" s="260">
        <v>49.334377510881851</v>
      </c>
      <c r="R22" s="260">
        <v>6.3315288077192839</v>
      </c>
      <c r="S22" s="260">
        <v>150.17158018075486</v>
      </c>
    </row>
    <row r="23" spans="1:19">
      <c r="A23" t="s">
        <v>120</v>
      </c>
      <c r="B23" s="196">
        <v>33</v>
      </c>
      <c r="C23" s="259">
        <v>3.5872413793103436E-2</v>
      </c>
      <c r="D23" s="259">
        <v>0.12701312317954019</v>
      </c>
      <c r="E23" s="259">
        <v>0.2571131342022076</v>
      </c>
      <c r="F23" s="259">
        <v>0.21439393939393936</v>
      </c>
      <c r="G23" s="260">
        <v>0.8511647054640471</v>
      </c>
      <c r="H23" s="260">
        <v>0.77703703703703719</v>
      </c>
      <c r="I23" s="259">
        <v>6.9251851851851856E-2</v>
      </c>
      <c r="J23" s="259">
        <v>0.810367741935484</v>
      </c>
      <c r="K23" s="259">
        <v>5.5400000000000005E-2</v>
      </c>
      <c r="L23" s="259">
        <v>0.12528920030188184</v>
      </c>
      <c r="M23" s="259">
        <v>6.4739955731943494E-2</v>
      </c>
      <c r="N23" s="260">
        <v>3.302212755886877</v>
      </c>
      <c r="O23" s="260">
        <v>1.0185462940685643</v>
      </c>
      <c r="P23" s="260">
        <v>5.9476497418389638</v>
      </c>
      <c r="Q23" s="260">
        <v>8.0192209164779911</v>
      </c>
      <c r="R23" s="260">
        <v>2.9342454761773005</v>
      </c>
      <c r="S23" s="260">
        <v>24.09762545072067</v>
      </c>
    </row>
    <row r="24" spans="1:19">
      <c r="A24" t="s">
        <v>121</v>
      </c>
      <c r="B24" s="196">
        <v>20</v>
      </c>
      <c r="C24" s="259">
        <v>-2.2514999999999997E-2</v>
      </c>
      <c r="D24" s="259">
        <v>0.18576263274594468</v>
      </c>
      <c r="E24" s="259">
        <v>6.2854044483229662E-2</v>
      </c>
      <c r="F24" s="259">
        <v>0.28849399999999997</v>
      </c>
      <c r="G24" s="260">
        <v>0.35190398563856312</v>
      </c>
      <c r="H24" s="260">
        <v>0.54649999999999976</v>
      </c>
      <c r="I24" s="259">
        <v>5.7724999999999985E-2</v>
      </c>
      <c r="J24" s="259">
        <v>0.14798499999999998</v>
      </c>
      <c r="K24" s="259">
        <v>3.5400000000000001E-2</v>
      </c>
      <c r="L24" s="259">
        <v>0.44436905965951867</v>
      </c>
      <c r="M24" s="259">
        <v>4.151219485832245E-2</v>
      </c>
      <c r="N24" s="260">
        <v>0.488582701739813</v>
      </c>
      <c r="O24" s="260">
        <v>2.6074589554759817</v>
      </c>
      <c r="P24" s="260">
        <v>8.5104083972832321</v>
      </c>
      <c r="Q24" s="260">
        <v>14.036509479503511</v>
      </c>
      <c r="R24" s="260">
        <v>1.6209304318608775</v>
      </c>
      <c r="S24" s="260">
        <v>16.687393228680754</v>
      </c>
    </row>
    <row r="25" spans="1:19">
      <c r="A25" t="s">
        <v>122</v>
      </c>
      <c r="B25" s="196">
        <v>17</v>
      </c>
      <c r="C25" s="259">
        <v>-9.7949999999999995E-2</v>
      </c>
      <c r="D25" s="259">
        <v>0.20004469493527943</v>
      </c>
      <c r="E25" s="259">
        <v>5.4510012034320564E-2</v>
      </c>
      <c r="F25" s="259">
        <v>0.31063705882352943</v>
      </c>
      <c r="G25" s="260">
        <v>0.25608527064267772</v>
      </c>
      <c r="H25" s="260">
        <v>0.390625</v>
      </c>
      <c r="I25" s="259">
        <v>4.9931249999999996E-2</v>
      </c>
      <c r="J25" s="259">
        <v>0.1307625</v>
      </c>
      <c r="K25" s="259">
        <v>3.5400000000000001E-2</v>
      </c>
      <c r="L25" s="259">
        <v>0.44168563494468471</v>
      </c>
      <c r="M25" s="259">
        <v>3.7258737026393311E-2</v>
      </c>
      <c r="N25" s="260">
        <v>0.40385389877293681</v>
      </c>
      <c r="O25" s="260">
        <v>3.0921879727049637</v>
      </c>
      <c r="P25" s="260">
        <v>9.5579942853294586</v>
      </c>
      <c r="Q25" s="260">
        <v>15.457485506953239</v>
      </c>
      <c r="R25" s="260">
        <v>1.5437335996940811</v>
      </c>
      <c r="S25" s="260">
        <v>16.673464279020525</v>
      </c>
    </row>
    <row r="26" spans="1:19">
      <c r="A26" t="s">
        <v>123</v>
      </c>
      <c r="B26" s="196">
        <v>15</v>
      </c>
      <c r="C26" s="259">
        <v>-5.0226666666666669E-2</v>
      </c>
      <c r="D26" s="259">
        <v>0.16875314997480015</v>
      </c>
      <c r="E26" s="259">
        <v>6.4513815318495635E-2</v>
      </c>
      <c r="F26" s="259">
        <v>0.28235933333333335</v>
      </c>
      <c r="G26" s="260">
        <v>0.36677841867863226</v>
      </c>
      <c r="H26" s="260">
        <v>0.54466666666666663</v>
      </c>
      <c r="I26" s="259">
        <v>5.7633333333333328E-2</v>
      </c>
      <c r="J26" s="259">
        <v>0.14108000000000001</v>
      </c>
      <c r="K26" s="259">
        <v>3.5400000000000001E-2</v>
      </c>
      <c r="L26" s="259">
        <v>0.41235984843702955</v>
      </c>
      <c r="M26" s="259">
        <v>4.2626183915881702E-2</v>
      </c>
      <c r="N26" s="260">
        <v>0.51329487245622729</v>
      </c>
      <c r="O26" s="260">
        <v>2.4643437852497181</v>
      </c>
      <c r="P26" s="260">
        <v>8.3244696213499267</v>
      </c>
      <c r="Q26" s="260">
        <v>14.603246135658608</v>
      </c>
      <c r="R26" s="260">
        <v>1.5432414511698398</v>
      </c>
      <c r="S26" s="260">
        <v>16.853123038823053</v>
      </c>
    </row>
    <row r="27" spans="1:19">
      <c r="A27" t="s">
        <v>124</v>
      </c>
      <c r="B27" s="196">
        <v>60</v>
      </c>
      <c r="C27" s="259">
        <v>-2.6082692307692317E-2</v>
      </c>
      <c r="D27" s="259">
        <v>6.7372299448182821E-2</v>
      </c>
      <c r="E27" s="259">
        <v>4.4126859820021042E-2</v>
      </c>
      <c r="F27" s="259">
        <v>0.16776733333333332</v>
      </c>
      <c r="G27" s="260">
        <v>1.3440788774829324</v>
      </c>
      <c r="H27" s="260">
        <v>1.3464150943396227</v>
      </c>
      <c r="I27" s="259">
        <v>9.7720754716981134E-2</v>
      </c>
      <c r="J27" s="259">
        <v>0.67145087719298269</v>
      </c>
      <c r="K27" s="259">
        <v>5.04E-2</v>
      </c>
      <c r="L27" s="259">
        <v>0.10486140702786417</v>
      </c>
      <c r="M27" s="259">
        <v>9.0644627830056307E-2</v>
      </c>
      <c r="N27" s="260">
        <v>1.4617853891562171</v>
      </c>
      <c r="O27" s="260">
        <v>1.9056952397898621</v>
      </c>
      <c r="P27" s="260">
        <v>18.398290765902409</v>
      </c>
      <c r="Q27" s="260">
        <v>28.286035290447</v>
      </c>
      <c r="R27" s="260">
        <v>2.8871634396202634</v>
      </c>
      <c r="S27" s="260">
        <v>23.358854736094571</v>
      </c>
    </row>
    <row r="28" spans="1:19">
      <c r="A28" t="s">
        <v>125</v>
      </c>
      <c r="B28" s="196">
        <v>99</v>
      </c>
      <c r="C28" s="259">
        <v>5.2035294117647062E-2</v>
      </c>
      <c r="D28" s="259">
        <v>5.9668433577824302E-2</v>
      </c>
      <c r="E28" s="259">
        <v>0.12060230513883029</v>
      </c>
      <c r="F28" s="259">
        <v>0.1164668686868687</v>
      </c>
      <c r="G28" s="260">
        <v>1.0956988913175791</v>
      </c>
      <c r="H28" s="260">
        <v>1.1394318181818182</v>
      </c>
      <c r="I28" s="259">
        <v>8.7371590909090913E-2</v>
      </c>
      <c r="J28" s="259">
        <v>0.75335888888888891</v>
      </c>
      <c r="K28" s="259">
        <v>5.04E-2</v>
      </c>
      <c r="L28" s="259">
        <v>0.15497155312284427</v>
      </c>
      <c r="M28" s="259">
        <v>7.8517819533530125E-2</v>
      </c>
      <c r="N28" s="260">
        <v>2.6810625037155829</v>
      </c>
      <c r="O28" s="260">
        <v>0.83264604584460278</v>
      </c>
      <c r="P28" s="260">
        <v>9.6071388653997403</v>
      </c>
      <c r="Q28" s="260">
        <v>13.9545484256529</v>
      </c>
      <c r="R28" s="260">
        <v>2.4074203883602037</v>
      </c>
      <c r="S28" s="260">
        <v>25.255395918154441</v>
      </c>
    </row>
    <row r="29" spans="1:19">
      <c r="A29" t="s">
        <v>126</v>
      </c>
      <c r="B29" s="196">
        <v>30</v>
      </c>
      <c r="C29" s="259">
        <v>0.13101153846153851</v>
      </c>
      <c r="D29" s="259">
        <v>5.190975339388755E-2</v>
      </c>
      <c r="E29" s="259">
        <v>0.13830968219655895</v>
      </c>
      <c r="F29" s="259">
        <v>0.19882299999999997</v>
      </c>
      <c r="G29" s="260">
        <v>1.1487428605917036</v>
      </c>
      <c r="H29" s="260">
        <v>1.1048148148148147</v>
      </c>
      <c r="I29" s="259">
        <v>8.564074074074074E-2</v>
      </c>
      <c r="J29" s="259">
        <v>0.56110000000000015</v>
      </c>
      <c r="K29" s="259">
        <v>4.5399999999999996E-2</v>
      </c>
      <c r="L29" s="259">
        <v>0.10589131326319656</v>
      </c>
      <c r="M29" s="259">
        <v>7.9456609608160242E-2</v>
      </c>
      <c r="N29" s="260">
        <v>3.7646517864993996</v>
      </c>
      <c r="O29" s="260">
        <v>0.61286178515224699</v>
      </c>
      <c r="P29" s="260">
        <v>9.1697497617531774</v>
      </c>
      <c r="Q29" s="260">
        <v>11.806293520639462</v>
      </c>
      <c r="R29" s="260">
        <v>2.2554497183212581</v>
      </c>
      <c r="S29" s="260">
        <v>22.405045461867271</v>
      </c>
    </row>
    <row r="30" spans="1:19">
      <c r="A30" t="s">
        <v>127</v>
      </c>
      <c r="B30" s="196">
        <v>67</v>
      </c>
      <c r="C30" s="259">
        <v>9.0349999999999986E-2</v>
      </c>
      <c r="D30" s="259">
        <v>0.21640500752189684</v>
      </c>
      <c r="E30" s="259">
        <v>0.11786772580912815</v>
      </c>
      <c r="F30" s="259">
        <v>0.14871656716417911</v>
      </c>
      <c r="G30" s="260">
        <v>1.1822355084947258</v>
      </c>
      <c r="H30" s="260">
        <v>1.333469387755102</v>
      </c>
      <c r="I30" s="259">
        <v>9.7073469387755101E-2</v>
      </c>
      <c r="J30" s="259">
        <v>0.61005660377358484</v>
      </c>
      <c r="K30" s="259">
        <v>4.5399999999999996E-2</v>
      </c>
      <c r="L30" s="259">
        <v>0.16949281327170262</v>
      </c>
      <c r="M30" s="259">
        <v>8.5237198200701164E-2</v>
      </c>
      <c r="N30" s="260">
        <v>0.79086350672174899</v>
      </c>
      <c r="O30" s="260">
        <v>3.3055190845127442</v>
      </c>
      <c r="P30" s="260">
        <v>12.878239446321835</v>
      </c>
      <c r="Q30" s="260">
        <v>15.274688522067942</v>
      </c>
      <c r="R30" s="260">
        <v>3.5023072913415096</v>
      </c>
      <c r="S30" s="260">
        <v>25.358703794963038</v>
      </c>
    </row>
    <row r="31" spans="1:19">
      <c r="A31" t="s">
        <v>128</v>
      </c>
      <c r="B31" s="196">
        <v>36</v>
      </c>
      <c r="C31" s="259">
        <v>5.4515624999999998E-2</v>
      </c>
      <c r="D31" s="259">
        <v>0.14843330865571655</v>
      </c>
      <c r="E31" s="259">
        <v>0.14973855785792914</v>
      </c>
      <c r="F31" s="259">
        <v>0.11446777777777778</v>
      </c>
      <c r="G31" s="260">
        <v>1.3344289808931098</v>
      </c>
      <c r="H31" s="260">
        <v>1.0624999999999998</v>
      </c>
      <c r="I31" s="259">
        <v>8.3524999999999988E-2</v>
      </c>
      <c r="J31" s="259">
        <v>0.49474193548387085</v>
      </c>
      <c r="K31" s="259">
        <v>4.0399999999999998E-2</v>
      </c>
      <c r="L31" s="259">
        <v>6.0129076901604184E-2</v>
      </c>
      <c r="M31" s="259">
        <v>7.9960247675888385E-2</v>
      </c>
      <c r="N31" s="260">
        <v>1.2682704137797063</v>
      </c>
      <c r="O31" s="260">
        <v>1.9570864754747037</v>
      </c>
      <c r="P31" s="260">
        <v>10.011309183211074</v>
      </c>
      <c r="Q31" s="260">
        <v>13.184954867603642</v>
      </c>
      <c r="R31" s="260">
        <v>1.9184010849895063</v>
      </c>
      <c r="S31" s="260">
        <v>20.101393393732831</v>
      </c>
    </row>
    <row r="32" spans="1:19">
      <c r="A32" t="s">
        <v>129</v>
      </c>
      <c r="B32" s="196">
        <v>61</v>
      </c>
      <c r="C32" s="259">
        <v>0.16241777777777769</v>
      </c>
      <c r="D32" s="259">
        <v>0.14232994403827065</v>
      </c>
      <c r="E32" s="259">
        <v>7.1507359123987105E-2</v>
      </c>
      <c r="F32" s="259">
        <v>0.10817311475409835</v>
      </c>
      <c r="G32" s="260">
        <v>0.34024493584775001</v>
      </c>
      <c r="H32" s="260">
        <v>0.45300000000000012</v>
      </c>
      <c r="I32" s="259">
        <v>5.3050000000000007E-2</v>
      </c>
      <c r="J32" s="259">
        <v>0.77980384615384624</v>
      </c>
      <c r="K32" s="259">
        <v>5.04E-2</v>
      </c>
      <c r="L32" s="259">
        <v>0.28424883669399537</v>
      </c>
      <c r="M32" s="259">
        <v>4.6566284035009967E-2</v>
      </c>
      <c r="N32" s="260">
        <v>0.7627168063109212</v>
      </c>
      <c r="O32" s="260">
        <v>2.3558507616423237</v>
      </c>
      <c r="P32" s="260">
        <v>10.354707409044515</v>
      </c>
      <c r="Q32" s="260">
        <v>16.552038838776376</v>
      </c>
      <c r="R32" s="260">
        <v>2.5586130418424124</v>
      </c>
      <c r="S32" s="260">
        <v>28.064879985725039</v>
      </c>
    </row>
    <row r="33" spans="1:19">
      <c r="A33" t="s">
        <v>130</v>
      </c>
      <c r="B33" s="196">
        <v>225</v>
      </c>
      <c r="C33" s="259">
        <v>0.19019133858267714</v>
      </c>
      <c r="D33" s="259">
        <v>0.4876298652821307</v>
      </c>
      <c r="E33" s="259">
        <v>0.11193183151270443</v>
      </c>
      <c r="F33" s="259">
        <v>0.16738742222222217</v>
      </c>
      <c r="G33" s="260">
        <v>0.94517583250740744</v>
      </c>
      <c r="H33" s="260">
        <v>1.1881699346405228</v>
      </c>
      <c r="I33" s="259">
        <v>8.9808496732026136E-2</v>
      </c>
      <c r="J33" s="259">
        <v>0.54619534883720933</v>
      </c>
      <c r="K33" s="259">
        <v>4.5399999999999996E-2</v>
      </c>
      <c r="L33" s="259">
        <v>0.35092497524860689</v>
      </c>
      <c r="M33" s="259">
        <v>6.7851648564997327E-2</v>
      </c>
      <c r="N33" s="260">
        <v>0.32117862021334342</v>
      </c>
      <c r="O33" s="260">
        <v>5.4798268153780354</v>
      </c>
      <c r="P33" s="260">
        <v>10.5814515900722</v>
      </c>
      <c r="Q33" s="260">
        <v>11.237676782178921</v>
      </c>
      <c r="R33" s="260">
        <v>2.362454187963245</v>
      </c>
      <c r="S33" s="260">
        <v>26.685639239861789</v>
      </c>
    </row>
    <row r="34" spans="1:19">
      <c r="A34" t="s">
        <v>131</v>
      </c>
      <c r="B34" s="196">
        <v>104</v>
      </c>
      <c r="C34" s="259">
        <v>6.5843956043956028E-2</v>
      </c>
      <c r="D34" s="259">
        <v>9.2301119748155622E-2</v>
      </c>
      <c r="E34" s="259">
        <v>0.12398933847604081</v>
      </c>
      <c r="F34" s="259">
        <v>0.21846636988011986</v>
      </c>
      <c r="G34" s="260">
        <v>0.76058140283043618</v>
      </c>
      <c r="H34" s="260">
        <v>0.85075000000000023</v>
      </c>
      <c r="I34" s="259">
        <v>7.2937500000000016E-2</v>
      </c>
      <c r="J34" s="259">
        <v>0.51379090909090908</v>
      </c>
      <c r="K34" s="259">
        <v>4.5399999999999996E-2</v>
      </c>
      <c r="L34" s="259">
        <v>0.17029565643806033</v>
      </c>
      <c r="M34" s="259">
        <v>6.5155414239921758E-2</v>
      </c>
      <c r="N34" s="260">
        <v>1.7757105149303445</v>
      </c>
      <c r="O34" s="260">
        <v>1.3987510682456354</v>
      </c>
      <c r="P34" s="260">
        <v>12.039161462663758</v>
      </c>
      <c r="Q34" s="260">
        <v>15.154215594156813</v>
      </c>
      <c r="R34" s="260">
        <v>3.2682893110941729</v>
      </c>
      <c r="S34" s="260">
        <v>31.353770946308771</v>
      </c>
    </row>
    <row r="35" spans="1:19">
      <c r="A35" t="s">
        <v>132</v>
      </c>
      <c r="B35" s="196">
        <v>10</v>
      </c>
      <c r="C35" s="259">
        <v>-9.4750000000000001E-2</v>
      </c>
      <c r="D35" s="259">
        <v>4.5624178554594136E-2</v>
      </c>
      <c r="E35" s="259">
        <v>6.7501135488844621E-2</v>
      </c>
      <c r="F35" s="259">
        <v>0.31099599999999999</v>
      </c>
      <c r="G35" s="260">
        <v>1.1488804751567461</v>
      </c>
      <c r="H35" s="260">
        <v>1.1066666666666667</v>
      </c>
      <c r="I35" s="259">
        <v>8.5733333333333342E-2</v>
      </c>
      <c r="J35" s="259">
        <v>0.29833999999999999</v>
      </c>
      <c r="K35" s="259">
        <v>4.0399999999999998E-2</v>
      </c>
      <c r="L35" s="259">
        <v>0.24764122376944486</v>
      </c>
      <c r="M35" s="259">
        <v>7.0505049013004278E-2</v>
      </c>
      <c r="N35" s="260">
        <v>2.2336237348595702</v>
      </c>
      <c r="O35" s="260">
        <v>0.5354939386495976</v>
      </c>
      <c r="P35" s="260">
        <v>5.3908684471255324</v>
      </c>
      <c r="Q35" s="260">
        <v>11.737064767288308</v>
      </c>
      <c r="R35" s="260">
        <v>1.2064139971591348</v>
      </c>
      <c r="S35" s="260">
        <v>34.224567724922309</v>
      </c>
    </row>
    <row r="36" spans="1:19">
      <c r="A36" t="s">
        <v>133</v>
      </c>
      <c r="B36" s="196">
        <v>6</v>
      </c>
      <c r="C36" s="259">
        <v>6.7299999999999999E-2</v>
      </c>
      <c r="D36" s="259">
        <v>0.14721884035915384</v>
      </c>
      <c r="E36" s="259">
        <v>8.4117652380101673E-2</v>
      </c>
      <c r="F36" s="259">
        <v>0.27801333333333328</v>
      </c>
      <c r="G36" s="260">
        <v>0.80705514501229036</v>
      </c>
      <c r="H36" s="260">
        <v>1.0133333333333334</v>
      </c>
      <c r="I36" s="259">
        <v>8.1066666666666676E-2</v>
      </c>
      <c r="J36" s="259">
        <v>0.25906666666666661</v>
      </c>
      <c r="K36" s="259">
        <v>4.0399999999999998E-2</v>
      </c>
      <c r="L36" s="259">
        <v>0.28094625440962862</v>
      </c>
      <c r="M36" s="259">
        <v>6.510142751608218E-2</v>
      </c>
      <c r="N36" s="260">
        <v>0.85375083234534632</v>
      </c>
      <c r="O36" s="260">
        <v>2.2444262669304513</v>
      </c>
      <c r="P36" s="260">
        <v>11.690943321442727</v>
      </c>
      <c r="Q36" s="260">
        <v>15.2455097557824</v>
      </c>
      <c r="R36" s="260">
        <v>2.8669579030976964</v>
      </c>
      <c r="S36" s="260">
        <v>22.402798907473272</v>
      </c>
    </row>
    <row r="37" spans="1:19">
      <c r="A37" t="s">
        <v>134</v>
      </c>
      <c r="B37" s="196">
        <v>28</v>
      </c>
      <c r="C37" s="259">
        <v>2.9719230769230772E-2</v>
      </c>
      <c r="D37" s="259">
        <v>6.8350769631662034E-2</v>
      </c>
      <c r="E37" s="259">
        <v>0.10099088713475743</v>
      </c>
      <c r="F37" s="259">
        <v>0.19542928571428572</v>
      </c>
      <c r="G37" s="260">
        <v>1.3318614058045495</v>
      </c>
      <c r="H37" s="260">
        <v>1.3941666666666668</v>
      </c>
      <c r="I37" s="259">
        <v>0.10010833333333334</v>
      </c>
      <c r="J37" s="259">
        <v>0.45608333333333345</v>
      </c>
      <c r="K37" s="259">
        <v>4.0399999999999998E-2</v>
      </c>
      <c r="L37" s="259">
        <v>0.12039381880200517</v>
      </c>
      <c r="M37" s="259">
        <v>9.0974254957189873E-2</v>
      </c>
      <c r="N37" s="260">
        <v>1.9447508212554627</v>
      </c>
      <c r="O37" s="260">
        <v>1.3423841567160744</v>
      </c>
      <c r="P37" s="260">
        <v>14.071259123133803</v>
      </c>
      <c r="Q37" s="260">
        <v>19.639634841715718</v>
      </c>
      <c r="R37" s="260">
        <v>2.9530653556969355</v>
      </c>
      <c r="S37" s="260">
        <v>22.353598411460375</v>
      </c>
    </row>
    <row r="38" spans="1:19">
      <c r="A38" t="s">
        <v>135</v>
      </c>
      <c r="B38" s="196">
        <v>19</v>
      </c>
      <c r="C38" s="259">
        <v>7.1182352941176461E-2</v>
      </c>
      <c r="D38" s="259">
        <v>0.13679243266296165</v>
      </c>
      <c r="E38" s="259">
        <v>0.10002807306367952</v>
      </c>
      <c r="F38" s="259">
        <v>0.1800547368421053</v>
      </c>
      <c r="G38" s="260">
        <v>1.075497742686373</v>
      </c>
      <c r="H38" s="260">
        <v>1.0658823529411765</v>
      </c>
      <c r="I38" s="259">
        <v>8.3694117647058822E-2</v>
      </c>
      <c r="J38" s="259">
        <v>0.54313529411764716</v>
      </c>
      <c r="K38" s="259">
        <v>4.5399999999999996E-2</v>
      </c>
      <c r="L38" s="259">
        <v>7.7120064321104409E-2</v>
      </c>
      <c r="M38" s="259">
        <v>7.9340372462926453E-2</v>
      </c>
      <c r="N38" s="260">
        <v>1.1088566066177012</v>
      </c>
      <c r="O38" s="260">
        <v>4.735356443165009</v>
      </c>
      <c r="P38" s="260">
        <v>21.114162556232497</v>
      </c>
      <c r="Q38" s="260">
        <v>34.617093584645119</v>
      </c>
      <c r="R38" s="260">
        <v>5.3652077579142254</v>
      </c>
      <c r="S38" s="260">
        <v>1058.2446769113355</v>
      </c>
    </row>
    <row r="39" spans="1:19">
      <c r="A39" t="s">
        <v>266</v>
      </c>
      <c r="B39" s="196">
        <v>21</v>
      </c>
      <c r="C39" s="259">
        <v>3.9259999999999996E-2</v>
      </c>
      <c r="D39" s="259">
        <v>0.10865310799260275</v>
      </c>
      <c r="E39" s="259">
        <v>0.15038455952403684</v>
      </c>
      <c r="F39" s="259">
        <v>0.20127714285714282</v>
      </c>
      <c r="G39" s="260">
        <v>1.4567452186438001</v>
      </c>
      <c r="H39" s="260">
        <v>1.7931578947368418</v>
      </c>
      <c r="I39" s="259">
        <v>0.1200578947368421</v>
      </c>
      <c r="J39" s="259">
        <v>0.39159999999999995</v>
      </c>
      <c r="K39" s="259">
        <v>4.0399999999999998E-2</v>
      </c>
      <c r="L39" s="259">
        <v>0.29490854439852865</v>
      </c>
      <c r="M39" s="259">
        <v>9.1800378872668564E-2</v>
      </c>
      <c r="N39" s="260">
        <v>1.9499243576767946</v>
      </c>
      <c r="O39" s="260">
        <v>1.1420407217243644</v>
      </c>
      <c r="P39" s="260">
        <v>8.2253666832554195</v>
      </c>
      <c r="Q39" s="260">
        <v>10.510888669674467</v>
      </c>
      <c r="R39" s="260">
        <v>3.5838626720676725</v>
      </c>
      <c r="S39" s="260">
        <v>19.883825155488577</v>
      </c>
    </row>
    <row r="40" spans="1:19">
      <c r="A40" t="s">
        <v>136</v>
      </c>
      <c r="B40" s="196">
        <v>25</v>
      </c>
      <c r="C40" s="259">
        <v>0.14607000000000003</v>
      </c>
      <c r="D40" s="259">
        <v>-0.17623848312850846</v>
      </c>
      <c r="E40" s="259">
        <v>-0.17932801985719349</v>
      </c>
      <c r="F40" s="259">
        <v>7.0940400000000001E-2</v>
      </c>
      <c r="G40" s="260">
        <v>1.3999239299276989</v>
      </c>
      <c r="H40" s="260">
        <v>1.7870000000000001</v>
      </c>
      <c r="I40" s="259">
        <v>0.11975000000000001</v>
      </c>
      <c r="J40" s="259">
        <v>0.41471999999999998</v>
      </c>
      <c r="K40" s="259">
        <v>4.0399999999999998E-2</v>
      </c>
      <c r="L40" s="259">
        <v>0.35224302947437613</v>
      </c>
      <c r="M40" s="259">
        <v>8.6107268254902336E-2</v>
      </c>
      <c r="N40" s="260">
        <v>0.94402218812699157</v>
      </c>
      <c r="O40" s="260">
        <v>1.837783014739895</v>
      </c>
      <c r="P40" s="260" t="s">
        <v>189</v>
      </c>
      <c r="Q40" s="260" t="s">
        <v>189</v>
      </c>
      <c r="R40" s="260">
        <v>2.2450886296151888</v>
      </c>
      <c r="S40" s="260">
        <v>25.558458404537152</v>
      </c>
    </row>
    <row r="41" spans="1:19">
      <c r="A41" t="s">
        <v>137</v>
      </c>
      <c r="B41" s="196">
        <v>53</v>
      </c>
      <c r="C41" s="259">
        <v>0.15358913043478264</v>
      </c>
      <c r="D41" s="259">
        <v>0.15196019217661264</v>
      </c>
      <c r="E41" s="259">
        <v>0.10234129973124671</v>
      </c>
      <c r="F41" s="259">
        <v>0.14475075471698112</v>
      </c>
      <c r="G41" s="260">
        <v>1.1414834706162307</v>
      </c>
      <c r="H41" s="260">
        <v>1.4865116279069772</v>
      </c>
      <c r="I41" s="259">
        <v>0.10472558139534886</v>
      </c>
      <c r="J41" s="259">
        <v>0.58460217391304348</v>
      </c>
      <c r="K41" s="259">
        <v>4.5399999999999996E-2</v>
      </c>
      <c r="L41" s="259">
        <v>0.30647970150866943</v>
      </c>
      <c r="M41" s="259">
        <v>8.0977823538076629E-2</v>
      </c>
      <c r="N41" s="260">
        <v>0.805951201236906</v>
      </c>
      <c r="O41" s="260">
        <v>3.0957691761141244</v>
      </c>
      <c r="P41" s="260">
        <v>13.805447085312524</v>
      </c>
      <c r="Q41" s="260">
        <v>20.372237832630073</v>
      </c>
      <c r="R41" s="260">
        <v>5.4509755195450644</v>
      </c>
      <c r="S41" s="260">
        <v>37.989699917608618</v>
      </c>
    </row>
    <row r="42" spans="1:19">
      <c r="A42" t="s">
        <v>138</v>
      </c>
      <c r="B42" s="196">
        <v>26</v>
      </c>
      <c r="C42" s="259">
        <v>7.3329166666666667E-2</v>
      </c>
      <c r="D42" s="259">
        <v>0.16933069054096819</v>
      </c>
      <c r="E42" s="259">
        <v>0.14721927772399618</v>
      </c>
      <c r="F42" s="259">
        <v>0.23875538461538459</v>
      </c>
      <c r="G42" s="260">
        <v>0.86227008625155788</v>
      </c>
      <c r="H42" s="260">
        <v>0.94173913043478275</v>
      </c>
      <c r="I42" s="259">
        <v>7.7486956521739134E-2</v>
      </c>
      <c r="J42" s="259">
        <v>0.40365600000000001</v>
      </c>
      <c r="K42" s="259">
        <v>4.0399999999999998E-2</v>
      </c>
      <c r="L42" s="259">
        <v>0.1370199005130871</v>
      </c>
      <c r="M42" s="259">
        <v>7.0191063836505765E-2</v>
      </c>
      <c r="N42" s="260">
        <v>1.1929042626885051</v>
      </c>
      <c r="O42" s="260">
        <v>2.6469344082357353</v>
      </c>
      <c r="P42" s="260">
        <v>13.127641805137927</v>
      </c>
      <c r="Q42" s="260">
        <v>15.63174637615578</v>
      </c>
      <c r="R42" s="260">
        <v>4.3765896065192287</v>
      </c>
      <c r="S42" s="260">
        <v>21.023121448873439</v>
      </c>
    </row>
    <row r="43" spans="1:19">
      <c r="A43" t="s">
        <v>139</v>
      </c>
      <c r="B43" s="196">
        <v>25</v>
      </c>
      <c r="C43" s="259">
        <v>7.677272727272727E-2</v>
      </c>
      <c r="D43" s="259">
        <v>3.152436204681424E-2</v>
      </c>
      <c r="E43" s="259">
        <v>0.1168932582034698</v>
      </c>
      <c r="F43" s="259">
        <v>0.25628440000000002</v>
      </c>
      <c r="G43" s="260">
        <v>1.4987503113968152</v>
      </c>
      <c r="H43" s="260">
        <v>1.4715000000000003</v>
      </c>
      <c r="I43" s="259">
        <v>0.10397500000000001</v>
      </c>
      <c r="J43" s="259">
        <v>0.50437272727272731</v>
      </c>
      <c r="K43" s="259">
        <v>4.5399999999999996E-2</v>
      </c>
      <c r="L43" s="259">
        <v>8.3300017895149625E-2</v>
      </c>
      <c r="M43" s="259">
        <v>9.75829731268157E-2</v>
      </c>
      <c r="N43" s="260">
        <v>6.0903666038754896</v>
      </c>
      <c r="O43" s="260">
        <v>0.52243596676024895</v>
      </c>
      <c r="P43" s="260">
        <v>13.143061067796578</v>
      </c>
      <c r="Q43" s="260">
        <v>16.572451679891959</v>
      </c>
      <c r="R43" s="260">
        <v>3.2044480528123089</v>
      </c>
      <c r="S43" s="260">
        <v>26.36525281576823</v>
      </c>
    </row>
    <row r="44" spans="1:19">
      <c r="A44" t="s">
        <v>140</v>
      </c>
      <c r="B44" s="196">
        <v>122</v>
      </c>
      <c r="C44" s="259">
        <v>6.3044339622641513E-2</v>
      </c>
      <c r="D44" s="259">
        <v>0.10226892558012976</v>
      </c>
      <c r="E44" s="259">
        <v>7.449151680399968E-2</v>
      </c>
      <c r="F44" s="259">
        <v>0.20042499999999991</v>
      </c>
      <c r="G44" s="260">
        <v>0.67540529514312486</v>
      </c>
      <c r="H44" s="260">
        <v>0.92858490566037744</v>
      </c>
      <c r="I44" s="259">
        <v>7.6829245283018877E-2</v>
      </c>
      <c r="J44" s="259">
        <v>0.58226000000000022</v>
      </c>
      <c r="K44" s="259">
        <v>4.5399999999999996E-2</v>
      </c>
      <c r="L44" s="259">
        <v>0.37910086600666471</v>
      </c>
      <c r="M44" s="259">
        <v>5.8029919451609506E-2</v>
      </c>
      <c r="N44" s="260">
        <v>1.0446164025751554</v>
      </c>
      <c r="O44" s="260">
        <v>1.5598383461730265</v>
      </c>
      <c r="P44" s="260">
        <v>11.242467500863381</v>
      </c>
      <c r="Q44" s="260">
        <v>15.252319678970927</v>
      </c>
      <c r="R44" s="260">
        <v>2.3516332672793077</v>
      </c>
      <c r="S44" s="260">
        <v>37.625742887570155</v>
      </c>
    </row>
    <row r="45" spans="1:19">
      <c r="A45" t="s">
        <v>141</v>
      </c>
      <c r="B45" s="196">
        <v>29</v>
      </c>
      <c r="C45" s="259">
        <v>0.10260800000000002</v>
      </c>
      <c r="D45" s="259">
        <v>0.19643373115621302</v>
      </c>
      <c r="E45" s="259">
        <v>0.12073293246470478</v>
      </c>
      <c r="F45" s="259">
        <v>0.17004896551724138</v>
      </c>
      <c r="G45" s="260">
        <v>1.0229055733712096</v>
      </c>
      <c r="H45" s="260">
        <v>1.1372727272727272</v>
      </c>
      <c r="I45" s="259">
        <v>8.7263636363636363E-2</v>
      </c>
      <c r="J45" s="259">
        <v>0.55922000000000016</v>
      </c>
      <c r="K45" s="259">
        <v>4.5399999999999996E-2</v>
      </c>
      <c r="L45" s="259">
        <v>0.16063362982896656</v>
      </c>
      <c r="M45" s="259">
        <v>7.7621821779011502E-2</v>
      </c>
      <c r="N45" s="260">
        <v>0.83188434130278976</v>
      </c>
      <c r="O45" s="260">
        <v>4.0512707676215172</v>
      </c>
      <c r="P45" s="260">
        <v>14.480642418278819</v>
      </c>
      <c r="Q45" s="260">
        <v>20.62410943260943</v>
      </c>
      <c r="R45" s="260">
        <v>5.0986593308254484</v>
      </c>
      <c r="S45" s="260">
        <v>214.35484562231233</v>
      </c>
    </row>
    <row r="46" spans="1:19">
      <c r="A46" t="s">
        <v>142</v>
      </c>
      <c r="B46" s="196">
        <v>31</v>
      </c>
      <c r="C46" s="259">
        <v>0</v>
      </c>
      <c r="D46" s="259" t="s">
        <v>189</v>
      </c>
      <c r="E46" s="259" t="s">
        <v>189</v>
      </c>
      <c r="F46" s="259">
        <v>0.20485064516129034</v>
      </c>
      <c r="G46" s="260">
        <v>1.658166047401147</v>
      </c>
      <c r="H46" s="260">
        <v>1.6203703703703707</v>
      </c>
      <c r="I46" s="259">
        <v>0.11141851851851854</v>
      </c>
      <c r="J46" s="259">
        <v>0.29375172413793105</v>
      </c>
      <c r="K46" s="259">
        <v>4.0399999999999998E-2</v>
      </c>
      <c r="L46" s="259">
        <v>0.26975833272919614</v>
      </c>
      <c r="M46" s="259">
        <v>8.7901386713161639E-2</v>
      </c>
      <c r="N46" s="260" t="s">
        <v>189</v>
      </c>
      <c r="O46" s="260" t="s">
        <v>189</v>
      </c>
      <c r="P46" s="260">
        <v>1.5106105006492663</v>
      </c>
      <c r="Q46" s="260">
        <v>1.5106105006492663</v>
      </c>
      <c r="R46" s="260">
        <v>1.0300731478741061</v>
      </c>
      <c r="S46" s="260">
        <v>14.719598383177914</v>
      </c>
    </row>
    <row r="47" spans="1:19">
      <c r="A47" t="s">
        <v>143</v>
      </c>
      <c r="B47" s="196">
        <v>66</v>
      </c>
      <c r="C47" s="259">
        <v>4.9599999999999998E-2</v>
      </c>
      <c r="D47" s="259" t="s">
        <v>189</v>
      </c>
      <c r="E47" s="259" t="s">
        <v>189</v>
      </c>
      <c r="F47" s="259">
        <v>0.12619545454545453</v>
      </c>
      <c r="G47" s="260">
        <v>0.80706142576080209</v>
      </c>
      <c r="H47" s="260">
        <v>0.80942307692307724</v>
      </c>
      <c r="I47" s="259">
        <v>7.0871153846153861E-2</v>
      </c>
      <c r="J47" s="259">
        <v>0.27381785714285711</v>
      </c>
      <c r="K47" s="259">
        <v>4.0399999999999998E-2</v>
      </c>
      <c r="L47" s="259">
        <v>0.17911772578208052</v>
      </c>
      <c r="M47" s="259">
        <v>6.2518687618636465E-2</v>
      </c>
      <c r="N47" s="260" t="s">
        <v>189</v>
      </c>
      <c r="O47" s="260" t="s">
        <v>189</v>
      </c>
      <c r="P47" s="260">
        <v>299.00364963503648</v>
      </c>
      <c r="Q47" s="260">
        <v>301.42384105960264</v>
      </c>
      <c r="R47" s="260">
        <v>1.3612502216422899</v>
      </c>
      <c r="S47" s="260">
        <v>17.610782603088914</v>
      </c>
    </row>
    <row r="48" spans="1:19">
      <c r="A48" t="s">
        <v>144</v>
      </c>
      <c r="B48" s="196">
        <v>145</v>
      </c>
      <c r="C48" s="259">
        <v>0.1848403669724771</v>
      </c>
      <c r="D48" s="259">
        <v>0.14243346151762673</v>
      </c>
      <c r="E48" s="259">
        <v>0.25217896142449897</v>
      </c>
      <c r="F48" s="259">
        <v>0.11272186206896552</v>
      </c>
      <c r="G48" s="260">
        <v>1.0234784634430105</v>
      </c>
      <c r="H48" s="260">
        <v>0.94553398058252447</v>
      </c>
      <c r="I48" s="259">
        <v>7.7676699029126231E-2</v>
      </c>
      <c r="J48" s="259">
        <v>0.90803962264150928</v>
      </c>
      <c r="K48" s="259">
        <v>6.0399999999999995E-2</v>
      </c>
      <c r="L48" s="259">
        <v>2.3367595748406966E-2</v>
      </c>
      <c r="M48" s="259">
        <v>7.6708422997065207E-2</v>
      </c>
      <c r="N48" s="260">
        <v>2.2908122564028535</v>
      </c>
      <c r="O48" s="260">
        <v>5.5678260187030713</v>
      </c>
      <c r="P48" s="260">
        <v>27.770470489018287</v>
      </c>
      <c r="Q48" s="260">
        <v>39.090716179877639</v>
      </c>
      <c r="R48" s="260">
        <v>6.8334681242942308</v>
      </c>
      <c r="S48" s="260">
        <v>149.75243425417185</v>
      </c>
    </row>
    <row r="49" spans="1:19">
      <c r="A49" t="s">
        <v>604</v>
      </c>
      <c r="B49" s="196">
        <v>16</v>
      </c>
      <c r="C49" s="259">
        <v>0.32195454545454544</v>
      </c>
      <c r="D49" s="259">
        <v>0.32793167208128848</v>
      </c>
      <c r="E49" s="259">
        <v>0.93101593849277064</v>
      </c>
      <c r="F49" s="259">
        <v>0.21821374999999998</v>
      </c>
      <c r="G49" s="260">
        <v>1.4729807950163822</v>
      </c>
      <c r="H49" s="260">
        <v>1.1930769230769227</v>
      </c>
      <c r="I49" s="259">
        <v>9.0053846153846137E-2</v>
      </c>
      <c r="J49" s="259">
        <v>0.66004000000000007</v>
      </c>
      <c r="K49" s="259">
        <v>5.04E-2</v>
      </c>
      <c r="L49" s="259">
        <v>5.3501144566449832E-2</v>
      </c>
      <c r="M49" s="259">
        <v>8.6853736923693817E-2</v>
      </c>
      <c r="N49" s="260">
        <v>3.5871003734754909</v>
      </c>
      <c r="O49" s="260">
        <v>3.0545022724130773</v>
      </c>
      <c r="P49" s="260">
        <v>8.1657533059998837</v>
      </c>
      <c r="Q49" s="260">
        <v>9.314447284176687</v>
      </c>
      <c r="R49" s="260">
        <v>3.9176488618947594</v>
      </c>
      <c r="S49" s="260">
        <v>22.438837260384648</v>
      </c>
    </row>
    <row r="50" spans="1:19">
      <c r="A50" t="s">
        <v>267</v>
      </c>
      <c r="B50" s="196">
        <v>55</v>
      </c>
      <c r="C50" s="259">
        <v>3.3343750000000012E-2</v>
      </c>
      <c r="D50" s="259">
        <v>0.13664818931675182</v>
      </c>
      <c r="E50" s="259">
        <v>0.28418674163420121</v>
      </c>
      <c r="F50" s="259">
        <v>0.18607727272727267</v>
      </c>
      <c r="G50" s="260">
        <v>0.94076430769687913</v>
      </c>
      <c r="H50" s="260">
        <v>0.90468085106382945</v>
      </c>
      <c r="I50" s="259">
        <v>7.5634042553191477E-2</v>
      </c>
      <c r="J50" s="259">
        <v>0.51197000000000015</v>
      </c>
      <c r="K50" s="259">
        <v>4.5399999999999996E-2</v>
      </c>
      <c r="L50" s="259">
        <v>5.289496809503802E-2</v>
      </c>
      <c r="M50" s="259">
        <v>7.3074241216350505E-2</v>
      </c>
      <c r="N50" s="260">
        <v>2.7871792746392572</v>
      </c>
      <c r="O50" s="260">
        <v>2.1311397007996038</v>
      </c>
      <c r="P50" s="260">
        <v>12.620462535885748</v>
      </c>
      <c r="Q50" s="260">
        <v>15.595813683704225</v>
      </c>
      <c r="R50" s="260">
        <v>5.2001466708572641</v>
      </c>
      <c r="S50" s="260">
        <v>36.036878899709968</v>
      </c>
    </row>
    <row r="51" spans="1:19">
      <c r="A51" t="s">
        <v>145</v>
      </c>
      <c r="B51" s="196">
        <v>82</v>
      </c>
      <c r="C51" s="259">
        <v>3.4749295774647873E-2</v>
      </c>
      <c r="D51" s="259">
        <v>0.12514190897734834</v>
      </c>
      <c r="E51" s="259">
        <v>0.11759708461489592</v>
      </c>
      <c r="F51" s="259">
        <v>0.24471853658536571</v>
      </c>
      <c r="G51" s="260">
        <v>1.0870098168153579</v>
      </c>
      <c r="H51" s="260">
        <v>1.1908108108108104</v>
      </c>
      <c r="I51" s="259">
        <v>8.9940540540540528E-2</v>
      </c>
      <c r="J51" s="259">
        <v>0.47085256410256404</v>
      </c>
      <c r="K51" s="259">
        <v>4.0399999999999998E-2</v>
      </c>
      <c r="L51" s="259">
        <v>0.16615010987551193</v>
      </c>
      <c r="M51" s="259">
        <v>7.9024388510849183E-2</v>
      </c>
      <c r="N51" s="260">
        <v>1.3233661089455875</v>
      </c>
      <c r="O51" s="260">
        <v>1.9162699671563863</v>
      </c>
      <c r="P51" s="260">
        <v>11.597978223523048</v>
      </c>
      <c r="Q51" s="260">
        <v>15.312775574673759</v>
      </c>
      <c r="R51" s="260">
        <v>3.242802830480418</v>
      </c>
      <c r="S51" s="260">
        <v>27.414092840353668</v>
      </c>
    </row>
    <row r="52" spans="1:19">
      <c r="A52" t="s">
        <v>146</v>
      </c>
      <c r="B52" s="196">
        <v>51</v>
      </c>
      <c r="C52" s="259">
        <v>-7.0406818181818209E-2</v>
      </c>
      <c r="D52" s="259">
        <v>0.1084084208465277</v>
      </c>
      <c r="E52" s="259">
        <v>3.3327468735267068E-2</v>
      </c>
      <c r="F52" s="259">
        <v>5.9852519970951347E-2</v>
      </c>
      <c r="G52" s="260">
        <v>0.70825506696832075</v>
      </c>
      <c r="H52" s="260">
        <v>1.4838461538461534</v>
      </c>
      <c r="I52" s="259">
        <v>0.10459230769230767</v>
      </c>
      <c r="J52" s="259">
        <v>0.75609302325581396</v>
      </c>
      <c r="K52" s="259">
        <v>5.04E-2</v>
      </c>
      <c r="L52" s="259">
        <v>0.57160160122710846</v>
      </c>
      <c r="M52" s="259">
        <v>6.2092409560453948E-2</v>
      </c>
      <c r="N52" s="260">
        <v>0.36202844656250255</v>
      </c>
      <c r="O52" s="260">
        <v>2.9930378531435076</v>
      </c>
      <c r="P52" s="260">
        <v>12.196023075978886</v>
      </c>
      <c r="Q52" s="260">
        <v>27.608905560765521</v>
      </c>
      <c r="R52" s="260">
        <v>1.2009071662198572</v>
      </c>
      <c r="S52" s="260">
        <v>33.499561795018941</v>
      </c>
    </row>
    <row r="53" spans="1:19">
      <c r="A53" t="s">
        <v>268</v>
      </c>
      <c r="B53" s="196">
        <v>74</v>
      </c>
      <c r="C53" s="259">
        <v>1.1423809523809518E-2</v>
      </c>
      <c r="D53" s="259">
        <v>0.23031452516488288</v>
      </c>
      <c r="E53" s="259">
        <v>0.16278718232317615</v>
      </c>
      <c r="F53" s="259">
        <v>0.15020391891891888</v>
      </c>
      <c r="G53" s="260">
        <v>0.92033175337372242</v>
      </c>
      <c r="H53" s="260">
        <v>0.96515625000000005</v>
      </c>
      <c r="I53" s="259">
        <v>7.8657812500000007E-2</v>
      </c>
      <c r="J53" s="259">
        <v>0.55156865671641797</v>
      </c>
      <c r="K53" s="259">
        <v>4.5399999999999996E-2</v>
      </c>
      <c r="L53" s="259">
        <v>0.12925003881314034</v>
      </c>
      <c r="M53" s="259">
        <v>7.201205823868824E-2</v>
      </c>
      <c r="N53" s="260">
        <v>0.92010204965332509</v>
      </c>
      <c r="O53" s="260">
        <v>3.1339338624059123</v>
      </c>
      <c r="P53" s="260">
        <v>10.985934949586509</v>
      </c>
      <c r="Q53" s="260">
        <v>13.607191557555128</v>
      </c>
      <c r="R53" s="260">
        <v>3.3176318101551017</v>
      </c>
      <c r="S53" s="260">
        <v>31.415503039838548</v>
      </c>
    </row>
    <row r="54" spans="1:19">
      <c r="A54" t="s">
        <v>269</v>
      </c>
      <c r="B54" s="196">
        <v>127</v>
      </c>
      <c r="C54" s="259">
        <v>0.11246952380952387</v>
      </c>
      <c r="D54" s="259">
        <v>7.7652401031590712E-2</v>
      </c>
      <c r="E54" s="259">
        <v>0.19247423071734457</v>
      </c>
      <c r="F54" s="259">
        <v>0.11143653543307089</v>
      </c>
      <c r="G54" s="260">
        <v>0.87359255800061031</v>
      </c>
      <c r="H54" s="260">
        <v>0.88149532710280376</v>
      </c>
      <c r="I54" s="259">
        <v>7.4474766355140193E-2</v>
      </c>
      <c r="J54" s="259">
        <v>0.62139549549549555</v>
      </c>
      <c r="K54" s="259">
        <v>4.5399999999999996E-2</v>
      </c>
      <c r="L54" s="259">
        <v>9.0937226046760244E-2</v>
      </c>
      <c r="M54" s="259">
        <v>7.0179367729836906E-2</v>
      </c>
      <c r="N54" s="260">
        <v>3.3520431693046162</v>
      </c>
      <c r="O54" s="260">
        <v>1.1090589893555785</v>
      </c>
      <c r="P54" s="260">
        <v>11.731399279910471</v>
      </c>
      <c r="Q54" s="260">
        <v>14.282352826468157</v>
      </c>
      <c r="R54" s="260">
        <v>3.9242550325601493</v>
      </c>
      <c r="S54" s="260">
        <v>42.846447111017071</v>
      </c>
    </row>
    <row r="55" spans="1:19">
      <c r="A55" t="s">
        <v>147</v>
      </c>
      <c r="B55" s="196">
        <v>106</v>
      </c>
      <c r="C55" s="259">
        <v>8.3457831325301171E-2</v>
      </c>
      <c r="D55" s="259">
        <v>0.10564175870816887</v>
      </c>
      <c r="E55" s="259">
        <v>0.13733445754886112</v>
      </c>
      <c r="F55" s="259">
        <v>0.18757650943396229</v>
      </c>
      <c r="G55" s="260">
        <v>0.72898560914830624</v>
      </c>
      <c r="H55" s="260">
        <v>0.9114772727272723</v>
      </c>
      <c r="I55" s="259">
        <v>7.5973863636363617E-2</v>
      </c>
      <c r="J55" s="259">
        <v>0.72794574468085105</v>
      </c>
      <c r="K55" s="259">
        <v>5.04E-2</v>
      </c>
      <c r="L55" s="259">
        <v>0.31091992129130286</v>
      </c>
      <c r="M55" s="259">
        <v>6.1754294354198262E-2</v>
      </c>
      <c r="N55" s="260">
        <v>2.0030736651480496</v>
      </c>
      <c r="O55" s="260">
        <v>0.92107496451730286</v>
      </c>
      <c r="P55" s="260">
        <v>7.1818124601748394</v>
      </c>
      <c r="Q55" s="260">
        <v>8.7188529969643493</v>
      </c>
      <c r="R55" s="260">
        <v>2.5517093932338257</v>
      </c>
      <c r="S55" s="260">
        <v>28.008376569704943</v>
      </c>
    </row>
    <row r="56" spans="1:19">
      <c r="A56" t="s">
        <v>148</v>
      </c>
      <c r="B56" s="196">
        <v>25</v>
      </c>
      <c r="C56" s="259">
        <v>7.3863636363636397E-3</v>
      </c>
      <c r="D56" s="259">
        <v>0.13685220689340385</v>
      </c>
      <c r="E56" s="259">
        <v>0.13724472288731818</v>
      </c>
      <c r="F56" s="259">
        <v>0.16646160000000002</v>
      </c>
      <c r="G56" s="260">
        <v>1.3118447160861162</v>
      </c>
      <c r="H56" s="260">
        <v>1.4057142857142861</v>
      </c>
      <c r="I56" s="259">
        <v>0.10068571428571431</v>
      </c>
      <c r="J56" s="259">
        <v>0.57516818181818175</v>
      </c>
      <c r="K56" s="259">
        <v>4.5399999999999996E-2</v>
      </c>
      <c r="L56" s="259">
        <v>0.15913545371844773</v>
      </c>
      <c r="M56" s="259">
        <v>8.8997897219181693E-2</v>
      </c>
      <c r="N56" s="260">
        <v>1.4371730324548604</v>
      </c>
      <c r="O56" s="260">
        <v>1.7095379102978847</v>
      </c>
      <c r="P56" s="260">
        <v>9.9174017815361228</v>
      </c>
      <c r="Q56" s="260">
        <v>12.491854892990277</v>
      </c>
      <c r="R56" s="260">
        <v>2.8793930515081154</v>
      </c>
      <c r="S56" s="260">
        <v>19.527954093945073</v>
      </c>
    </row>
    <row r="57" spans="1:19">
      <c r="A57" t="s">
        <v>149</v>
      </c>
      <c r="B57" s="196">
        <v>71</v>
      </c>
      <c r="C57" s="259">
        <v>2.6368421052631579E-2</v>
      </c>
      <c r="D57" s="259">
        <v>0.242455302352274</v>
      </c>
      <c r="E57" s="259">
        <v>0.13224703758164535</v>
      </c>
      <c r="F57" s="259">
        <v>0.11842211267605635</v>
      </c>
      <c r="G57" s="260">
        <v>1.2232146183880079</v>
      </c>
      <c r="H57" s="260">
        <v>1.3874509803921564</v>
      </c>
      <c r="I57" s="259">
        <v>9.9772549019607817E-2</v>
      </c>
      <c r="J57" s="259">
        <v>0.82873064516129069</v>
      </c>
      <c r="K57" s="259">
        <v>5.5400000000000005E-2</v>
      </c>
      <c r="L57" s="259">
        <v>0.19451318792432204</v>
      </c>
      <c r="M57" s="259">
        <v>8.683109080907267E-2</v>
      </c>
      <c r="N57" s="260">
        <v>0.78796559841696756</v>
      </c>
      <c r="O57" s="260">
        <v>2.1714209585753417</v>
      </c>
      <c r="P57" s="260">
        <v>6.7144226837948846</v>
      </c>
      <c r="Q57" s="260">
        <v>8.9559639962849253</v>
      </c>
      <c r="R57" s="260">
        <v>1.9322007921335171</v>
      </c>
      <c r="S57" s="260">
        <v>94.255377933826082</v>
      </c>
    </row>
    <row r="58" spans="1:19">
      <c r="A58" t="s">
        <v>150</v>
      </c>
      <c r="B58" s="196">
        <v>30</v>
      </c>
      <c r="C58" s="259">
        <v>-4.246666666666668E-2</v>
      </c>
      <c r="D58" s="259">
        <v>0.18593378909680858</v>
      </c>
      <c r="E58" s="259">
        <v>5.4709719184710848E-2</v>
      </c>
      <c r="F58" s="259">
        <v>0.19043299999999996</v>
      </c>
      <c r="G58" s="260">
        <v>1.0429899093981314</v>
      </c>
      <c r="H58" s="260">
        <v>1.2946153846153847</v>
      </c>
      <c r="I58" s="259">
        <v>9.5130769230769241E-2</v>
      </c>
      <c r="J58" s="259">
        <v>0.4311148148148149</v>
      </c>
      <c r="K58" s="259">
        <v>4.0399999999999998E-2</v>
      </c>
      <c r="L58" s="259">
        <v>0.26180103650383946</v>
      </c>
      <c r="M58" s="259">
        <v>7.6571492367599359E-2</v>
      </c>
      <c r="N58" s="260">
        <v>0.39582824569020097</v>
      </c>
      <c r="O58" s="260">
        <v>4.0914645031468826</v>
      </c>
      <c r="P58" s="260">
        <v>8.2503369349859472</v>
      </c>
      <c r="Q58" s="260">
        <v>22.004954145352325</v>
      </c>
      <c r="R58" s="260">
        <v>1.9989362749387471</v>
      </c>
      <c r="S58" s="260">
        <v>51.231230579297829</v>
      </c>
    </row>
    <row r="59" spans="1:19">
      <c r="A59" t="s">
        <v>151</v>
      </c>
      <c r="B59" s="196">
        <v>26</v>
      </c>
      <c r="C59" s="259">
        <v>-7.9728000000000007E-2</v>
      </c>
      <c r="D59" s="259">
        <v>0.11949462157591868</v>
      </c>
      <c r="E59" s="259">
        <v>6.3063103063665388E-2</v>
      </c>
      <c r="F59" s="259">
        <v>0.2573938461538462</v>
      </c>
      <c r="G59" s="260">
        <v>0.39552627310848831</v>
      </c>
      <c r="H59" s="260">
        <v>0.55750000000000022</v>
      </c>
      <c r="I59" s="259">
        <v>5.8275000000000007E-2</v>
      </c>
      <c r="J59" s="259">
        <v>0.29291153846153856</v>
      </c>
      <c r="K59" s="259">
        <v>4.0399999999999998E-2</v>
      </c>
      <c r="L59" s="259">
        <v>0.37222334005989444</v>
      </c>
      <c r="M59" s="259">
        <v>4.5606378621061497E-2</v>
      </c>
      <c r="N59" s="260">
        <v>0.74018450606482622</v>
      </c>
      <c r="O59" s="260">
        <v>2.1204552813868398</v>
      </c>
      <c r="P59" s="260">
        <v>11.427828186987169</v>
      </c>
      <c r="Q59" s="260">
        <v>17.745194331107598</v>
      </c>
      <c r="R59" s="260">
        <v>2.3023402433738478</v>
      </c>
      <c r="S59" s="260">
        <v>17.949178080856221</v>
      </c>
    </row>
    <row r="60" spans="1:19">
      <c r="A60" t="s">
        <v>152</v>
      </c>
      <c r="B60" s="196">
        <v>12</v>
      </c>
      <c r="C60" s="259">
        <v>2.2930000000000002E-2</v>
      </c>
      <c r="D60" s="259">
        <v>0.13298937623512871</v>
      </c>
      <c r="E60" s="259">
        <v>0.12655268758455612</v>
      </c>
      <c r="F60" s="259">
        <v>0.29105749999999997</v>
      </c>
      <c r="G60" s="260">
        <v>1.8960646567668065</v>
      </c>
      <c r="H60" s="260">
        <v>2.0072727272727273</v>
      </c>
      <c r="I60" s="259">
        <v>0.13076363636363639</v>
      </c>
      <c r="J60" s="259">
        <v>0.42629090909090911</v>
      </c>
      <c r="K60" s="259">
        <v>4.0399999999999998E-2</v>
      </c>
      <c r="L60" s="259">
        <v>0.16941032508311782</v>
      </c>
      <c r="M60" s="259">
        <v>0.11271743249823692</v>
      </c>
      <c r="N60" s="260">
        <v>1.307749679120269</v>
      </c>
      <c r="O60" s="260">
        <v>2.1252702362162954</v>
      </c>
      <c r="P60" s="260">
        <v>11.171541116185031</v>
      </c>
      <c r="Q60" s="260">
        <v>15.98075196968186</v>
      </c>
      <c r="R60" s="260">
        <v>3.4831166945029408</v>
      </c>
      <c r="S60" s="260">
        <v>26.374698066134307</v>
      </c>
    </row>
    <row r="61" spans="1:19">
      <c r="A61" t="s">
        <v>153</v>
      </c>
      <c r="B61" s="196">
        <v>18</v>
      </c>
      <c r="C61" s="259">
        <v>4.9222222222222202E-3</v>
      </c>
      <c r="D61" s="259">
        <v>6.9720612281012201E-2</v>
      </c>
      <c r="E61" s="259">
        <v>0.10973610816737216</v>
      </c>
      <c r="F61" s="259">
        <v>0.22898277777777779</v>
      </c>
      <c r="G61" s="260">
        <v>0.93802137735880153</v>
      </c>
      <c r="H61" s="260">
        <v>1.1361111111111108</v>
      </c>
      <c r="I61" s="259">
        <v>8.720555555555555E-2</v>
      </c>
      <c r="J61" s="259">
        <v>0.56563333333333332</v>
      </c>
      <c r="K61" s="259">
        <v>4.5399999999999996E-2</v>
      </c>
      <c r="L61" s="259">
        <v>0.31654846660304681</v>
      </c>
      <c r="M61" s="259">
        <v>6.8223550895444629E-2</v>
      </c>
      <c r="N61" s="260">
        <v>2.1959336617861358</v>
      </c>
      <c r="O61" s="260">
        <v>0.65725282503728799</v>
      </c>
      <c r="P61" s="260">
        <v>6.332807450379244</v>
      </c>
      <c r="Q61" s="260">
        <v>9.4269514213128183</v>
      </c>
      <c r="R61" s="260">
        <v>1.6696352948082551</v>
      </c>
      <c r="S61" s="260">
        <v>20.205796995429633</v>
      </c>
    </row>
    <row r="62" spans="1:19">
      <c r="A62" t="s">
        <v>154</v>
      </c>
      <c r="B62" s="196">
        <v>11</v>
      </c>
      <c r="C62" s="259">
        <v>-2.8018181818181827E-2</v>
      </c>
      <c r="D62" s="259">
        <v>0.12544309693200928</v>
      </c>
      <c r="E62" s="259">
        <v>6.4565167337741397E-2</v>
      </c>
      <c r="F62" s="259">
        <v>0.1733281818181818</v>
      </c>
      <c r="G62" s="260">
        <v>0.67212513091758941</v>
      </c>
      <c r="H62" s="260">
        <v>1.0144444444444443</v>
      </c>
      <c r="I62" s="259">
        <v>8.1122222222222221E-2</v>
      </c>
      <c r="J62" s="259">
        <v>0.37384444444444448</v>
      </c>
      <c r="K62" s="259">
        <v>4.0399999999999998E-2</v>
      </c>
      <c r="L62" s="259">
        <v>0.39316376488453209</v>
      </c>
      <c r="M62" s="259">
        <v>5.8758193578334734E-2</v>
      </c>
      <c r="N62" s="260">
        <v>0.6581286228821368</v>
      </c>
      <c r="O62" s="260">
        <v>2.4877097266220813</v>
      </c>
      <c r="P62" s="260">
        <v>13.841010246874504</v>
      </c>
      <c r="Q62" s="260">
        <v>19.831380023808176</v>
      </c>
      <c r="R62" s="260">
        <v>2.7056487727275575</v>
      </c>
      <c r="S62" s="260">
        <v>26.577112061418969</v>
      </c>
    </row>
    <row r="63" spans="1:19">
      <c r="A63" t="s">
        <v>155</v>
      </c>
      <c r="B63" s="196">
        <v>80</v>
      </c>
      <c r="C63" s="259">
        <v>0.1419583333333333</v>
      </c>
      <c r="D63" s="259">
        <v>0.16011788106269428</v>
      </c>
      <c r="E63" s="259">
        <v>9.6962438484580513E-2</v>
      </c>
      <c r="F63" s="259">
        <v>0.19533617405735534</v>
      </c>
      <c r="G63" s="260">
        <v>1.2899492599855253</v>
      </c>
      <c r="H63" s="260">
        <v>1.4660655737704913</v>
      </c>
      <c r="I63" s="259">
        <v>0.10370327868852457</v>
      </c>
      <c r="J63" s="259">
        <v>0.53474375000000018</v>
      </c>
      <c r="K63" s="259">
        <v>4.5399999999999996E-2</v>
      </c>
      <c r="L63" s="259">
        <v>0.20693490763236988</v>
      </c>
      <c r="M63" s="259">
        <v>8.788035717584658E-2</v>
      </c>
      <c r="N63" s="260">
        <v>0.79723072915449067</v>
      </c>
      <c r="O63" s="260">
        <v>2.1617894216510134</v>
      </c>
      <c r="P63" s="260">
        <v>8.8858243214103982</v>
      </c>
      <c r="Q63" s="260">
        <v>13.501236759463254</v>
      </c>
      <c r="R63" s="260">
        <v>1.9887599625529888</v>
      </c>
      <c r="S63" s="260">
        <v>31.858945941108573</v>
      </c>
    </row>
    <row r="64" spans="1:19">
      <c r="A64" t="s">
        <v>156</v>
      </c>
      <c r="B64" s="196">
        <v>26</v>
      </c>
      <c r="C64" s="259">
        <v>2.7000000000000003E-2</v>
      </c>
      <c r="D64" s="259">
        <v>9.6189417626581966E-2</v>
      </c>
      <c r="E64" s="259">
        <v>0.113663364108625</v>
      </c>
      <c r="F64" s="259">
        <v>0.23576269230769231</v>
      </c>
      <c r="G64" s="260">
        <v>0.87017353877981507</v>
      </c>
      <c r="H64" s="260">
        <v>1.0886363636363638</v>
      </c>
      <c r="I64" s="259">
        <v>8.4831818181818189E-2</v>
      </c>
      <c r="J64" s="259">
        <v>0.44685909090909098</v>
      </c>
      <c r="K64" s="259">
        <v>4.0399999999999998E-2</v>
      </c>
      <c r="L64" s="259">
        <v>0.28583086221764997</v>
      </c>
      <c r="M64" s="259">
        <v>6.7512806547574022E-2</v>
      </c>
      <c r="N64" s="260">
        <v>1.6238507234077786</v>
      </c>
      <c r="O64" s="260">
        <v>1.2914237933236541</v>
      </c>
      <c r="P64" s="260">
        <v>9.0538028023517878</v>
      </c>
      <c r="Q64" s="260">
        <v>13.425840650549578</v>
      </c>
      <c r="R64" s="260">
        <v>3.3531981584006316</v>
      </c>
      <c r="S64" s="260">
        <v>21.903036258522281</v>
      </c>
    </row>
    <row r="65" spans="1:19">
      <c r="A65" t="s">
        <v>157</v>
      </c>
      <c r="B65" s="196">
        <v>29</v>
      </c>
      <c r="C65" s="259">
        <v>5.0511538461538462E-2</v>
      </c>
      <c r="D65" s="259">
        <v>8.708433079008808E-2</v>
      </c>
      <c r="E65" s="259">
        <v>8.4920241604749425E-2</v>
      </c>
      <c r="F65" s="259">
        <v>0.1226848275862069</v>
      </c>
      <c r="G65" s="260">
        <v>0.92686788343933069</v>
      </c>
      <c r="H65" s="260">
        <v>1.1742307692307692</v>
      </c>
      <c r="I65" s="259">
        <v>8.9111538461538464E-2</v>
      </c>
      <c r="J65" s="259">
        <v>0.43522857142857146</v>
      </c>
      <c r="K65" s="259">
        <v>4.0399999999999998E-2</v>
      </c>
      <c r="L65" s="259">
        <v>0.27426623511839721</v>
      </c>
      <c r="M65" s="259">
        <v>7.1319465841354013E-2</v>
      </c>
      <c r="N65" s="260">
        <v>1.3898603384606774</v>
      </c>
      <c r="O65" s="260">
        <v>1.3151953868587549</v>
      </c>
      <c r="P65" s="260">
        <v>8.9683443721460563</v>
      </c>
      <c r="Q65" s="260">
        <v>15.102549160410497</v>
      </c>
      <c r="R65" s="260">
        <v>2.4618128226594118</v>
      </c>
      <c r="S65" s="260">
        <v>22.484760734741613</v>
      </c>
    </row>
    <row r="66" spans="1:19">
      <c r="A66" t="s">
        <v>158</v>
      </c>
      <c r="B66" s="196">
        <v>28</v>
      </c>
      <c r="C66" s="259">
        <v>0.20388750000000005</v>
      </c>
      <c r="D66" s="259">
        <v>0.10632106458528839</v>
      </c>
      <c r="E66" s="259">
        <v>0.12636979516448713</v>
      </c>
      <c r="F66" s="259">
        <v>0.30703928571428574</v>
      </c>
      <c r="G66" s="260">
        <v>1.0084684701430944</v>
      </c>
      <c r="H66" s="260">
        <v>1.0675000000000001</v>
      </c>
      <c r="I66" s="259">
        <v>8.3775000000000002E-2</v>
      </c>
      <c r="J66" s="259">
        <v>0.47092916666666668</v>
      </c>
      <c r="K66" s="259">
        <v>4.0399999999999998E-2</v>
      </c>
      <c r="L66" s="259">
        <v>0.17474156635880056</v>
      </c>
      <c r="M66" s="259">
        <v>7.337176084682881E-2</v>
      </c>
      <c r="N66" s="260">
        <v>2.0369688145784637</v>
      </c>
      <c r="O66" s="260">
        <v>0.67367691226971982</v>
      </c>
      <c r="P66" s="260">
        <v>4.6208558048230381</v>
      </c>
      <c r="Q66" s="260">
        <v>6.3362506282027606</v>
      </c>
      <c r="R66" s="260">
        <v>1.4356136955082712</v>
      </c>
      <c r="S66" s="260">
        <v>17.565245558059736</v>
      </c>
    </row>
    <row r="67" spans="1:19">
      <c r="A67" t="s">
        <v>159</v>
      </c>
      <c r="B67" s="196">
        <v>168</v>
      </c>
      <c r="C67" s="259">
        <v>7.0098360655737713E-2</v>
      </c>
      <c r="D67" s="259">
        <v>0.24232960573246667</v>
      </c>
      <c r="E67" s="259">
        <v>0.11535164581641601</v>
      </c>
      <c r="F67" s="259">
        <v>0.13085416810193604</v>
      </c>
      <c r="G67" s="260">
        <v>1.2326646289026422</v>
      </c>
      <c r="H67" s="260">
        <v>1.4753333333333336</v>
      </c>
      <c r="I67" s="259">
        <v>0.10416666666666669</v>
      </c>
      <c r="J67" s="259">
        <v>0.72912213740458021</v>
      </c>
      <c r="K67" s="259">
        <v>5.04E-2</v>
      </c>
      <c r="L67" s="259">
        <v>0.21524694031724612</v>
      </c>
      <c r="M67" s="259">
        <v>8.8254177858813732E-2</v>
      </c>
      <c r="N67" s="260">
        <v>0.7490546727340357</v>
      </c>
      <c r="O67" s="260">
        <v>1.9375872479379372</v>
      </c>
      <c r="P67" s="260">
        <v>5.0394828717870368</v>
      </c>
      <c r="Q67" s="260">
        <v>7.9956687177424168</v>
      </c>
      <c r="R67" s="260">
        <v>1.6207443641778412</v>
      </c>
      <c r="S67" s="260">
        <v>51.324378379669014</v>
      </c>
    </row>
    <row r="68" spans="1:19">
      <c r="A68" t="s">
        <v>160</v>
      </c>
      <c r="B68" s="196">
        <v>16</v>
      </c>
      <c r="C68" s="259">
        <v>0.13336000000000003</v>
      </c>
      <c r="D68" s="259">
        <v>4.7566874684146117E-2</v>
      </c>
      <c r="E68" s="259">
        <v>8.2674425255356426E-2</v>
      </c>
      <c r="F68" s="259">
        <v>0.23641437500000004</v>
      </c>
      <c r="G68" s="260">
        <v>0.89851456252283535</v>
      </c>
      <c r="H68" s="260">
        <v>1.0013333333333334</v>
      </c>
      <c r="I68" s="259">
        <v>8.0466666666666672E-2</v>
      </c>
      <c r="J68" s="259">
        <v>0.55910000000000004</v>
      </c>
      <c r="K68" s="259">
        <v>4.5399999999999996E-2</v>
      </c>
      <c r="L68" s="259">
        <v>0.15778342751977381</v>
      </c>
      <c r="M68" s="259">
        <v>7.206838076454751E-2</v>
      </c>
      <c r="N68" s="260">
        <v>2.7326425261647933</v>
      </c>
      <c r="O68" s="260">
        <v>0.75544247171273105</v>
      </c>
      <c r="P68" s="260">
        <v>11.70156559262495</v>
      </c>
      <c r="Q68" s="260">
        <v>15.881692390534909</v>
      </c>
      <c r="R68" s="260">
        <v>2.4804695020565322</v>
      </c>
      <c r="S68" s="260">
        <v>15.139731576441845</v>
      </c>
    </row>
    <row r="69" spans="1:19">
      <c r="A69" t="s">
        <v>161</v>
      </c>
      <c r="B69" s="196">
        <v>62</v>
      </c>
      <c r="C69" s="259">
        <v>-1.7525581395348835E-2</v>
      </c>
      <c r="D69" s="259">
        <v>8.6526292101371555E-2</v>
      </c>
      <c r="E69" s="259">
        <v>7.7004456042951919E-2</v>
      </c>
      <c r="F69" s="259">
        <v>5.4950970287358597E-2</v>
      </c>
      <c r="G69" s="260">
        <v>0.40702452533099537</v>
      </c>
      <c r="H69" s="260">
        <v>0.56199999999999983</v>
      </c>
      <c r="I69" s="259">
        <v>5.8499999999999996E-2</v>
      </c>
      <c r="J69" s="259">
        <v>0.22328378378378377</v>
      </c>
      <c r="K69" s="259">
        <v>3.5400000000000001E-2</v>
      </c>
      <c r="L69" s="259">
        <v>0.29460549213858001</v>
      </c>
      <c r="M69" s="259">
        <v>4.7522999362916506E-2</v>
      </c>
      <c r="N69" s="260">
        <v>0.92356002861249376</v>
      </c>
      <c r="O69" s="260">
        <v>2.1159380319247933</v>
      </c>
      <c r="P69" s="260">
        <v>16.961828903153176</v>
      </c>
      <c r="Q69" s="260">
        <v>24.454278353287407</v>
      </c>
      <c r="R69" s="260">
        <v>3.1775130362375767</v>
      </c>
      <c r="S69" s="260">
        <v>40.982201308261558</v>
      </c>
    </row>
    <row r="70" spans="1:19">
      <c r="A70" t="s">
        <v>162</v>
      </c>
      <c r="B70" s="196">
        <v>92</v>
      </c>
      <c r="C70" s="259">
        <v>-2.1315625000000001E-2</v>
      </c>
      <c r="D70" s="259">
        <v>7.7525684461172376E-2</v>
      </c>
      <c r="E70" s="259">
        <v>3.1686190242421183E-2</v>
      </c>
      <c r="F70" s="259">
        <v>8.9855543478260871E-2</v>
      </c>
      <c r="G70" s="260">
        <v>0.73085665425257373</v>
      </c>
      <c r="H70" s="260">
        <v>1.4973846153846155</v>
      </c>
      <c r="I70" s="259">
        <v>0.10526923076923078</v>
      </c>
      <c r="J70" s="259">
        <v>0.88172266666666677</v>
      </c>
      <c r="K70" s="259">
        <v>5.5400000000000005E-2</v>
      </c>
      <c r="L70" s="259">
        <v>0.57273262190270868</v>
      </c>
      <c r="M70" s="259">
        <v>6.4015740577133981E-2</v>
      </c>
      <c r="N70" s="260">
        <v>0.60776684202212206</v>
      </c>
      <c r="O70" s="260">
        <v>1.7234521598434367</v>
      </c>
      <c r="P70" s="260">
        <v>9.7842515854995558</v>
      </c>
      <c r="Q70" s="260">
        <v>22.230724847151819</v>
      </c>
      <c r="R70" s="260">
        <v>1.1084772058789576</v>
      </c>
      <c r="S70" s="260">
        <v>206.84699058884379</v>
      </c>
    </row>
    <row r="71" spans="1:19">
      <c r="A71" t="s">
        <v>163</v>
      </c>
      <c r="B71" s="196">
        <v>74</v>
      </c>
      <c r="C71" s="259">
        <v>0.14606315789473684</v>
      </c>
      <c r="D71" s="259">
        <v>0.31980065390884688</v>
      </c>
      <c r="E71" s="259">
        <v>8.9781950710171241E-2</v>
      </c>
      <c r="F71" s="259">
        <v>0.1049735135135135</v>
      </c>
      <c r="G71" s="260">
        <v>0.72718958552439072</v>
      </c>
      <c r="H71" s="260">
        <v>0.8303076923076923</v>
      </c>
      <c r="I71" s="259">
        <v>7.1915384615384617E-2</v>
      </c>
      <c r="J71" s="259">
        <v>0.66242537313432837</v>
      </c>
      <c r="K71" s="259">
        <v>5.04E-2</v>
      </c>
      <c r="L71" s="259">
        <v>0.25515158335128063</v>
      </c>
      <c r="M71" s="259">
        <v>6.1281844243995631E-2</v>
      </c>
      <c r="N71" s="260">
        <v>0.39455392132123329</v>
      </c>
      <c r="O71" s="260">
        <v>2.0269411136328683</v>
      </c>
      <c r="P71" s="260">
        <v>4.5546133754379108</v>
      </c>
      <c r="Q71" s="260">
        <v>6.3381393654392255</v>
      </c>
      <c r="R71" s="260">
        <v>0.77292408247604494</v>
      </c>
      <c r="S71" s="260">
        <v>18.031599494609171</v>
      </c>
    </row>
    <row r="72" spans="1:19">
      <c r="A72" t="s">
        <v>164</v>
      </c>
      <c r="B72" s="196">
        <v>76</v>
      </c>
      <c r="C72" s="259">
        <v>-3.4940277777777771E-2</v>
      </c>
      <c r="D72" s="259">
        <v>0.16030900588190236</v>
      </c>
      <c r="E72" s="259">
        <v>0.13411216869196324</v>
      </c>
      <c r="F72" s="259">
        <v>0.13412381578947366</v>
      </c>
      <c r="G72" s="260">
        <v>1.0776353729847961</v>
      </c>
      <c r="H72" s="260">
        <v>1.1212500000000005</v>
      </c>
      <c r="I72" s="259">
        <v>8.6462500000000025E-2</v>
      </c>
      <c r="J72" s="259">
        <v>0.57506399999999991</v>
      </c>
      <c r="K72" s="259">
        <v>4.5399999999999996E-2</v>
      </c>
      <c r="L72" s="259">
        <v>0.13230260024267526</v>
      </c>
      <c r="M72" s="259">
        <v>7.8627209257128197E-2</v>
      </c>
      <c r="N72" s="260">
        <v>1.0012412131193207</v>
      </c>
      <c r="O72" s="260">
        <v>2.6644453313659797</v>
      </c>
      <c r="P72" s="260">
        <v>12.127736682622542</v>
      </c>
      <c r="Q72" s="260">
        <v>16.620684014027528</v>
      </c>
      <c r="R72" s="260">
        <v>2.960374641478638</v>
      </c>
      <c r="S72" s="260">
        <v>32.151604610358604</v>
      </c>
    </row>
    <row r="73" spans="1:19">
      <c r="A73" t="s">
        <v>165</v>
      </c>
      <c r="B73" s="196">
        <v>20</v>
      </c>
      <c r="C73" s="259">
        <v>0.14677500000000002</v>
      </c>
      <c r="D73" s="259">
        <v>0.33096073696589579</v>
      </c>
      <c r="E73" s="259">
        <v>0.13899980412210006</v>
      </c>
      <c r="F73" s="259">
        <v>0.20120499999999994</v>
      </c>
      <c r="G73" s="260">
        <v>1.5775310419663051</v>
      </c>
      <c r="H73" s="260">
        <v>1.6718181818181816</v>
      </c>
      <c r="I73" s="259">
        <v>0.11399090909090909</v>
      </c>
      <c r="J73" s="259">
        <v>0.33660000000000001</v>
      </c>
      <c r="K73" s="259">
        <v>4.0399999999999998E-2</v>
      </c>
      <c r="L73" s="259">
        <v>0.21597454066015431</v>
      </c>
      <c r="M73" s="259">
        <v>9.4606997726168734E-2</v>
      </c>
      <c r="N73" s="260">
        <v>0.47671550306473309</v>
      </c>
      <c r="O73" s="260">
        <v>3.211831367378212</v>
      </c>
      <c r="P73" s="260">
        <v>8.9453709817267715</v>
      </c>
      <c r="Q73" s="260">
        <v>9.7045691788786979</v>
      </c>
      <c r="R73" s="260">
        <v>1.6242238133078832</v>
      </c>
      <c r="S73" s="260">
        <v>23.32880512346081</v>
      </c>
    </row>
    <row r="74" spans="1:19">
      <c r="A74" t="s">
        <v>166</v>
      </c>
      <c r="B74" s="196">
        <v>21</v>
      </c>
      <c r="C74" s="259">
        <v>-3.1179999999999999E-2</v>
      </c>
      <c r="D74" s="259">
        <v>8.1012785980174834E-2</v>
      </c>
      <c r="E74" s="259">
        <v>8.548244750798277E-2</v>
      </c>
      <c r="F74" s="259">
        <v>0.23357333333333336</v>
      </c>
      <c r="G74" s="260">
        <v>0.91990566988245204</v>
      </c>
      <c r="H74" s="260">
        <v>1.1311111111111112</v>
      </c>
      <c r="I74" s="259">
        <v>8.6955555555555564E-2</v>
      </c>
      <c r="J74" s="259">
        <v>0.54207000000000005</v>
      </c>
      <c r="K74" s="259">
        <v>4.5399999999999996E-2</v>
      </c>
      <c r="L74" s="259">
        <v>0.26839648162560792</v>
      </c>
      <c r="M74" s="259">
        <v>7.0928110546125925E-2</v>
      </c>
      <c r="N74" s="260">
        <v>1.5268832430931556</v>
      </c>
      <c r="O74" s="260">
        <v>1.4419110867837652</v>
      </c>
      <c r="P74" s="260">
        <v>10.622862580747416</v>
      </c>
      <c r="Q74" s="260">
        <v>17.798561910173348</v>
      </c>
      <c r="R74" s="260">
        <v>3.5209679204506412</v>
      </c>
      <c r="S74" s="260">
        <v>18.780112669046154</v>
      </c>
    </row>
    <row r="75" spans="1:19">
      <c r="A75" t="s">
        <v>167</v>
      </c>
      <c r="B75" s="196">
        <v>131</v>
      </c>
      <c r="C75" s="259">
        <v>-5.510000000000001E-2</v>
      </c>
      <c r="D75" s="259">
        <v>0.80182624660828317</v>
      </c>
      <c r="E75" s="259">
        <v>0.12586419195692014</v>
      </c>
      <c r="F75" s="259">
        <v>4.9939694656488546E-3</v>
      </c>
      <c r="G75" s="260">
        <v>0.98291703808031239</v>
      </c>
      <c r="H75" s="260">
        <v>1.3463478260869561</v>
      </c>
      <c r="I75" s="259">
        <v>9.7717391304347812E-2</v>
      </c>
      <c r="J75" s="259">
        <v>0.29766638655462196</v>
      </c>
      <c r="K75" s="259">
        <v>4.0399999999999998E-2</v>
      </c>
      <c r="L75" s="259">
        <v>0.30519641321064572</v>
      </c>
      <c r="M75" s="259">
        <v>7.5292355026185767E-2</v>
      </c>
      <c r="N75" s="260">
        <v>0.16538401595072902</v>
      </c>
      <c r="O75" s="260">
        <v>7.1293807984142195</v>
      </c>
      <c r="P75" s="260">
        <v>7.7056757516156225</v>
      </c>
      <c r="Q75" s="260">
        <v>8.8914285714285715</v>
      </c>
      <c r="R75" s="260">
        <v>1.2632034153334573</v>
      </c>
      <c r="S75" s="260">
        <v>19.03481220853601</v>
      </c>
    </row>
    <row r="76" spans="1:19">
      <c r="A76" t="s">
        <v>168</v>
      </c>
      <c r="B76" s="196">
        <v>13</v>
      </c>
      <c r="C76" s="259">
        <v>0.12094166666666667</v>
      </c>
      <c r="D76" s="259">
        <v>0.29502881038813894</v>
      </c>
      <c r="E76" s="259">
        <v>0.12359901191644657</v>
      </c>
      <c r="F76" s="259">
        <v>0.30959000000000003</v>
      </c>
      <c r="G76" s="260">
        <v>1.2411554060082486</v>
      </c>
      <c r="H76" s="260">
        <v>1.3976923076923078</v>
      </c>
      <c r="I76" s="259">
        <v>0.10028461538461539</v>
      </c>
      <c r="J76" s="259">
        <v>0.32205384615384614</v>
      </c>
      <c r="K76" s="259">
        <v>4.0399999999999998E-2</v>
      </c>
      <c r="L76" s="259">
        <v>0.17332531616450009</v>
      </c>
      <c r="M76" s="259">
        <v>8.7104158380469116E-2</v>
      </c>
      <c r="N76" s="260">
        <v>0.63980911556177467</v>
      </c>
      <c r="O76" s="260">
        <v>3.9780847241582364</v>
      </c>
      <c r="P76" s="260">
        <v>10.427680427680425</v>
      </c>
      <c r="Q76" s="260">
        <v>13.483716112079636</v>
      </c>
      <c r="R76" s="260">
        <v>3.6028409930782721</v>
      </c>
      <c r="S76" s="260">
        <v>21.754345043951233</v>
      </c>
    </row>
    <row r="77" spans="1:19">
      <c r="A77" t="s">
        <v>169</v>
      </c>
      <c r="B77" s="196">
        <v>53</v>
      </c>
      <c r="C77" s="259">
        <v>0.10801666666666668</v>
      </c>
      <c r="D77" s="259">
        <v>0.12221445553182823</v>
      </c>
      <c r="E77" s="259">
        <v>9.171466051393122E-2</v>
      </c>
      <c r="F77" s="259">
        <v>0.20886433962264145</v>
      </c>
      <c r="G77" s="260">
        <v>1.1472388340505926</v>
      </c>
      <c r="H77" s="260">
        <v>1.3657142857142857</v>
      </c>
      <c r="I77" s="259">
        <v>9.8685714285714279E-2</v>
      </c>
      <c r="J77" s="259">
        <v>0.46176511627906991</v>
      </c>
      <c r="K77" s="259">
        <v>4.0399999999999998E-2</v>
      </c>
      <c r="L77" s="259">
        <v>0.23964864147769271</v>
      </c>
      <c r="M77" s="259">
        <v>8.0844899993306393E-2</v>
      </c>
      <c r="N77" s="260">
        <v>0.95368047979430881</v>
      </c>
      <c r="O77" s="260">
        <v>2.0260695564286211</v>
      </c>
      <c r="P77" s="260">
        <v>11.304787813355741</v>
      </c>
      <c r="Q77" s="260">
        <v>16.577986193302419</v>
      </c>
      <c r="R77" s="260">
        <v>2.5290981844265144</v>
      </c>
      <c r="S77" s="260">
        <v>26.530595285253948</v>
      </c>
    </row>
    <row r="78" spans="1:19">
      <c r="A78" t="s">
        <v>170</v>
      </c>
      <c r="B78" s="196">
        <v>12</v>
      </c>
      <c r="C78" s="259">
        <v>0</v>
      </c>
      <c r="D78" s="259" t="s">
        <v>189</v>
      </c>
      <c r="E78" s="259" t="s">
        <v>189</v>
      </c>
      <c r="F78" s="259">
        <v>6.5328333333333335E-2</v>
      </c>
      <c r="G78" s="260">
        <v>0.90219498302389212</v>
      </c>
      <c r="H78" s="260">
        <v>0.80727272727272714</v>
      </c>
      <c r="I78" s="259">
        <v>7.0763636363636362E-2</v>
      </c>
      <c r="J78" s="259">
        <v>0.20862727272727274</v>
      </c>
      <c r="K78" s="259">
        <v>3.5400000000000001E-2</v>
      </c>
      <c r="L78" s="259">
        <v>0.13790567365070616</v>
      </c>
      <c r="M78" s="259">
        <v>6.3934045929276484E-2</v>
      </c>
      <c r="N78" s="260" t="s">
        <v>189</v>
      </c>
      <c r="O78" s="260" t="s">
        <v>189</v>
      </c>
      <c r="P78" s="260">
        <v>37.09929660023446</v>
      </c>
      <c r="Q78" s="260">
        <v>37.09929660023446</v>
      </c>
      <c r="R78" s="260">
        <v>0.92207091780627293</v>
      </c>
      <c r="S78" s="260">
        <v>10.508473780126108</v>
      </c>
    </row>
    <row r="79" spans="1:19">
      <c r="A79" t="s">
        <v>171</v>
      </c>
      <c r="B79" s="196">
        <v>67</v>
      </c>
      <c r="C79" s="259">
        <v>1.3958928571428567E-2</v>
      </c>
      <c r="D79" s="259">
        <v>0.16312124262819766</v>
      </c>
      <c r="E79" s="259">
        <v>0.19440368583123466</v>
      </c>
      <c r="F79" s="259">
        <v>0.2249387064676617</v>
      </c>
      <c r="G79" s="260">
        <v>0.93515798855370269</v>
      </c>
      <c r="H79" s="260">
        <v>1.0004255319148936</v>
      </c>
      <c r="I79" s="259">
        <v>8.0421276595744676E-2</v>
      </c>
      <c r="J79" s="259">
        <v>0.5350211538461539</v>
      </c>
      <c r="K79" s="259">
        <v>4.5399999999999996E-2</v>
      </c>
      <c r="L79" s="259">
        <v>0.11667094847738591</v>
      </c>
      <c r="M79" s="259">
        <v>7.4216566614080937E-2</v>
      </c>
      <c r="N79" s="260">
        <v>1.7189941279249452</v>
      </c>
      <c r="O79" s="260">
        <v>2.7098211186448515</v>
      </c>
      <c r="P79" s="260">
        <v>12.959995681492712</v>
      </c>
      <c r="Q79" s="260">
        <v>16.612312872219519</v>
      </c>
      <c r="R79" s="260">
        <v>7.2873502767661078</v>
      </c>
      <c r="S79" s="260">
        <v>35.817759289636271</v>
      </c>
    </row>
    <row r="80" spans="1:19">
      <c r="A80" t="s">
        <v>270</v>
      </c>
      <c r="B80" s="196">
        <v>69</v>
      </c>
      <c r="C80" s="259">
        <v>0.10415081967213118</v>
      </c>
      <c r="D80" s="259">
        <v>8.69784351902992E-2</v>
      </c>
      <c r="E80" s="259">
        <v>0.14886069807753954</v>
      </c>
      <c r="F80" s="259">
        <v>0.2383007246376812</v>
      </c>
      <c r="G80" s="260">
        <v>1.5987990337181994</v>
      </c>
      <c r="H80" s="260">
        <v>1.6794827586206893</v>
      </c>
      <c r="I80" s="259">
        <v>0.11437413793103447</v>
      </c>
      <c r="J80" s="259">
        <v>0.52444354838709673</v>
      </c>
      <c r="K80" s="259">
        <v>4.5399999999999996E-2</v>
      </c>
      <c r="L80" s="259">
        <v>0.11184275926787457</v>
      </c>
      <c r="M80" s="259">
        <v>0.1046288155184</v>
      </c>
      <c r="N80" s="260">
        <v>2.5509136073473786</v>
      </c>
      <c r="O80" s="260">
        <v>1.8699198217709956</v>
      </c>
      <c r="P80" s="260">
        <v>15.809927230271466</v>
      </c>
      <c r="Q80" s="260">
        <v>21.498660187204077</v>
      </c>
      <c r="R80" s="260">
        <v>6.8015997076676333</v>
      </c>
      <c r="S80" s="260">
        <v>24.216467064704272</v>
      </c>
    </row>
    <row r="81" spans="1:19">
      <c r="A81" t="s">
        <v>271</v>
      </c>
      <c r="B81" s="196">
        <v>41</v>
      </c>
      <c r="C81" s="259">
        <v>7.3268421052631566E-2</v>
      </c>
      <c r="D81" s="259">
        <v>0.1084586234490976</v>
      </c>
      <c r="E81" s="259">
        <v>0.35436920484624962</v>
      </c>
      <c r="F81" s="259">
        <v>0.26533146341463415</v>
      </c>
      <c r="G81" s="260">
        <v>1.3261601744133742</v>
      </c>
      <c r="H81" s="260">
        <v>1.2733333333333332</v>
      </c>
      <c r="I81" s="259">
        <v>9.406666666666666E-2</v>
      </c>
      <c r="J81" s="259">
        <v>0.5684358974358974</v>
      </c>
      <c r="K81" s="259">
        <v>4.5399999999999996E-2</v>
      </c>
      <c r="L81" s="259">
        <v>4.7705437202235079E-2</v>
      </c>
      <c r="M81" s="259">
        <v>9.0878671316565296E-2</v>
      </c>
      <c r="N81" s="260">
        <v>5.2052774757664597</v>
      </c>
      <c r="O81" s="260">
        <v>1.2682287764990807</v>
      </c>
      <c r="P81" s="260">
        <v>9.116441809437152</v>
      </c>
      <c r="Q81" s="260">
        <v>11.6932036952718</v>
      </c>
      <c r="R81" s="260">
        <v>5.7196236756560337</v>
      </c>
      <c r="S81" s="260">
        <v>23.202275376045094</v>
      </c>
    </row>
    <row r="82" spans="1:19">
      <c r="A82" t="s">
        <v>172</v>
      </c>
      <c r="B82" s="196">
        <v>19</v>
      </c>
      <c r="C82" s="259">
        <v>0.11710526315789477</v>
      </c>
      <c r="D82" s="259">
        <v>6.8312283101265275E-2</v>
      </c>
      <c r="E82" s="259">
        <v>9.538563359120196E-2</v>
      </c>
      <c r="F82" s="259">
        <v>0.32887368421052626</v>
      </c>
      <c r="G82" s="260">
        <v>1.035920669426889</v>
      </c>
      <c r="H82" s="260">
        <v>1.27125</v>
      </c>
      <c r="I82" s="259">
        <v>9.3962500000000004E-2</v>
      </c>
      <c r="J82" s="259">
        <v>0.3644</v>
      </c>
      <c r="K82" s="259">
        <v>4.0399999999999998E-2</v>
      </c>
      <c r="L82" s="259">
        <v>0.28165455033630027</v>
      </c>
      <c r="M82" s="259">
        <v>7.4324840614177309E-2</v>
      </c>
      <c r="N82" s="260">
        <v>2.1700229269764519</v>
      </c>
      <c r="O82" s="260">
        <v>1.081509941517149</v>
      </c>
      <c r="P82" s="260">
        <v>12.731977818853977</v>
      </c>
      <c r="Q82" s="260">
        <v>15.831851790313202</v>
      </c>
      <c r="R82" s="260">
        <v>4.4678035607649988</v>
      </c>
      <c r="S82" s="260">
        <v>20.018686545055054</v>
      </c>
    </row>
    <row r="83" spans="1:19">
      <c r="A83" t="s">
        <v>173</v>
      </c>
      <c r="B83" s="196">
        <v>10</v>
      </c>
      <c r="C83" s="259">
        <v>8.3729999999999999E-2</v>
      </c>
      <c r="D83" s="259">
        <v>9.3435222884507244E-2</v>
      </c>
      <c r="E83" s="259">
        <v>0.16176013779652559</v>
      </c>
      <c r="F83" s="259">
        <v>0.24712000000000001</v>
      </c>
      <c r="G83" s="260">
        <v>1.1048573464809068</v>
      </c>
      <c r="H83" s="260">
        <v>1.1725000000000001</v>
      </c>
      <c r="I83" s="259">
        <v>8.9025000000000007E-2</v>
      </c>
      <c r="J83" s="259">
        <v>0.28591111111111117</v>
      </c>
      <c r="K83" s="259">
        <v>4.0399999999999998E-2</v>
      </c>
      <c r="L83" s="259">
        <v>9.8079757899483311E-2</v>
      </c>
      <c r="M83" s="259">
        <v>8.2670902884481992E-2</v>
      </c>
      <c r="N83" s="260">
        <v>2.7141996643534276</v>
      </c>
      <c r="O83" s="260">
        <v>1.5123385777664289</v>
      </c>
      <c r="P83" s="260">
        <v>12.95193524195534</v>
      </c>
      <c r="Q83" s="260">
        <v>16.185957833437072</v>
      </c>
      <c r="R83" s="260">
        <v>5.6378845408546274</v>
      </c>
      <c r="S83" s="260">
        <v>31.289268885137929</v>
      </c>
    </row>
    <row r="84" spans="1:19">
      <c r="A84" t="s">
        <v>174</v>
      </c>
      <c r="B84" s="196">
        <v>36</v>
      </c>
      <c r="C84" s="259">
        <v>8.7341379310344816E-2</v>
      </c>
      <c r="D84" s="259">
        <v>5.5287713372547502E-2</v>
      </c>
      <c r="E84" s="259">
        <v>0.13695243163488585</v>
      </c>
      <c r="F84" s="259">
        <v>0.23459556393076492</v>
      </c>
      <c r="G84" s="260">
        <v>1.0461853744905056</v>
      </c>
      <c r="H84" s="260">
        <v>1.1827586206896554</v>
      </c>
      <c r="I84" s="259">
        <v>8.9537931034482779E-2</v>
      </c>
      <c r="J84" s="259">
        <v>0.40978064516129031</v>
      </c>
      <c r="K84" s="259">
        <v>4.0399999999999998E-2</v>
      </c>
      <c r="L84" s="259">
        <v>0.1854191933056214</v>
      </c>
      <c r="M84" s="259">
        <v>7.7430441337542885E-2</v>
      </c>
      <c r="N84" s="260">
        <v>3.6806390246287197</v>
      </c>
      <c r="O84" s="260">
        <v>0.65421901073861977</v>
      </c>
      <c r="P84" s="260">
        <v>8.6468308726013099</v>
      </c>
      <c r="Q84" s="260">
        <v>11.832990927482722</v>
      </c>
      <c r="R84" s="260">
        <v>3.2372926237941124</v>
      </c>
      <c r="S84" s="260">
        <v>23.949521350200062</v>
      </c>
    </row>
    <row r="85" spans="1:19">
      <c r="A85" t="s">
        <v>175</v>
      </c>
      <c r="B85" s="196">
        <v>32</v>
      </c>
      <c r="C85" s="259">
        <v>0.10908148148148147</v>
      </c>
      <c r="D85" s="259">
        <v>3.7821492448392863E-2</v>
      </c>
      <c r="E85" s="259">
        <v>0.1165087584567459</v>
      </c>
      <c r="F85" s="259">
        <v>0.29846718749999995</v>
      </c>
      <c r="G85" s="260">
        <v>0.67701890418440924</v>
      </c>
      <c r="H85" s="260">
        <v>0.78249999999999986</v>
      </c>
      <c r="I85" s="259">
        <v>6.952499999999999E-2</v>
      </c>
      <c r="J85" s="259">
        <v>0.30136400000000002</v>
      </c>
      <c r="K85" s="259">
        <v>4.0399999999999998E-2</v>
      </c>
      <c r="L85" s="259">
        <v>0.2333934275641405</v>
      </c>
      <c r="M85" s="259">
        <v>5.8955778632757888E-2</v>
      </c>
      <c r="N85" s="260">
        <v>4.5286044328765636</v>
      </c>
      <c r="O85" s="260">
        <v>0.54138771341566427</v>
      </c>
      <c r="P85" s="260">
        <v>9.5051750280176659</v>
      </c>
      <c r="Q85" s="260">
        <v>14.314287416192888</v>
      </c>
      <c r="R85" s="260">
        <v>3.7824771969772684</v>
      </c>
      <c r="S85" s="260">
        <v>29.777612814243209</v>
      </c>
    </row>
    <row r="86" spans="1:19">
      <c r="A86" t="s">
        <v>176</v>
      </c>
      <c r="B86" s="196">
        <v>30</v>
      </c>
      <c r="C86" s="259">
        <v>-4.8978571428571434E-2</v>
      </c>
      <c r="D86" s="259">
        <v>0.32046209875482551</v>
      </c>
      <c r="E86" s="259">
        <v>5.4320840632331398E-2</v>
      </c>
      <c r="F86" s="259">
        <v>0.24322399999999997</v>
      </c>
      <c r="G86" s="260">
        <v>0.80282889476275121</v>
      </c>
      <c r="H86" s="260">
        <v>1.1815384615384616</v>
      </c>
      <c r="I86" s="259">
        <v>8.9476923076923079E-2</v>
      </c>
      <c r="J86" s="259">
        <v>0.43918275862068967</v>
      </c>
      <c r="K86" s="259">
        <v>4.0399999999999998E-2</v>
      </c>
      <c r="L86" s="259">
        <v>0.63938365435118594</v>
      </c>
      <c r="M86" s="259">
        <v>4.7765500801372783E-2</v>
      </c>
      <c r="N86" s="260">
        <v>0.2702075153668359</v>
      </c>
      <c r="O86" s="260">
        <v>4.3532535714485823</v>
      </c>
      <c r="P86" s="260">
        <v>12.023143999813728</v>
      </c>
      <c r="Q86" s="260">
        <v>13.584300884140145</v>
      </c>
      <c r="R86" s="260">
        <v>1.3534968468999533</v>
      </c>
      <c r="S86" s="260">
        <v>28.124943030446595</v>
      </c>
    </row>
    <row r="87" spans="1:19">
      <c r="A87" t="s">
        <v>177</v>
      </c>
      <c r="B87" s="196">
        <v>136</v>
      </c>
      <c r="C87" s="259">
        <v>-4.4072500000000014E-2</v>
      </c>
      <c r="D87" s="259">
        <v>0.18276081241250808</v>
      </c>
      <c r="E87" s="259">
        <v>0.18034345867235407</v>
      </c>
      <c r="F87" s="259">
        <v>0.11019727941176471</v>
      </c>
      <c r="G87" s="260">
        <v>1.4362914852622672</v>
      </c>
      <c r="H87" s="260">
        <v>1.378971962616822</v>
      </c>
      <c r="I87" s="259">
        <v>9.9348598130841098E-2</v>
      </c>
      <c r="J87" s="259">
        <v>0.49524067796610161</v>
      </c>
      <c r="K87" s="259">
        <v>4.0399999999999998E-2</v>
      </c>
      <c r="L87" s="259">
        <v>9.8543490946064183E-2</v>
      </c>
      <c r="M87" s="259">
        <v>9.1947134670962979E-2</v>
      </c>
      <c r="N87" s="260">
        <v>1.2025711129432233</v>
      </c>
      <c r="O87" s="260">
        <v>2.776853202223533</v>
      </c>
      <c r="P87" s="260">
        <v>9.345987570870335</v>
      </c>
      <c r="Q87" s="260">
        <v>15.19392021499619</v>
      </c>
      <c r="R87" s="260">
        <v>3.1246899753874491</v>
      </c>
      <c r="S87" s="260">
        <v>41.180511090347274</v>
      </c>
    </row>
    <row r="88" spans="1:19">
      <c r="A88" t="s">
        <v>178</v>
      </c>
      <c r="B88" s="196">
        <v>10</v>
      </c>
      <c r="C88" s="259">
        <v>2.12E-2</v>
      </c>
      <c r="D88" s="259">
        <v>0.10343429144528811</v>
      </c>
      <c r="E88" s="259">
        <v>9.5390388526409658E-2</v>
      </c>
      <c r="F88" s="259">
        <v>0.202038</v>
      </c>
      <c r="G88" s="260">
        <v>1.8767056987616406</v>
      </c>
      <c r="H88" s="260">
        <v>1.734</v>
      </c>
      <c r="I88" s="259">
        <v>0.1171</v>
      </c>
      <c r="J88" s="259">
        <v>0.36824999999999997</v>
      </c>
      <c r="K88" s="259">
        <v>4.0399999999999998E-2</v>
      </c>
      <c r="L88" s="259">
        <v>0.11648319114615391</v>
      </c>
      <c r="M88" s="259">
        <v>0.10628337087016815</v>
      </c>
      <c r="N88" s="260">
        <v>1.1930121703203294</v>
      </c>
      <c r="O88" s="260">
        <v>2.0652089741659312</v>
      </c>
      <c r="P88" s="260">
        <v>11.55097833707762</v>
      </c>
      <c r="Q88" s="260">
        <v>19.966385860131599</v>
      </c>
      <c r="R88" s="260">
        <v>2.2840372548467887</v>
      </c>
      <c r="S88" s="260">
        <v>41.764614350765569</v>
      </c>
    </row>
    <row r="89" spans="1:19">
      <c r="A89" t="s">
        <v>179</v>
      </c>
      <c r="B89" s="196">
        <v>12</v>
      </c>
      <c r="C89" s="259">
        <v>5.0283333333333333E-2</v>
      </c>
      <c r="D89" s="259">
        <v>0.11176490891557907</v>
      </c>
      <c r="E89" s="259">
        <v>0.26042986272939223</v>
      </c>
      <c r="F89" s="259">
        <v>0.23427400793650796</v>
      </c>
      <c r="G89" s="260">
        <v>1.3942797588603428</v>
      </c>
      <c r="H89" s="260">
        <v>1.3149999999999997</v>
      </c>
      <c r="I89" s="259">
        <v>9.6149999999999985E-2</v>
      </c>
      <c r="J89" s="259">
        <v>0.4997583333333333</v>
      </c>
      <c r="K89" s="259">
        <v>4.0399999999999998E-2</v>
      </c>
      <c r="L89" s="259">
        <v>3.7944783338130006E-2</v>
      </c>
      <c r="M89" s="259">
        <v>9.342139063015506E-2</v>
      </c>
      <c r="N89" s="260">
        <v>3.1427261992254278</v>
      </c>
      <c r="O89" s="260">
        <v>2.0560879287195104</v>
      </c>
      <c r="P89" s="260">
        <v>15.748873688296264</v>
      </c>
      <c r="Q89" s="260">
        <v>18.39654278493229</v>
      </c>
      <c r="R89" s="260">
        <v>5.1106836544437542</v>
      </c>
      <c r="S89" s="260">
        <v>21.062583873036285</v>
      </c>
    </row>
    <row r="90" spans="1:19">
      <c r="A90" t="s">
        <v>272</v>
      </c>
      <c r="B90" s="196">
        <v>32</v>
      </c>
      <c r="C90" s="259">
        <v>1.1103225806451615E-2</v>
      </c>
      <c r="D90" s="259">
        <v>2.9931385429795586E-2</v>
      </c>
      <c r="E90" s="259">
        <v>2.1411448158677921E-2</v>
      </c>
      <c r="F90" s="259">
        <v>0.26961281250000002</v>
      </c>
      <c r="G90" s="260">
        <v>1.2194025648849411</v>
      </c>
      <c r="H90" s="260">
        <v>1.6639285714285712</v>
      </c>
      <c r="I90" s="259">
        <v>0.11359642857142856</v>
      </c>
      <c r="J90" s="259">
        <v>0.39650000000000007</v>
      </c>
      <c r="K90" s="259">
        <v>4.0399999999999998E-2</v>
      </c>
      <c r="L90" s="259">
        <v>0.3888962823406964</v>
      </c>
      <c r="M90" s="259">
        <v>7.8846045696758002E-2</v>
      </c>
      <c r="N90" s="260">
        <v>1.1487654147228998</v>
      </c>
      <c r="O90" s="260">
        <v>0.83577589797943186</v>
      </c>
      <c r="P90" s="260">
        <v>10.615889130336361</v>
      </c>
      <c r="Q90" s="260">
        <v>27.923060893380761</v>
      </c>
      <c r="R90" s="260">
        <v>0.94043911821772785</v>
      </c>
      <c r="S90" s="260">
        <v>24.366697433882372</v>
      </c>
    </row>
    <row r="91" spans="1:19">
      <c r="A91" t="s">
        <v>180</v>
      </c>
      <c r="B91" s="196">
        <v>91</v>
      </c>
      <c r="C91" s="259">
        <v>1.3948750000000005E-2</v>
      </c>
      <c r="D91" s="259">
        <v>-1.5110548942380445E-3</v>
      </c>
      <c r="E91" s="259">
        <v>-6.3763775466146325E-2</v>
      </c>
      <c r="F91" s="259">
        <v>0.17409670329670326</v>
      </c>
      <c r="G91" s="260">
        <v>1.2709684674510393</v>
      </c>
      <c r="H91" s="260">
        <v>1.0469736842105266</v>
      </c>
      <c r="I91" s="259">
        <v>8.2748684210526335E-2</v>
      </c>
      <c r="J91" s="259">
        <v>0.61808048780487823</v>
      </c>
      <c r="K91" s="259">
        <v>4.5399999999999996E-2</v>
      </c>
      <c r="L91" s="259">
        <v>0.11019671044883617</v>
      </c>
      <c r="M91" s="259">
        <v>7.6631809809183077E-2</v>
      </c>
      <c r="N91" s="260">
        <v>2.0540214087219968</v>
      </c>
      <c r="O91" s="260">
        <v>1.5930606595201391</v>
      </c>
      <c r="P91" s="260">
        <v>42.187828103233407</v>
      </c>
      <c r="Q91" s="260" t="s">
        <v>189</v>
      </c>
      <c r="R91" s="260">
        <v>2.3992366497101907</v>
      </c>
      <c r="S91" s="260">
        <v>33.437235864965707</v>
      </c>
    </row>
    <row r="92" spans="1:19">
      <c r="A92" t="s">
        <v>181</v>
      </c>
      <c r="B92" s="196">
        <v>61</v>
      </c>
      <c r="C92" s="259">
        <v>6.0969387755102043E-2</v>
      </c>
      <c r="D92" s="259">
        <v>0.19858835682898315</v>
      </c>
      <c r="E92" s="259">
        <v>0.12191739067589213</v>
      </c>
      <c r="F92" s="259">
        <v>0.1782218032786885</v>
      </c>
      <c r="G92" s="260">
        <v>0.89919030897136798</v>
      </c>
      <c r="H92" s="260">
        <v>1.0518749999999997</v>
      </c>
      <c r="I92" s="259">
        <v>8.2993749999999991E-2</v>
      </c>
      <c r="J92" s="259">
        <v>0.6248627450980393</v>
      </c>
      <c r="K92" s="259">
        <v>4.5399999999999996E-2</v>
      </c>
      <c r="L92" s="259">
        <v>0.25169562922192867</v>
      </c>
      <c r="M92" s="259">
        <v>6.8960774812267894E-2</v>
      </c>
      <c r="N92" s="260">
        <v>0.91843552678965146</v>
      </c>
      <c r="O92" s="260">
        <v>1.9953379601689809</v>
      </c>
      <c r="P92" s="260">
        <v>5.6849704335540876</v>
      </c>
      <c r="Q92" s="260">
        <v>10.047607986843314</v>
      </c>
      <c r="R92" s="260">
        <v>2.2544326516835809</v>
      </c>
      <c r="S92" s="260">
        <v>108.84576623901215</v>
      </c>
    </row>
    <row r="93" spans="1:19">
      <c r="A93" t="s">
        <v>182</v>
      </c>
      <c r="B93" s="196">
        <v>24</v>
      </c>
      <c r="C93" s="259">
        <v>9.0476190476196169E-5</v>
      </c>
      <c r="D93" s="259">
        <v>0.15944721069016643</v>
      </c>
      <c r="E93" s="259">
        <v>9.150252227147429E-2</v>
      </c>
      <c r="F93" s="259">
        <v>0.19763083333333334</v>
      </c>
      <c r="G93" s="260">
        <v>0.47028832016757832</v>
      </c>
      <c r="H93" s="260">
        <v>0.76526315789473687</v>
      </c>
      <c r="I93" s="259">
        <v>6.8663157894736843E-2</v>
      </c>
      <c r="J93" s="259">
        <v>0.41968999999999995</v>
      </c>
      <c r="K93" s="259">
        <v>4.0399999999999998E-2</v>
      </c>
      <c r="L93" s="259">
        <v>0.47078569387599067</v>
      </c>
      <c r="M93" s="259">
        <v>4.774937068110046E-2</v>
      </c>
      <c r="N93" s="260">
        <v>0.79320929078907054</v>
      </c>
      <c r="O93" s="260">
        <v>1.8630050991098768</v>
      </c>
      <c r="P93" s="260">
        <v>5.4195029458725106</v>
      </c>
      <c r="Q93" s="260">
        <v>11.684149826427625</v>
      </c>
      <c r="R93" s="260">
        <v>2.3812013233352829</v>
      </c>
      <c r="S93" s="260">
        <v>20.695695255773714</v>
      </c>
    </row>
    <row r="94" spans="1:19">
      <c r="A94" t="s">
        <v>183</v>
      </c>
      <c r="B94" s="196">
        <v>170</v>
      </c>
      <c r="C94" s="259">
        <v>0</v>
      </c>
      <c r="D94" s="259" t="s">
        <v>189</v>
      </c>
      <c r="E94" s="259" t="s">
        <v>189</v>
      </c>
      <c r="F94" s="259">
        <v>0.16027541176470586</v>
      </c>
      <c r="G94" s="260">
        <v>0.79495040756142421</v>
      </c>
      <c r="H94" s="260">
        <v>0.693956834532374</v>
      </c>
      <c r="I94" s="259">
        <v>6.5097841726618699E-2</v>
      </c>
      <c r="J94" s="259">
        <v>0.34840559440559432</v>
      </c>
      <c r="K94" s="259">
        <v>4.0399999999999998E-2</v>
      </c>
      <c r="L94" s="259">
        <v>8.0052665012681712E-2</v>
      </c>
      <c r="M94" s="259">
        <v>6.1827062609736527E-2</v>
      </c>
      <c r="N94" s="260" t="s">
        <v>189</v>
      </c>
      <c r="O94" s="260" t="s">
        <v>189</v>
      </c>
      <c r="P94" s="260">
        <v>5.5226847936179784</v>
      </c>
      <c r="Q94" s="260">
        <v>5.5226847936179784</v>
      </c>
      <c r="R94" s="260">
        <v>1.3221412418513039</v>
      </c>
      <c r="S94" s="260">
        <v>55.549421558029522</v>
      </c>
    </row>
    <row r="95" spans="1:19">
      <c r="A95" t="s">
        <v>184</v>
      </c>
      <c r="B95" s="196">
        <v>11</v>
      </c>
      <c r="C95" s="259">
        <v>0.20507272727272724</v>
      </c>
      <c r="D95" s="259">
        <v>0.23008208835198291</v>
      </c>
      <c r="E95" s="259">
        <v>0.33567040693533384</v>
      </c>
      <c r="F95" s="259">
        <v>0.3350818181818182</v>
      </c>
      <c r="G95" s="260">
        <v>0.80618382777163056</v>
      </c>
      <c r="H95" s="260">
        <v>0.88100000000000001</v>
      </c>
      <c r="I95" s="259">
        <v>7.4450000000000002E-2</v>
      </c>
      <c r="J95" s="259">
        <v>0.30117000000000005</v>
      </c>
      <c r="K95" s="259">
        <v>4.0399999999999998E-2</v>
      </c>
      <c r="L95" s="259">
        <v>0.16330690945682069</v>
      </c>
      <c r="M95" s="259">
        <v>6.6250360076173034E-2</v>
      </c>
      <c r="N95" s="260">
        <v>2.1276348862224062</v>
      </c>
      <c r="O95" s="260">
        <v>2.4122088414849765</v>
      </c>
      <c r="P95" s="260">
        <v>9.7070789482560897</v>
      </c>
      <c r="Q95" s="260">
        <v>10.484122683182294</v>
      </c>
      <c r="R95" s="260">
        <v>14.453250933529777</v>
      </c>
      <c r="S95" s="260">
        <v>16.953582208478135</v>
      </c>
    </row>
    <row r="96" spans="1:19">
      <c r="A96" t="s">
        <v>185</v>
      </c>
      <c r="B96" s="196">
        <v>15</v>
      </c>
      <c r="C96" s="259">
        <v>4.7792307692307683E-2</v>
      </c>
      <c r="D96" s="259">
        <v>0.10514688280674531</v>
      </c>
      <c r="E96" s="259">
        <v>0.17092987980931099</v>
      </c>
      <c r="F96" s="259">
        <v>0.29963599999999996</v>
      </c>
      <c r="G96" s="260">
        <v>0.97268245919472474</v>
      </c>
      <c r="H96" s="260">
        <v>1.0276923076923077</v>
      </c>
      <c r="I96" s="259">
        <v>8.1784615384615386E-2</v>
      </c>
      <c r="J96" s="259">
        <v>0.38395384615384615</v>
      </c>
      <c r="K96" s="259">
        <v>4.0399999999999998E-2</v>
      </c>
      <c r="L96" s="259">
        <v>0.15705265955642012</v>
      </c>
      <c r="M96" s="259">
        <v>7.2747080495310257E-2</v>
      </c>
      <c r="N96" s="260">
        <v>2.5686534602798394</v>
      </c>
      <c r="O96" s="260">
        <v>1.732922478445847</v>
      </c>
      <c r="P96" s="260">
        <v>12.812429392065026</v>
      </c>
      <c r="Q96" s="260">
        <v>16.480968642987463</v>
      </c>
      <c r="R96" s="260">
        <v>7.1250672179534664</v>
      </c>
      <c r="S96" s="260">
        <v>29.818502719865112</v>
      </c>
    </row>
    <row r="97" spans="1:19">
      <c r="A97" t="s">
        <v>186</v>
      </c>
      <c r="B97" s="196">
        <v>31</v>
      </c>
      <c r="C97" s="259">
        <v>1.2603333333333333E-2</v>
      </c>
      <c r="D97" s="259">
        <v>7.8490630309730011E-2</v>
      </c>
      <c r="E97" s="259">
        <v>0.12476622914529691</v>
      </c>
      <c r="F97" s="259">
        <v>0.2733035483870967</v>
      </c>
      <c r="G97" s="260">
        <v>1.1946135717155963</v>
      </c>
      <c r="H97" s="260">
        <v>1.4026923076923077</v>
      </c>
      <c r="I97" s="259">
        <v>0.10053461538461539</v>
      </c>
      <c r="J97" s="259">
        <v>0.42671379310344831</v>
      </c>
      <c r="K97" s="259">
        <v>4.0399999999999998E-2</v>
      </c>
      <c r="L97" s="259">
        <v>0.23561711817400777</v>
      </c>
      <c r="M97" s="259">
        <v>8.2558297975497991E-2</v>
      </c>
      <c r="N97" s="260">
        <v>2.3554483048841424</v>
      </c>
      <c r="O97" s="260">
        <v>1.0576377296269208</v>
      </c>
      <c r="P97" s="260">
        <v>7.7177153778597569</v>
      </c>
      <c r="Q97" s="260">
        <v>13.474700425431697</v>
      </c>
      <c r="R97" s="260">
        <v>4.0197241109947273</v>
      </c>
      <c r="S97" s="260">
        <v>21.224116798249931</v>
      </c>
    </row>
    <row r="98" spans="1:19">
      <c r="A98" t="s">
        <v>187</v>
      </c>
      <c r="B98" s="196">
        <v>9</v>
      </c>
      <c r="C98" s="259">
        <v>4.4388888888888894E-2</v>
      </c>
      <c r="D98" s="259">
        <v>0.27626610936955764</v>
      </c>
      <c r="E98" s="259">
        <v>6.1537537128747259E-2</v>
      </c>
      <c r="F98" s="259">
        <v>0.34278495711835333</v>
      </c>
      <c r="G98" s="260">
        <v>0.31150576720820605</v>
      </c>
      <c r="H98" s="260">
        <v>0.4466666666666666</v>
      </c>
      <c r="I98" s="259">
        <v>5.2733333333333327E-2</v>
      </c>
      <c r="J98" s="259">
        <v>0.14750000000000002</v>
      </c>
      <c r="K98" s="259">
        <v>3.5400000000000001E-2</v>
      </c>
      <c r="L98" s="259">
        <v>0.40245631967291662</v>
      </c>
      <c r="M98" s="259">
        <v>4.0058642305767604E-2</v>
      </c>
      <c r="N98" s="260">
        <v>0.32777115613825974</v>
      </c>
      <c r="O98" s="260">
        <v>4.3353674677812606</v>
      </c>
      <c r="P98" s="260">
        <v>10.646696547712731</v>
      </c>
      <c r="Q98" s="260">
        <v>15.692722779767006</v>
      </c>
      <c r="R98" s="260">
        <v>1.9716592363065313</v>
      </c>
      <c r="S98" s="260">
        <v>21.516917234316381</v>
      </c>
    </row>
    <row r="99" spans="1:19">
      <c r="A99" t="s">
        <v>188</v>
      </c>
      <c r="B99" s="196">
        <v>53</v>
      </c>
      <c r="C99" s="259">
        <v>0.11827659574468083</v>
      </c>
      <c r="D99" s="259">
        <v>7.5654859735871868E-2</v>
      </c>
      <c r="E99" s="259">
        <v>4.0852450171916889E-2</v>
      </c>
      <c r="F99" s="259">
        <v>0.11056603773584904</v>
      </c>
      <c r="G99" s="260">
        <v>0.93097847623371732</v>
      </c>
      <c r="H99" s="260">
        <v>1.1848780487804875</v>
      </c>
      <c r="I99" s="259">
        <v>8.9643902439024384E-2</v>
      </c>
      <c r="J99" s="259">
        <v>0.62141590909090916</v>
      </c>
      <c r="K99" s="259">
        <v>4.5399999999999996E-2</v>
      </c>
      <c r="L99" s="259">
        <v>0.28780393146685102</v>
      </c>
      <c r="M99" s="259">
        <v>7.168381397819934E-2</v>
      </c>
      <c r="N99" s="260">
        <v>0.70485052444209573</v>
      </c>
      <c r="O99" s="260">
        <v>3.2839784455651873</v>
      </c>
      <c r="P99" s="260">
        <v>16.108260189882277</v>
      </c>
      <c r="Q99" s="260">
        <v>43.407369427823859</v>
      </c>
      <c r="R99" s="260">
        <v>3.9469849285391434</v>
      </c>
      <c r="S99" s="260">
        <v>74.725101106868991</v>
      </c>
    </row>
  </sheetData>
  <phoneticPr fontId="3"/>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Input sheet</vt:lpstr>
      <vt:lpstr>Valuation output</vt:lpstr>
      <vt:lpstr>Option value</vt:lpstr>
      <vt:lpstr>Diagnostics</vt:lpstr>
      <vt:lpstr>R&amp; D converter</vt:lpstr>
      <vt:lpstr>Operating lease converter</vt:lpstr>
      <vt:lpstr>Cost of capital worksheet</vt:lpstr>
      <vt:lpstr>Synthetic rating</vt:lpstr>
      <vt:lpstr>Industry Averages(US)</vt:lpstr>
      <vt:lpstr>Global industry averages</vt:lpstr>
      <vt:lpstr>Country tax rates</vt:lpstr>
      <vt:lpstr>Country equity risk premiums</vt:lpstr>
      <vt:lpstr>Traiing 12 month</vt:lpstr>
      <vt:lpstr>Answer keys</vt:lpstr>
      <vt:lpstr>Sheet1</vt:lpstr>
    </vt:vector>
  </TitlesOfParts>
  <Company>Stern School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Aswath Damodaran</dc:creator>
  <cp:lastModifiedBy>Marcel</cp:lastModifiedBy>
  <cp:lastPrinted>2011-01-17T15:04:26Z</cp:lastPrinted>
  <dcterms:created xsi:type="dcterms:W3CDTF">2000-02-22T13:53:50Z</dcterms:created>
  <dcterms:modified xsi:type="dcterms:W3CDTF">2016-04-29T19:18:26Z</dcterms:modified>
</cp:coreProperties>
</file>