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makaramlou\Desktop\Corporate Folder\Investment Documents\"/>
    </mc:Choice>
  </mc:AlternateContent>
  <bookViews>
    <workbookView xWindow="0" yWindow="1260" windowWidth="23040" windowHeight="9384" activeTab="3"/>
  </bookViews>
  <sheets>
    <sheet name="Sheet1" sheetId="1" r:id="rId1"/>
    <sheet name="DCF" sheetId="4" r:id="rId2"/>
    <sheet name="Segment Results" sheetId="3" r:id="rId3"/>
    <sheet name="Steel Price Deck" sheetId="2" r:id="rId4"/>
  </sheets>
  <externalReferences>
    <externalReference r:id="rId5"/>
  </externalReferences>
  <definedNames>
    <definedName name="_xlnm.Print_Area" localSheetId="3">'Steel Price Deck'!$A$1:$N$48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4" l="1"/>
  <c r="F24" i="1"/>
  <c r="I21" i="1"/>
  <c r="J21" i="1"/>
  <c r="F20" i="4" l="1"/>
  <c r="G20" i="4"/>
  <c r="H20" i="4"/>
  <c r="I20" i="4"/>
  <c r="J20" i="4"/>
  <c r="F25" i="4"/>
  <c r="G25" i="4"/>
  <c r="H25" i="4"/>
  <c r="I25" i="4"/>
  <c r="J25" i="4"/>
  <c r="F26" i="4"/>
  <c r="G26" i="4"/>
  <c r="H26" i="4"/>
  <c r="I26" i="4"/>
  <c r="J26" i="4"/>
  <c r="F27" i="4"/>
  <c r="G27" i="4"/>
  <c r="H27" i="4"/>
  <c r="I27" i="4"/>
  <c r="J27" i="4"/>
  <c r="F28" i="4"/>
  <c r="G28" i="4"/>
  <c r="H28" i="4"/>
  <c r="I28" i="4"/>
  <c r="J28" i="4"/>
  <c r="F19" i="4"/>
  <c r="H93" i="1" l="1"/>
  <c r="G80" i="1"/>
  <c r="H80" i="1"/>
  <c r="I80" i="1"/>
  <c r="J80" i="1"/>
  <c r="F80" i="1"/>
  <c r="J93" i="1"/>
  <c r="I93" i="1"/>
  <c r="G93" i="1"/>
  <c r="G79" i="1"/>
  <c r="H79" i="1"/>
  <c r="I79" i="1"/>
  <c r="J79" i="1"/>
  <c r="F79" i="1"/>
  <c r="F93" i="1"/>
  <c r="P174" i="1"/>
  <c r="F180" i="1"/>
  <c r="G175" i="1"/>
  <c r="F175" i="1"/>
  <c r="D99" i="1"/>
  <c r="F9" i="2" l="1"/>
  <c r="E9" i="2"/>
  <c r="G34" i="2"/>
  <c r="I8" i="2" s="1"/>
  <c r="H34" i="2"/>
  <c r="J8" i="2" s="1"/>
  <c r="I34" i="2"/>
  <c r="K8" i="2" s="1"/>
  <c r="J34" i="2"/>
  <c r="L8" i="2" s="1"/>
  <c r="F34" i="2"/>
  <c r="H8" i="2" s="1"/>
  <c r="D9" i="2"/>
  <c r="E10" i="2"/>
  <c r="D21" i="2"/>
  <c r="E21" i="2"/>
  <c r="F21" i="2"/>
  <c r="G21" i="2"/>
  <c r="C21" i="2"/>
  <c r="D17" i="2"/>
  <c r="E17" i="2"/>
  <c r="F17" i="2"/>
  <c r="G17" i="2"/>
  <c r="C17" i="2"/>
  <c r="C14" i="2"/>
  <c r="E14" i="2"/>
  <c r="F14" i="2"/>
  <c r="G14" i="2"/>
  <c r="D14" i="2"/>
  <c r="C15" i="4"/>
  <c r="J66" i="4"/>
  <c r="J68" i="4" s="1"/>
  <c r="C57" i="4"/>
  <c r="J54" i="4"/>
  <c r="I54" i="4"/>
  <c r="C53" i="4"/>
  <c r="J53" i="4" s="1"/>
  <c r="F31" i="4"/>
  <c r="G31" i="4"/>
  <c r="H31" i="4"/>
  <c r="I31" i="4"/>
  <c r="J31" i="4"/>
  <c r="G19" i="4"/>
  <c r="H19" i="4"/>
  <c r="I19" i="4"/>
  <c r="J19" i="4"/>
  <c r="F16" i="4"/>
  <c r="G16" i="4"/>
  <c r="H16" i="4"/>
  <c r="I16" i="4"/>
  <c r="J16" i="4"/>
  <c r="J62" i="4" s="1"/>
  <c r="J63" i="4" s="1"/>
  <c r="C16" i="4"/>
  <c r="C14" i="4"/>
  <c r="C6" i="4"/>
  <c r="I35" i="4" s="1"/>
  <c r="C5" i="4"/>
  <c r="C60" i="4" s="1"/>
  <c r="C61" i="4" s="1"/>
  <c r="C62" i="4" s="1"/>
  <c r="J12" i="4"/>
  <c r="J35" i="4" s="1"/>
  <c r="I12" i="4"/>
  <c r="H12" i="4"/>
  <c r="G12" i="4"/>
  <c r="F12" i="4"/>
  <c r="F35" i="4" s="1"/>
  <c r="E12" i="4"/>
  <c r="D12" i="4"/>
  <c r="C12" i="4"/>
  <c r="D11" i="4"/>
  <c r="C11" i="4" s="1"/>
  <c r="G32" i="1"/>
  <c r="H32" i="1"/>
  <c r="I32" i="1"/>
  <c r="J32" i="1"/>
  <c r="F32" i="1"/>
  <c r="G30" i="1"/>
  <c r="H30" i="1"/>
  <c r="I30" i="1"/>
  <c r="J30" i="1"/>
  <c r="F30" i="1"/>
  <c r="I319" i="1"/>
  <c r="G319" i="1"/>
  <c r="H316" i="1" s="1"/>
  <c r="H319" i="1" s="1"/>
  <c r="I316" i="1" s="1"/>
  <c r="F319" i="1"/>
  <c r="G317" i="1"/>
  <c r="H317" i="1"/>
  <c r="I317" i="1"/>
  <c r="J317" i="1"/>
  <c r="F317" i="1"/>
  <c r="G316" i="1"/>
  <c r="J316" i="1"/>
  <c r="J319" i="1" s="1"/>
  <c r="F316" i="1"/>
  <c r="E319" i="1"/>
  <c r="D319" i="1"/>
  <c r="E313" i="1"/>
  <c r="F313" i="1" s="1"/>
  <c r="G313" i="1" s="1"/>
  <c r="H313" i="1" s="1"/>
  <c r="I313" i="1" s="1"/>
  <c r="J313" i="1" s="1"/>
  <c r="E312" i="1"/>
  <c r="D312" i="1" s="1"/>
  <c r="G23" i="1"/>
  <c r="H23" i="1"/>
  <c r="I23" i="1"/>
  <c r="J23" i="1"/>
  <c r="F304" i="1"/>
  <c r="E306" i="1"/>
  <c r="D306" i="1"/>
  <c r="F296" i="1"/>
  <c r="F294" i="1"/>
  <c r="F286" i="1"/>
  <c r="E288" i="1"/>
  <c r="D288" i="1"/>
  <c r="E283" i="1"/>
  <c r="F283" i="1" s="1"/>
  <c r="G283" i="1" s="1"/>
  <c r="H283" i="1" s="1"/>
  <c r="I283" i="1" s="1"/>
  <c r="J283" i="1" s="1"/>
  <c r="E282" i="1"/>
  <c r="D282" i="1" s="1"/>
  <c r="F275" i="1"/>
  <c r="F277" i="1" s="1"/>
  <c r="G274" i="1"/>
  <c r="H274" i="1"/>
  <c r="I274" i="1"/>
  <c r="J274" i="1"/>
  <c r="F274" i="1"/>
  <c r="G273" i="1"/>
  <c r="H273" i="1"/>
  <c r="I273" i="1"/>
  <c r="J273" i="1"/>
  <c r="F273" i="1"/>
  <c r="G272" i="1"/>
  <c r="H272" i="1"/>
  <c r="I272" i="1"/>
  <c r="J272" i="1"/>
  <c r="F272" i="1"/>
  <c r="G271" i="1"/>
  <c r="H271" i="1"/>
  <c r="I271" i="1"/>
  <c r="J271" i="1"/>
  <c r="F271" i="1"/>
  <c r="G268" i="1"/>
  <c r="H268" i="1"/>
  <c r="I268" i="1"/>
  <c r="J268" i="1"/>
  <c r="F268" i="1"/>
  <c r="G264" i="1"/>
  <c r="H264" i="1"/>
  <c r="I264" i="1"/>
  <c r="J264" i="1"/>
  <c r="F264" i="1"/>
  <c r="G263" i="1"/>
  <c r="H263" i="1"/>
  <c r="I263" i="1"/>
  <c r="J263" i="1"/>
  <c r="F263" i="1"/>
  <c r="G262" i="1"/>
  <c r="H262" i="1"/>
  <c r="I262" i="1"/>
  <c r="J262" i="1"/>
  <c r="F262" i="1"/>
  <c r="G261" i="1"/>
  <c r="H261" i="1"/>
  <c r="I261" i="1"/>
  <c r="J261" i="1"/>
  <c r="F261" i="1"/>
  <c r="G260" i="1"/>
  <c r="F260" i="1"/>
  <c r="G255" i="1"/>
  <c r="H255" i="1"/>
  <c r="I255" i="1"/>
  <c r="J255" i="1"/>
  <c r="F255" i="1"/>
  <c r="G254" i="1"/>
  <c r="H254" i="1"/>
  <c r="I254" i="1"/>
  <c r="J254" i="1"/>
  <c r="F254" i="1"/>
  <c r="E251" i="1"/>
  <c r="F251" i="1" s="1"/>
  <c r="G251" i="1" s="1"/>
  <c r="H251" i="1" s="1"/>
  <c r="I251" i="1" s="1"/>
  <c r="J251" i="1" s="1"/>
  <c r="E250" i="1"/>
  <c r="D250" i="1" s="1"/>
  <c r="G275" i="1"/>
  <c r="F247" i="1"/>
  <c r="F96" i="1" s="1"/>
  <c r="F245" i="1"/>
  <c r="E247" i="1"/>
  <c r="D247" i="1"/>
  <c r="G241" i="1"/>
  <c r="F241" i="1"/>
  <c r="G237" i="1"/>
  <c r="H237" i="1"/>
  <c r="I237" i="1"/>
  <c r="J237" i="1"/>
  <c r="F237" i="1"/>
  <c r="G24" i="1"/>
  <c r="H24" i="1"/>
  <c r="I24" i="1"/>
  <c r="J24" i="1"/>
  <c r="F235" i="1"/>
  <c r="E238" i="1"/>
  <c r="D238" i="1"/>
  <c r="E232" i="1"/>
  <c r="F232" i="1" s="1"/>
  <c r="G232" i="1" s="1"/>
  <c r="H232" i="1" s="1"/>
  <c r="I232" i="1" s="1"/>
  <c r="J232" i="1" s="1"/>
  <c r="E231" i="1"/>
  <c r="D231" i="1" s="1"/>
  <c r="F89" i="1"/>
  <c r="G94" i="1"/>
  <c r="H94" i="1"/>
  <c r="I94" i="1"/>
  <c r="J94" i="1"/>
  <c r="F94" i="1"/>
  <c r="J228" i="1"/>
  <c r="I228" i="1"/>
  <c r="I225" i="1" s="1"/>
  <c r="H228" i="1"/>
  <c r="G228" i="1"/>
  <c r="G225" i="1"/>
  <c r="H225" i="1"/>
  <c r="J225" i="1"/>
  <c r="G226" i="1"/>
  <c r="H224" i="1" s="1"/>
  <c r="H226" i="1" s="1"/>
  <c r="I224" i="1" s="1"/>
  <c r="F225" i="1"/>
  <c r="F226" i="1"/>
  <c r="G224" i="1" s="1"/>
  <c r="F220" i="1"/>
  <c r="G220" i="1"/>
  <c r="H220" i="1"/>
  <c r="I220" i="1"/>
  <c r="J220" i="1"/>
  <c r="F224" i="1"/>
  <c r="E226" i="1"/>
  <c r="D226" i="1"/>
  <c r="G215" i="1"/>
  <c r="H215" i="1"/>
  <c r="I215" i="1"/>
  <c r="J215" i="1"/>
  <c r="F215" i="1"/>
  <c r="G216" i="1"/>
  <c r="H216" i="1"/>
  <c r="I216" i="1"/>
  <c r="F216" i="1"/>
  <c r="F217" i="1" s="1"/>
  <c r="G214" i="1" s="1"/>
  <c r="G217" i="1" s="1"/>
  <c r="H214" i="1" s="1"/>
  <c r="C35" i="1"/>
  <c r="D32" i="1"/>
  <c r="E32" i="1"/>
  <c r="C32" i="1"/>
  <c r="C34" i="1"/>
  <c r="F214" i="1"/>
  <c r="E217" i="1"/>
  <c r="D217" i="1"/>
  <c r="E211" i="1"/>
  <c r="F211" i="1" s="1"/>
  <c r="G211" i="1" s="1"/>
  <c r="H211" i="1" s="1"/>
  <c r="I211" i="1" s="1"/>
  <c r="J211" i="1" s="1"/>
  <c r="E210" i="1"/>
  <c r="D210" i="1" s="1"/>
  <c r="F204" i="1"/>
  <c r="J204" i="1"/>
  <c r="G200" i="1"/>
  <c r="H200" i="1"/>
  <c r="I200" i="1"/>
  <c r="J200" i="1"/>
  <c r="F201" i="1"/>
  <c r="G198" i="1" s="1"/>
  <c r="G201" i="1" s="1"/>
  <c r="H198" i="1" s="1"/>
  <c r="H201" i="1" s="1"/>
  <c r="I198" i="1" s="1"/>
  <c r="I201" i="1" s="1"/>
  <c r="J198" i="1" s="1"/>
  <c r="J201" i="1" s="1"/>
  <c r="J89" i="1" s="1"/>
  <c r="F200" i="1"/>
  <c r="E204" i="1"/>
  <c r="E203" i="1"/>
  <c r="J203" i="1"/>
  <c r="H203" i="1"/>
  <c r="I203" i="1"/>
  <c r="G203" i="1"/>
  <c r="F203" i="1"/>
  <c r="F198" i="1"/>
  <c r="E201" i="1"/>
  <c r="D201" i="1"/>
  <c r="E195" i="1"/>
  <c r="F195" i="1" s="1"/>
  <c r="G195" i="1" s="1"/>
  <c r="H195" i="1" s="1"/>
  <c r="I195" i="1" s="1"/>
  <c r="J195" i="1" s="1"/>
  <c r="E194" i="1"/>
  <c r="D194" i="1" s="1"/>
  <c r="G90" i="1"/>
  <c r="H90" i="1"/>
  <c r="I90" i="1"/>
  <c r="J90" i="1"/>
  <c r="F90" i="1"/>
  <c r="G83" i="1"/>
  <c r="H83" i="1"/>
  <c r="I83" i="1"/>
  <c r="J83" i="1"/>
  <c r="F83" i="1"/>
  <c r="G190" i="1"/>
  <c r="H190" i="1"/>
  <c r="I190" i="1"/>
  <c r="J190" i="1"/>
  <c r="F190" i="1"/>
  <c r="G185" i="1"/>
  <c r="H185" i="1"/>
  <c r="I185" i="1"/>
  <c r="J185" i="1"/>
  <c r="F185" i="1"/>
  <c r="G186" i="1"/>
  <c r="H186" i="1"/>
  <c r="I184" i="1" s="1"/>
  <c r="I186" i="1"/>
  <c r="J184" i="1" s="1"/>
  <c r="J186" i="1"/>
  <c r="F186" i="1"/>
  <c r="G191" i="1"/>
  <c r="H191" i="1" s="1"/>
  <c r="F191" i="1"/>
  <c r="H174" i="1"/>
  <c r="G189" i="1"/>
  <c r="H189" i="1"/>
  <c r="F189" i="1"/>
  <c r="E191" i="1"/>
  <c r="D191" i="1"/>
  <c r="G184" i="1"/>
  <c r="H184" i="1"/>
  <c r="G179" i="1"/>
  <c r="H179" i="1" s="1"/>
  <c r="I179" i="1" s="1"/>
  <c r="J179" i="1" s="1"/>
  <c r="F184" i="1"/>
  <c r="E186" i="1"/>
  <c r="D186" i="1"/>
  <c r="F179" i="1"/>
  <c r="E181" i="1"/>
  <c r="D181" i="1"/>
  <c r="G174" i="1"/>
  <c r="F174" i="1"/>
  <c r="E176" i="1"/>
  <c r="D176" i="1"/>
  <c r="E171" i="1"/>
  <c r="F171" i="1" s="1"/>
  <c r="G171" i="1" s="1"/>
  <c r="H171" i="1" s="1"/>
  <c r="I171" i="1" s="1"/>
  <c r="J171" i="1" s="1"/>
  <c r="E170" i="1"/>
  <c r="F170" i="1" s="1"/>
  <c r="G170" i="1" s="1"/>
  <c r="H170" i="1" s="1"/>
  <c r="I170" i="1" s="1"/>
  <c r="J170" i="1" s="1"/>
  <c r="D170" i="1"/>
  <c r="G82" i="1"/>
  <c r="H82" i="1"/>
  <c r="I82" i="1"/>
  <c r="J82" i="1"/>
  <c r="F82" i="1"/>
  <c r="G161" i="1"/>
  <c r="H161" i="1"/>
  <c r="I161" i="1"/>
  <c r="J161" i="1"/>
  <c r="F161" i="1"/>
  <c r="D165" i="1"/>
  <c r="E165" i="1"/>
  <c r="G166" i="1"/>
  <c r="H166" i="1"/>
  <c r="I166" i="1"/>
  <c r="J166" i="1"/>
  <c r="F166" i="1"/>
  <c r="F159" i="1"/>
  <c r="E162" i="1"/>
  <c r="D162" i="1"/>
  <c r="E157" i="1"/>
  <c r="F157" i="1" s="1"/>
  <c r="G157" i="1" s="1"/>
  <c r="H157" i="1" s="1"/>
  <c r="I157" i="1" s="1"/>
  <c r="J157" i="1" s="1"/>
  <c r="E156" i="1"/>
  <c r="D156" i="1" s="1"/>
  <c r="G148" i="1"/>
  <c r="H148" i="1"/>
  <c r="I148" i="1"/>
  <c r="J148" i="1"/>
  <c r="G149" i="1"/>
  <c r="H149" i="1"/>
  <c r="I149" i="1"/>
  <c r="J149" i="1"/>
  <c r="G150" i="1"/>
  <c r="F150" i="1"/>
  <c r="F149" i="1"/>
  <c r="F148" i="1"/>
  <c r="G147" i="1"/>
  <c r="H147" i="1"/>
  <c r="H150" i="1" s="1"/>
  <c r="I147" i="1" s="1"/>
  <c r="I150" i="1" s="1"/>
  <c r="J147" i="1" s="1"/>
  <c r="J150" i="1" s="1"/>
  <c r="F147" i="1"/>
  <c r="E150" i="1"/>
  <c r="D150" i="1"/>
  <c r="E145" i="1"/>
  <c r="F145" i="1" s="1"/>
  <c r="G145" i="1" s="1"/>
  <c r="H145" i="1" s="1"/>
  <c r="I145" i="1" s="1"/>
  <c r="J145" i="1" s="1"/>
  <c r="E144" i="1"/>
  <c r="D144" i="1" s="1"/>
  <c r="E141" i="1"/>
  <c r="D141" i="1"/>
  <c r="F137" i="1"/>
  <c r="E139" i="1"/>
  <c r="D139" i="1"/>
  <c r="F134" i="1"/>
  <c r="G134" i="1"/>
  <c r="H134" i="1"/>
  <c r="I134" i="1"/>
  <c r="J134" i="1"/>
  <c r="G118" i="1"/>
  <c r="H118" i="1"/>
  <c r="I118" i="1"/>
  <c r="J118" i="1"/>
  <c r="F118" i="1"/>
  <c r="E134" i="1"/>
  <c r="D134" i="1"/>
  <c r="E133" i="1"/>
  <c r="D133" i="1"/>
  <c r="F129" i="1"/>
  <c r="E131" i="1"/>
  <c r="D131" i="1"/>
  <c r="E126" i="1"/>
  <c r="D126" i="1"/>
  <c r="E125" i="1"/>
  <c r="D125" i="1"/>
  <c r="F121" i="1"/>
  <c r="E123" i="1"/>
  <c r="D123" i="1"/>
  <c r="E118" i="1"/>
  <c r="D118" i="1"/>
  <c r="E117" i="1"/>
  <c r="D117" i="1"/>
  <c r="E96" i="1"/>
  <c r="D96" i="1"/>
  <c r="E90" i="1"/>
  <c r="D90" i="1"/>
  <c r="F113" i="1"/>
  <c r="E115" i="1"/>
  <c r="D115" i="1"/>
  <c r="E110" i="1"/>
  <c r="F110" i="1" s="1"/>
  <c r="G110" i="1" s="1"/>
  <c r="H110" i="1" s="1"/>
  <c r="I110" i="1" s="1"/>
  <c r="J110" i="1" s="1"/>
  <c r="E109" i="1"/>
  <c r="D109" i="1" s="1"/>
  <c r="E103" i="1"/>
  <c r="D103" i="1"/>
  <c r="E102" i="1"/>
  <c r="D102" i="1"/>
  <c r="E83" i="1"/>
  <c r="E76" i="1"/>
  <c r="D83" i="1"/>
  <c r="D76" i="1"/>
  <c r="E97" i="1"/>
  <c r="D97" i="1"/>
  <c r="E93" i="1"/>
  <c r="D93" i="1"/>
  <c r="E91" i="1"/>
  <c r="D91" i="1"/>
  <c r="E87" i="1"/>
  <c r="D87" i="1"/>
  <c r="E86" i="1"/>
  <c r="D86" i="1"/>
  <c r="E84" i="1"/>
  <c r="D84" i="1"/>
  <c r="E77" i="1"/>
  <c r="D77" i="1"/>
  <c r="F75" i="1"/>
  <c r="G75" i="1" s="1"/>
  <c r="H75" i="1" s="1"/>
  <c r="I75" i="1" s="1"/>
  <c r="J75" i="1" s="1"/>
  <c r="E75" i="1"/>
  <c r="E74" i="1"/>
  <c r="F74" i="1" s="1"/>
  <c r="G74" i="1" s="1"/>
  <c r="H74" i="1" s="1"/>
  <c r="I74" i="1" s="1"/>
  <c r="J74" i="1" s="1"/>
  <c r="D74" i="1"/>
  <c r="H35" i="4" l="1"/>
  <c r="G35" i="4"/>
  <c r="H37" i="4" s="1"/>
  <c r="F11" i="4"/>
  <c r="G11" i="4" s="1"/>
  <c r="H11" i="4" s="1"/>
  <c r="I11" i="4" s="1"/>
  <c r="J11" i="4" s="1"/>
  <c r="H7" i="2"/>
  <c r="I53" i="4"/>
  <c r="I73" i="4"/>
  <c r="C63" i="4"/>
  <c r="C65" i="4" s="1"/>
  <c r="I37" i="4"/>
  <c r="F37" i="4"/>
  <c r="J37" i="4"/>
  <c r="C17" i="4"/>
  <c r="I241" i="1"/>
  <c r="H241" i="1"/>
  <c r="J241" i="1"/>
  <c r="F312" i="1"/>
  <c r="G312" i="1" s="1"/>
  <c r="H312" i="1" s="1"/>
  <c r="I312" i="1" s="1"/>
  <c r="J312" i="1" s="1"/>
  <c r="F282" i="1"/>
  <c r="G282" i="1" s="1"/>
  <c r="H282" i="1" s="1"/>
  <c r="I282" i="1" s="1"/>
  <c r="J282" i="1" s="1"/>
  <c r="G245" i="1"/>
  <c r="G247" i="1" s="1"/>
  <c r="G96" i="1" s="1"/>
  <c r="G277" i="1"/>
  <c r="I204" i="1"/>
  <c r="I89" i="1"/>
  <c r="H204" i="1"/>
  <c r="H89" i="1"/>
  <c r="G204" i="1"/>
  <c r="G89" i="1"/>
  <c r="F250" i="1"/>
  <c r="G250" i="1" s="1"/>
  <c r="H250" i="1" s="1"/>
  <c r="I250" i="1" s="1"/>
  <c r="J250" i="1" s="1"/>
  <c r="F231" i="1"/>
  <c r="G231" i="1" s="1"/>
  <c r="H231" i="1" s="1"/>
  <c r="I231" i="1" s="1"/>
  <c r="J231" i="1" s="1"/>
  <c r="I226" i="1"/>
  <c r="J224" i="1" s="1"/>
  <c r="J226" i="1"/>
  <c r="J216" i="1"/>
  <c r="H217" i="1"/>
  <c r="I214" i="1" s="1"/>
  <c r="I217" i="1" s="1"/>
  <c r="J214" i="1" s="1"/>
  <c r="J217" i="1" s="1"/>
  <c r="F210" i="1"/>
  <c r="G210" i="1" s="1"/>
  <c r="H210" i="1" s="1"/>
  <c r="I210" i="1" s="1"/>
  <c r="J210" i="1" s="1"/>
  <c r="F194" i="1"/>
  <c r="G194" i="1" s="1"/>
  <c r="H194" i="1" s="1"/>
  <c r="I194" i="1" s="1"/>
  <c r="J194" i="1" s="1"/>
  <c r="I189" i="1"/>
  <c r="I191" i="1"/>
  <c r="F156" i="1"/>
  <c r="G156" i="1" s="1"/>
  <c r="H156" i="1" s="1"/>
  <c r="I156" i="1" s="1"/>
  <c r="J156" i="1" s="1"/>
  <c r="F144" i="1"/>
  <c r="G144" i="1" s="1"/>
  <c r="H144" i="1" s="1"/>
  <c r="I144" i="1" s="1"/>
  <c r="J144" i="1" s="1"/>
  <c r="E99" i="1"/>
  <c r="F109" i="1"/>
  <c r="G109" i="1" s="1"/>
  <c r="H109" i="1" s="1"/>
  <c r="I109" i="1" s="1"/>
  <c r="J109" i="1" s="1"/>
  <c r="G37" i="4" l="1"/>
  <c r="H13" i="2"/>
  <c r="F53" i="1" s="1"/>
  <c r="I7" i="2"/>
  <c r="J7" i="2" s="1"/>
  <c r="K7" i="2" s="1"/>
  <c r="L7" i="2" s="1"/>
  <c r="I72" i="4"/>
  <c r="J72" i="4" s="1"/>
  <c r="J73" i="4" s="1"/>
  <c r="J75" i="4" s="1"/>
  <c r="C8" i="4" s="1"/>
  <c r="I56" i="4"/>
  <c r="J56" i="4"/>
  <c r="H245" i="1"/>
  <c r="H247" i="1" s="1"/>
  <c r="H275" i="1"/>
  <c r="H277" i="1" s="1"/>
  <c r="J189" i="1"/>
  <c r="J191" i="1"/>
  <c r="C37" i="4" l="1"/>
  <c r="H96" i="1"/>
  <c r="I245" i="1"/>
  <c r="I247" i="1" s="1"/>
  <c r="J275" i="1"/>
  <c r="J277" i="1" s="1"/>
  <c r="I275" i="1"/>
  <c r="I277" i="1" s="1"/>
  <c r="J245" i="1" l="1"/>
  <c r="J247" i="1" s="1"/>
  <c r="J96" i="1" s="1"/>
  <c r="I96" i="1"/>
  <c r="G45" i="1" l="1"/>
  <c r="H45" i="1"/>
  <c r="I45" i="1"/>
  <c r="J45" i="1"/>
  <c r="F45" i="1"/>
  <c r="E41" i="1"/>
  <c r="C41" i="1"/>
  <c r="D41" i="1"/>
  <c r="J19" i="1"/>
  <c r="I19" i="1"/>
  <c r="E71" i="1"/>
  <c r="D71" i="1"/>
  <c r="D70" i="1"/>
  <c r="E70" i="1"/>
  <c r="C70" i="1"/>
  <c r="D69" i="1"/>
  <c r="E69" i="1"/>
  <c r="C69" i="1"/>
  <c r="D68" i="1"/>
  <c r="E68" i="1"/>
  <c r="C68" i="1"/>
  <c r="D67" i="1"/>
  <c r="E67" i="1"/>
  <c r="C67" i="1"/>
  <c r="F63" i="1"/>
  <c r="G63" i="1"/>
  <c r="H63" i="1"/>
  <c r="I63" i="1"/>
  <c r="J63" i="1"/>
  <c r="F64" i="1"/>
  <c r="G64" i="1"/>
  <c r="H64" i="1"/>
  <c r="I64" i="1"/>
  <c r="J64" i="1"/>
  <c r="D64" i="1"/>
  <c r="E64" i="1"/>
  <c r="C64" i="1"/>
  <c r="D63" i="1"/>
  <c r="E63" i="1"/>
  <c r="C63" i="1"/>
  <c r="D62" i="1"/>
  <c r="E62" i="1"/>
  <c r="C62" i="1"/>
  <c r="D61" i="1"/>
  <c r="E61" i="1"/>
  <c r="C61" i="1"/>
  <c r="G61" i="1"/>
  <c r="H61" i="1"/>
  <c r="I61" i="1"/>
  <c r="J61" i="1"/>
  <c r="F61" i="1"/>
  <c r="E8" i="2"/>
  <c r="F8" i="2"/>
  <c r="G8" i="2"/>
  <c r="D8" i="2"/>
  <c r="L69" i="3"/>
  <c r="K69" i="3"/>
  <c r="L14" i="3"/>
  <c r="K45" i="3"/>
  <c r="L45" i="3"/>
  <c r="M45" i="3"/>
  <c r="N45" i="3"/>
  <c r="O45" i="3"/>
  <c r="L16" i="3"/>
  <c r="M16" i="3"/>
  <c r="N16" i="3"/>
  <c r="O16" i="3"/>
  <c r="K16" i="3"/>
  <c r="M14" i="3"/>
  <c r="N14" i="3"/>
  <c r="O14" i="3"/>
  <c r="K14" i="3"/>
  <c r="L12" i="3"/>
  <c r="M12" i="3"/>
  <c r="N12" i="3"/>
  <c r="O12" i="3"/>
  <c r="K12" i="3"/>
  <c r="L18" i="3"/>
  <c r="M18" i="3"/>
  <c r="N18" i="3"/>
  <c r="N22" i="3" s="1"/>
  <c r="N21" i="3" s="1"/>
  <c r="O18" i="3"/>
  <c r="K18" i="3"/>
  <c r="L26" i="3"/>
  <c r="M26" i="3"/>
  <c r="M28" i="3" s="1"/>
  <c r="N26" i="3"/>
  <c r="O26" i="3"/>
  <c r="O28" i="3" s="1"/>
  <c r="K26" i="3"/>
  <c r="I27" i="3"/>
  <c r="J27" i="3"/>
  <c r="H27" i="3"/>
  <c r="I19" i="3"/>
  <c r="J19" i="3"/>
  <c r="H19" i="3"/>
  <c r="I17" i="3"/>
  <c r="J17" i="3"/>
  <c r="H17" i="3"/>
  <c r="I15" i="3"/>
  <c r="J15" i="3"/>
  <c r="H15" i="3"/>
  <c r="I13" i="3"/>
  <c r="J13" i="3"/>
  <c r="H13" i="3"/>
  <c r="J40" i="3"/>
  <c r="L40" i="3"/>
  <c r="O40" i="3"/>
  <c r="H40" i="3"/>
  <c r="K33" i="3"/>
  <c r="L33" i="3" s="1"/>
  <c r="I22" i="3"/>
  <c r="I21" i="3" s="1"/>
  <c r="J22" i="3"/>
  <c r="I68" i="3"/>
  <c r="I63" i="3" s="1"/>
  <c r="J68" i="3"/>
  <c r="J63" i="3" s="1"/>
  <c r="H68" i="3"/>
  <c r="H63" i="3" s="1"/>
  <c r="K28" i="3"/>
  <c r="L28" i="3"/>
  <c r="N28" i="3"/>
  <c r="K51" i="3"/>
  <c r="L51" i="3"/>
  <c r="M51" i="3"/>
  <c r="N51" i="3"/>
  <c r="O51" i="3"/>
  <c r="K57" i="3"/>
  <c r="L57" i="3"/>
  <c r="M57" i="3"/>
  <c r="N57" i="3"/>
  <c r="O57" i="3"/>
  <c r="I57" i="3"/>
  <c r="J57" i="3"/>
  <c r="H57" i="3"/>
  <c r="I51" i="3"/>
  <c r="J51" i="3"/>
  <c r="H51" i="3"/>
  <c r="I33" i="3"/>
  <c r="I40" i="3" s="1"/>
  <c r="H33" i="3"/>
  <c r="H12" i="3"/>
  <c r="H22" i="3" s="1"/>
  <c r="J23" i="2"/>
  <c r="K10" i="2"/>
  <c r="K23" i="2" s="1"/>
  <c r="L10" i="2"/>
  <c r="L23" i="2" s="1"/>
  <c r="F10" i="2"/>
  <c r="F23" i="2" s="1"/>
  <c r="G10" i="2"/>
  <c r="G23" i="2" s="1"/>
  <c r="H10" i="2"/>
  <c r="H23" i="2" s="1"/>
  <c r="I10" i="2"/>
  <c r="I23" i="2" s="1"/>
  <c r="J10" i="2"/>
  <c r="D26" i="3"/>
  <c r="E26" i="3"/>
  <c r="E27" i="1"/>
  <c r="C42" i="1"/>
  <c r="D21" i="1"/>
  <c r="E21" i="1"/>
  <c r="C25" i="1"/>
  <c r="C20" i="1"/>
  <c r="C19" i="1"/>
  <c r="E32" i="3"/>
  <c r="E36" i="3" s="1"/>
  <c r="E37" i="3" s="1"/>
  <c r="D32" i="3"/>
  <c r="D36" i="3" s="1"/>
  <c r="D37" i="3" s="1"/>
  <c r="C32" i="3"/>
  <c r="C36" i="3" s="1"/>
  <c r="C37" i="3" s="1"/>
  <c r="E21" i="3"/>
  <c r="D21" i="3"/>
  <c r="C21" i="3"/>
  <c r="C25" i="3" s="1"/>
  <c r="C26" i="3" s="1"/>
  <c r="D11" i="3"/>
  <c r="D14" i="3" s="1"/>
  <c r="D15" i="3" s="1"/>
  <c r="E11" i="3"/>
  <c r="E14" i="3" s="1"/>
  <c r="E15" i="3" s="1"/>
  <c r="C11" i="3"/>
  <c r="C14" i="3" s="1"/>
  <c r="C15" i="3" s="1"/>
  <c r="I16" i="2" l="1"/>
  <c r="I13" i="2"/>
  <c r="M22" i="3"/>
  <c r="M44" i="3" s="1"/>
  <c r="H62" i="1" s="1"/>
  <c r="N44" i="3"/>
  <c r="I62" i="1" s="1"/>
  <c r="L22" i="3"/>
  <c r="L21" i="3" s="1"/>
  <c r="K22" i="3"/>
  <c r="O22" i="3"/>
  <c r="K40" i="3"/>
  <c r="M33" i="3"/>
  <c r="M40" i="3" s="1"/>
  <c r="H21" i="3"/>
  <c r="J21" i="3"/>
  <c r="I44" i="3"/>
  <c r="H44" i="3"/>
  <c r="J44" i="3"/>
  <c r="D53" i="1"/>
  <c r="D57" i="1" s="1"/>
  <c r="D59" i="1" s="1"/>
  <c r="E53" i="1"/>
  <c r="E57" i="1" s="1"/>
  <c r="E59" i="1" s="1"/>
  <c r="C53" i="1"/>
  <c r="C57" i="1" s="1"/>
  <c r="C59" i="1" s="1"/>
  <c r="E45" i="3"/>
  <c r="D45" i="3"/>
  <c r="C45" i="3"/>
  <c r="D44" i="3"/>
  <c r="E43" i="3"/>
  <c r="D43" i="3"/>
  <c r="C43" i="3"/>
  <c r="E41" i="3"/>
  <c r="D41" i="3"/>
  <c r="C41" i="3"/>
  <c r="E18" i="3"/>
  <c r="E29" i="3" s="1"/>
  <c r="E40" i="3" s="1"/>
  <c r="D18" i="3"/>
  <c r="D29" i="3" s="1"/>
  <c r="D40" i="3" s="1"/>
  <c r="C18" i="3"/>
  <c r="C29" i="3" s="1"/>
  <c r="C40" i="3" s="1"/>
  <c r="J28" i="3"/>
  <c r="J45" i="3" s="1"/>
  <c r="I28" i="3"/>
  <c r="H28" i="3"/>
  <c r="H45" i="3" s="1"/>
  <c r="J8" i="3"/>
  <c r="I8" i="3"/>
  <c r="H8" i="3"/>
  <c r="E56" i="1"/>
  <c r="D56" i="1"/>
  <c r="C56" i="1"/>
  <c r="E51" i="1"/>
  <c r="F51" i="1" s="1"/>
  <c r="G51" i="1" s="1"/>
  <c r="H51" i="1" s="1"/>
  <c r="I51" i="1" s="1"/>
  <c r="J51" i="1" s="1"/>
  <c r="E50" i="1"/>
  <c r="F50" i="1" s="1"/>
  <c r="G50" i="1" s="1"/>
  <c r="H50" i="1" s="1"/>
  <c r="I50" i="1" s="1"/>
  <c r="J50" i="1" s="1"/>
  <c r="D50" i="1"/>
  <c r="C50" i="1"/>
  <c r="C10" i="2"/>
  <c r="C23" i="2" s="1"/>
  <c r="D10" i="2"/>
  <c r="D23" i="2" s="1"/>
  <c r="J13" i="2" l="1"/>
  <c r="K13" i="2"/>
  <c r="K16" i="2"/>
  <c r="J16" i="2"/>
  <c r="L16" i="2"/>
  <c r="L13" i="2"/>
  <c r="L68" i="3"/>
  <c r="M68" i="3"/>
  <c r="O68" i="3"/>
  <c r="N68" i="3"/>
  <c r="M21" i="3"/>
  <c r="O21" i="3"/>
  <c r="O44" i="3"/>
  <c r="J62" i="1" s="1"/>
  <c r="K44" i="3"/>
  <c r="F62" i="1" s="1"/>
  <c r="K68" i="3"/>
  <c r="L46" i="3"/>
  <c r="L44" i="3"/>
  <c r="G62" i="1" s="1"/>
  <c r="O46" i="3"/>
  <c r="N33" i="3"/>
  <c r="M46" i="3"/>
  <c r="H46" i="3"/>
  <c r="I46" i="3"/>
  <c r="I45" i="3"/>
  <c r="J46" i="3"/>
  <c r="D58" i="1"/>
  <c r="E58" i="1"/>
  <c r="D47" i="3"/>
  <c r="E23" i="2"/>
  <c r="M64" i="3" l="1"/>
  <c r="H68" i="1" s="1"/>
  <c r="M62" i="3"/>
  <c r="H67" i="1" s="1"/>
  <c r="H53" i="1" s="1"/>
  <c r="M66" i="3"/>
  <c r="H69" i="1" s="1"/>
  <c r="N66" i="3"/>
  <c r="I69" i="1" s="1"/>
  <c r="N62" i="3"/>
  <c r="I67" i="1" s="1"/>
  <c r="I53" i="1" s="1"/>
  <c r="N64" i="3"/>
  <c r="I68" i="1" s="1"/>
  <c r="O66" i="3"/>
  <c r="J69" i="1" s="1"/>
  <c r="O64" i="3"/>
  <c r="J68" i="1" s="1"/>
  <c r="O62" i="3"/>
  <c r="J67" i="1" s="1"/>
  <c r="J53" i="1" s="1"/>
  <c r="L66" i="3"/>
  <c r="G69" i="1" s="1"/>
  <c r="L64" i="3"/>
  <c r="G68" i="1" s="1"/>
  <c r="L62" i="3"/>
  <c r="G67" i="1" s="1"/>
  <c r="G53" i="1" s="1"/>
  <c r="K66" i="3"/>
  <c r="F69" i="1" s="1"/>
  <c r="K64" i="3"/>
  <c r="F68" i="1" s="1"/>
  <c r="K62" i="3"/>
  <c r="F67" i="1" s="1"/>
  <c r="N46" i="3"/>
  <c r="N40" i="3"/>
  <c r="E19" i="1"/>
  <c r="D19" i="1"/>
  <c r="C45" i="1"/>
  <c r="E17" i="1"/>
  <c r="D17" i="1"/>
  <c r="C17" i="1"/>
  <c r="D45" i="1"/>
  <c r="E45" i="1"/>
  <c r="D40" i="1"/>
  <c r="E40" i="1"/>
  <c r="C40" i="1"/>
  <c r="E38" i="1"/>
  <c r="D38" i="1"/>
  <c r="E25" i="1"/>
  <c r="D25" i="1"/>
  <c r="C24" i="1"/>
  <c r="D18" i="1"/>
  <c r="D22" i="1" s="1"/>
  <c r="D15" i="4" s="1"/>
  <c r="E18" i="1"/>
  <c r="E22" i="1" s="1"/>
  <c r="E15" i="4" s="1"/>
  <c r="C18" i="1"/>
  <c r="C22" i="1" s="1"/>
  <c r="E14" i="1"/>
  <c r="F14" i="1" s="1"/>
  <c r="G14" i="1" s="1"/>
  <c r="H14" i="1" s="1"/>
  <c r="I14" i="1" s="1"/>
  <c r="J14" i="1" s="1"/>
  <c r="E13" i="1"/>
  <c r="D13" i="1" s="1"/>
  <c r="C13" i="1" s="1"/>
  <c r="H70" i="1" l="1"/>
  <c r="I70" i="1"/>
  <c r="J70" i="1"/>
  <c r="G70" i="1"/>
  <c r="F70" i="1"/>
  <c r="E26" i="1"/>
  <c r="E42" i="1" s="1"/>
  <c r="E16" i="4" s="1"/>
  <c r="E17" i="4" s="1"/>
  <c r="E47" i="1"/>
  <c r="E14" i="4" s="1"/>
  <c r="E39" i="1"/>
  <c r="D26" i="1"/>
  <c r="D42" i="1" s="1"/>
  <c r="D16" i="4" s="1"/>
  <c r="D17" i="4" s="1"/>
  <c r="D47" i="1"/>
  <c r="D14" i="4" s="1"/>
  <c r="D39" i="1"/>
  <c r="C26" i="1"/>
  <c r="C47" i="1"/>
  <c r="C39" i="1"/>
  <c r="F13" i="1"/>
  <c r="G13" i="1" s="1"/>
  <c r="H13" i="1" s="1"/>
  <c r="I13" i="1" s="1"/>
  <c r="J13" i="1" s="1"/>
  <c r="H71" i="1" l="1"/>
  <c r="I71" i="1"/>
  <c r="J71" i="1"/>
  <c r="F71" i="1"/>
  <c r="G71" i="1"/>
  <c r="E28" i="1"/>
  <c r="D28" i="1"/>
  <c r="C28" i="1"/>
  <c r="C44" i="3"/>
  <c r="C47" i="3" s="1"/>
  <c r="D34" i="1" l="1"/>
  <c r="D104" i="1"/>
  <c r="D35" i="1"/>
  <c r="D105" i="1"/>
  <c r="D106" i="1"/>
  <c r="E106" i="1"/>
  <c r="E35" i="1"/>
  <c r="E34" i="1"/>
  <c r="E105" i="1"/>
  <c r="E104" i="1"/>
  <c r="E38" i="3"/>
  <c r="E27" i="3"/>
  <c r="D27" i="3"/>
  <c r="D38" i="3"/>
  <c r="C27" i="3"/>
  <c r="C38" i="3"/>
  <c r="E44" i="3"/>
  <c r="E47" i="3" s="1"/>
  <c r="E48" i="3" l="1"/>
  <c r="E49" i="3" s="1"/>
  <c r="E16" i="3"/>
  <c r="D48" i="3"/>
  <c r="D49" i="3" s="1"/>
  <c r="D16" i="3"/>
  <c r="C48" i="3"/>
  <c r="C49" i="3" s="1"/>
  <c r="C16" i="3"/>
  <c r="H69" i="3"/>
  <c r="H67" i="3"/>
  <c r="H65" i="3"/>
  <c r="I69" i="3"/>
  <c r="I67" i="3"/>
  <c r="J67" i="3"/>
  <c r="J69" i="3"/>
  <c r="J65" i="3"/>
  <c r="I65" i="3"/>
  <c r="K21" i="3"/>
  <c r="K46" i="3"/>
  <c r="F23" i="1"/>
  <c r="H16" i="2"/>
  <c r="F54" i="1" s="1"/>
  <c r="G54" i="1" l="1"/>
  <c r="H54" i="1" l="1"/>
  <c r="I54" i="1" l="1"/>
  <c r="J54" i="1" l="1"/>
  <c r="H20" i="2"/>
  <c r="F55" i="1" s="1"/>
  <c r="F57" i="1" l="1"/>
  <c r="F58" i="1" l="1"/>
  <c r="F16" i="1"/>
  <c r="F59" i="1"/>
  <c r="F38" i="1" l="1"/>
  <c r="F20" i="1"/>
  <c r="F221" i="1" s="1"/>
  <c r="F18" i="1"/>
  <c r="F164" i="1"/>
  <c r="F139" i="1"/>
  <c r="F115" i="1"/>
  <c r="F77" i="1" s="1"/>
  <c r="F114" i="1" l="1"/>
  <c r="F256" i="1" s="1"/>
  <c r="F21" i="4" s="1"/>
  <c r="G113" i="1"/>
  <c r="F87" i="1"/>
  <c r="G137" i="1"/>
  <c r="F138" i="1"/>
  <c r="F259" i="1" s="1"/>
  <c r="F24" i="4" s="1"/>
  <c r="F17" i="1"/>
  <c r="F267" i="1"/>
  <c r="F160" i="1"/>
  <c r="F162" i="1" s="1"/>
  <c r="F167" i="1"/>
  <c r="F269" i="1" l="1"/>
  <c r="F30" i="4"/>
  <c r="F131" i="1"/>
  <c r="F123" i="1"/>
  <c r="F81" i="1"/>
  <c r="G159" i="1"/>
  <c r="F78" i="1" l="1"/>
  <c r="F290" i="1" s="1"/>
  <c r="G121" i="1"/>
  <c r="F122" i="1"/>
  <c r="F257" i="1" s="1"/>
  <c r="F22" i="4" s="1"/>
  <c r="F86" i="1"/>
  <c r="F91" i="1" s="1"/>
  <c r="G129" i="1"/>
  <c r="F130" i="1"/>
  <c r="F258" i="1" s="1"/>
  <c r="F23" i="4" s="1"/>
  <c r="F126" i="1"/>
  <c r="I20" i="2" l="1"/>
  <c r="G55" i="1" s="1"/>
  <c r="G57" i="1" l="1"/>
  <c r="G59" i="1" l="1"/>
  <c r="G16" i="1"/>
  <c r="G58" i="1"/>
  <c r="G38" i="1" l="1"/>
  <c r="G20" i="1"/>
  <c r="G221" i="1" s="1"/>
  <c r="G164" i="1"/>
  <c r="G139" i="1"/>
  <c r="G115" i="1"/>
  <c r="G77" i="1" s="1"/>
  <c r="G18" i="1"/>
  <c r="G17" i="1" l="1"/>
  <c r="G167" i="1"/>
  <c r="G267" i="1"/>
  <c r="G160" i="1"/>
  <c r="G162" i="1" s="1"/>
  <c r="H113" i="1"/>
  <c r="G114" i="1"/>
  <c r="G256" i="1" s="1"/>
  <c r="G21" i="4" s="1"/>
  <c r="G87" i="1"/>
  <c r="H137" i="1"/>
  <c r="G138" i="1"/>
  <c r="G259" i="1" s="1"/>
  <c r="G24" i="4" s="1"/>
  <c r="G123" i="1" l="1"/>
  <c r="G131" i="1"/>
  <c r="G81" i="1"/>
  <c r="H159" i="1"/>
  <c r="G30" i="4"/>
  <c r="G269" i="1"/>
  <c r="H121" i="1" l="1"/>
  <c r="G122" i="1"/>
  <c r="G257" i="1" s="1"/>
  <c r="G22" i="4" s="1"/>
  <c r="G78" i="1"/>
  <c r="G290" i="1" s="1"/>
  <c r="G126" i="1"/>
  <c r="H129" i="1"/>
  <c r="G86" i="1"/>
  <c r="G91" i="1" s="1"/>
  <c r="G130" i="1"/>
  <c r="G258" i="1" s="1"/>
  <c r="G23" i="4" s="1"/>
  <c r="J20" i="2" l="1"/>
  <c r="H55" i="1" s="1"/>
  <c r="H57" i="1" l="1"/>
  <c r="H58" i="1" l="1"/>
  <c r="H16" i="1"/>
  <c r="H59" i="1"/>
  <c r="H20" i="1" l="1"/>
  <c r="H221" i="1" s="1"/>
  <c r="H164" i="1"/>
  <c r="H139" i="1"/>
  <c r="H38" i="1"/>
  <c r="H115" i="1"/>
  <c r="H77" i="1" s="1"/>
  <c r="H18" i="1"/>
  <c r="H87" i="1" l="1"/>
  <c r="H138" i="1"/>
  <c r="H259" i="1" s="1"/>
  <c r="H24" i="4" s="1"/>
  <c r="I137" i="1"/>
  <c r="H17" i="1"/>
  <c r="F21" i="1"/>
  <c r="H167" i="1"/>
  <c r="H267" i="1"/>
  <c r="H160" i="1"/>
  <c r="H162" i="1" s="1"/>
  <c r="I113" i="1"/>
  <c r="H114" i="1"/>
  <c r="H256" i="1" s="1"/>
  <c r="H21" i="4" s="1"/>
  <c r="F22" i="1" l="1"/>
  <c r="H269" i="1"/>
  <c r="H30" i="4"/>
  <c r="H131" i="1"/>
  <c r="H123" i="1"/>
  <c r="H126" i="1" s="1"/>
  <c r="I159" i="1"/>
  <c r="H81" i="1"/>
  <c r="F26" i="1" l="1"/>
  <c r="F27" i="1" s="1"/>
  <c r="F28" i="1" s="1"/>
  <c r="F47" i="1"/>
  <c r="F14" i="4" s="1"/>
  <c r="F15" i="4"/>
  <c r="F17" i="4" s="1"/>
  <c r="F29" i="4" s="1"/>
  <c r="F32" i="4" s="1"/>
  <c r="I121" i="1"/>
  <c r="H122" i="1"/>
  <c r="H257" i="1" s="1"/>
  <c r="H22" i="4" s="1"/>
  <c r="H78" i="1"/>
  <c r="H290" i="1" s="1"/>
  <c r="I129" i="1"/>
  <c r="H130" i="1"/>
  <c r="H258" i="1" s="1"/>
  <c r="H23" i="4" s="1"/>
  <c r="H86" i="1"/>
  <c r="H91" i="1" s="1"/>
  <c r="F38" i="4" l="1"/>
  <c r="F240" i="1"/>
  <c r="F236" i="1" s="1"/>
  <c r="F238" i="1" s="1"/>
  <c r="F253" i="1"/>
  <c r="F265" i="1" s="1"/>
  <c r="F35" i="1"/>
  <c r="F34" i="1"/>
  <c r="F104" i="1"/>
  <c r="F279" i="1" l="1"/>
  <c r="F305" i="1" s="1"/>
  <c r="F306" i="1" s="1"/>
  <c r="F297" i="1"/>
  <c r="F298" i="1" s="1"/>
  <c r="F287" i="1" s="1"/>
  <c r="F288" i="1" s="1"/>
  <c r="F95" i="1"/>
  <c r="F97" i="1" s="1"/>
  <c r="F106" i="1" s="1"/>
  <c r="G235" i="1"/>
  <c r="F291" i="1" l="1"/>
  <c r="F301" i="1"/>
  <c r="G286" i="1"/>
  <c r="G304" i="1"/>
  <c r="F76" i="1"/>
  <c r="K20" i="2"/>
  <c r="I55" i="1" s="1"/>
  <c r="F84" i="1" l="1"/>
  <c r="F102" i="1"/>
  <c r="G294" i="1"/>
  <c r="G296" i="1" s="1"/>
  <c r="I57" i="1"/>
  <c r="F99" i="1" l="1"/>
  <c r="F103" i="1"/>
  <c r="F105" i="1"/>
  <c r="I58" i="1"/>
  <c r="I16" i="1"/>
  <c r="I59" i="1"/>
  <c r="I115" i="1" l="1"/>
  <c r="I77" i="1" s="1"/>
  <c r="I38" i="1"/>
  <c r="I20" i="1"/>
  <c r="I221" i="1" s="1"/>
  <c r="I139" i="1"/>
  <c r="I18" i="1"/>
  <c r="G21" i="1" s="1"/>
  <c r="G22" i="1" s="1"/>
  <c r="I164" i="1"/>
  <c r="G47" i="1" l="1"/>
  <c r="G14" i="4" s="1"/>
  <c r="G15" i="4"/>
  <c r="G17" i="4" s="1"/>
  <c r="G29" i="4" s="1"/>
  <c r="G32" i="4" s="1"/>
  <c r="G26" i="1"/>
  <c r="G27" i="1" s="1"/>
  <c r="G28" i="1" s="1"/>
  <c r="I160" i="1"/>
  <c r="I162" i="1" s="1"/>
  <c r="I267" i="1"/>
  <c r="I167" i="1"/>
  <c r="I22" i="1"/>
  <c r="I17" i="1"/>
  <c r="I87" i="1"/>
  <c r="I138" i="1"/>
  <c r="I259" i="1" s="1"/>
  <c r="I24" i="4" s="1"/>
  <c r="J137" i="1"/>
  <c r="J113" i="1"/>
  <c r="I114" i="1"/>
  <c r="I256" i="1" s="1"/>
  <c r="I21" i="4" s="1"/>
  <c r="G253" i="1" l="1"/>
  <c r="G265" i="1" s="1"/>
  <c r="G104" i="1"/>
  <c r="G240" i="1"/>
  <c r="G236" i="1" s="1"/>
  <c r="G238" i="1" s="1"/>
  <c r="G34" i="1"/>
  <c r="G35" i="1"/>
  <c r="G38" i="4"/>
  <c r="G33" i="4"/>
  <c r="I131" i="1"/>
  <c r="I123" i="1"/>
  <c r="I126" i="1" s="1"/>
  <c r="I30" i="4"/>
  <c r="I269" i="1"/>
  <c r="I47" i="1"/>
  <c r="I14" i="4" s="1"/>
  <c r="I15" i="4"/>
  <c r="I17" i="4" s="1"/>
  <c r="I26" i="1"/>
  <c r="I81" i="1"/>
  <c r="J159" i="1"/>
  <c r="G95" i="1" l="1"/>
  <c r="G97" i="1" s="1"/>
  <c r="G106" i="1" s="1"/>
  <c r="H235" i="1"/>
  <c r="G297" i="1"/>
  <c r="G298" i="1" s="1"/>
  <c r="G287" i="1" s="1"/>
  <c r="G288" i="1" s="1"/>
  <c r="G279" i="1"/>
  <c r="G305" i="1" s="1"/>
  <c r="G306" i="1" s="1"/>
  <c r="J121" i="1"/>
  <c r="I78" i="1"/>
  <c r="I290" i="1" s="1"/>
  <c r="I122" i="1"/>
  <c r="I257" i="1" s="1"/>
  <c r="I22" i="4" s="1"/>
  <c r="J129" i="1"/>
  <c r="I86" i="1"/>
  <c r="I91" i="1" s="1"/>
  <c r="I130" i="1"/>
  <c r="I258" i="1" s="1"/>
  <c r="I23" i="4" s="1"/>
  <c r="I27" i="1"/>
  <c r="I28" i="1" s="1"/>
  <c r="H286" i="1" l="1"/>
  <c r="G301" i="1"/>
  <c r="G291" i="1"/>
  <c r="G76" i="1"/>
  <c r="H304" i="1"/>
  <c r="I34" i="1"/>
  <c r="I35" i="1"/>
  <c r="I253" i="1"/>
  <c r="I240" i="1"/>
  <c r="I236" i="1" s="1"/>
  <c r="I104" i="1"/>
  <c r="G84" i="1" l="1"/>
  <c r="G102" i="1"/>
  <c r="H294" i="1"/>
  <c r="H296" i="1" s="1"/>
  <c r="G99" i="1" l="1"/>
  <c r="G103" i="1"/>
  <c r="G105" i="1"/>
  <c r="L20" i="2" l="1"/>
  <c r="J55" i="1" s="1"/>
  <c r="J57" i="1" s="1"/>
  <c r="J58" i="1" l="1"/>
  <c r="J16" i="1"/>
  <c r="J59" i="1"/>
  <c r="J38" i="1" l="1"/>
  <c r="J139" i="1"/>
  <c r="J20" i="1"/>
  <c r="J221" i="1" s="1"/>
  <c r="J115" i="1"/>
  <c r="J77" i="1" s="1"/>
  <c r="J164" i="1"/>
  <c r="J18" i="1"/>
  <c r="H21" i="1" s="1"/>
  <c r="H22" i="1" s="1"/>
  <c r="H47" i="1" l="1"/>
  <c r="H14" i="4" s="1"/>
  <c r="H26" i="1"/>
  <c r="H27" i="1" s="1"/>
  <c r="H28" i="1" s="1"/>
  <c r="H15" i="4"/>
  <c r="H17" i="4" s="1"/>
  <c r="J17" i="1"/>
  <c r="J22" i="1"/>
  <c r="J87" i="1"/>
  <c r="J138" i="1"/>
  <c r="J259" i="1" s="1"/>
  <c r="J24" i="4" s="1"/>
  <c r="J267" i="1"/>
  <c r="J167" i="1"/>
  <c r="J160" i="1"/>
  <c r="J162" i="1" s="1"/>
  <c r="J81" i="1" s="1"/>
  <c r="J114" i="1"/>
  <c r="J256" i="1" s="1"/>
  <c r="J21" i="4" s="1"/>
  <c r="H34" i="1" l="1"/>
  <c r="H253" i="1"/>
  <c r="H104" i="1"/>
  <c r="H35" i="1"/>
  <c r="H240" i="1"/>
  <c r="H236" i="1" s="1"/>
  <c r="H238" i="1" s="1"/>
  <c r="J26" i="1"/>
  <c r="J15" i="4"/>
  <c r="J17" i="4" s="1"/>
  <c r="J47" i="1"/>
  <c r="J14" i="4" s="1"/>
  <c r="J41" i="4" s="1"/>
  <c r="J43" i="4" s="1"/>
  <c r="J44" i="4" s="1"/>
  <c r="J269" i="1"/>
  <c r="J30" i="4"/>
  <c r="J123" i="1"/>
  <c r="J126" i="1" s="1"/>
  <c r="J131" i="1"/>
  <c r="H95" i="1" l="1"/>
  <c r="H97" i="1" s="1"/>
  <c r="H106" i="1" s="1"/>
  <c r="I235" i="1"/>
  <c r="I238" i="1" s="1"/>
  <c r="J78" i="1"/>
  <c r="J290" i="1" s="1"/>
  <c r="J122" i="1"/>
  <c r="J257" i="1" s="1"/>
  <c r="J86" i="1"/>
  <c r="J91" i="1" s="1"/>
  <c r="J130" i="1"/>
  <c r="J258" i="1" s="1"/>
  <c r="J23" i="4" s="1"/>
  <c r="J27" i="1"/>
  <c r="J28" i="1" s="1"/>
  <c r="I95" i="1" l="1"/>
  <c r="I97" i="1" s="1"/>
  <c r="I106" i="1" s="1"/>
  <c r="J235" i="1"/>
  <c r="J22" i="4"/>
  <c r="C41" i="4" s="1"/>
  <c r="J34" i="1"/>
  <c r="J240" i="1"/>
  <c r="J236" i="1" s="1"/>
  <c r="J35" i="1"/>
  <c r="J104" i="1"/>
  <c r="J253" i="1"/>
  <c r="J238" i="1" l="1"/>
  <c r="J95" i="1" s="1"/>
  <c r="J97" i="1" s="1"/>
  <c r="J106" i="1" s="1"/>
  <c r="I174" i="1"/>
  <c r="H175" i="1"/>
  <c r="H260" i="1" s="1"/>
  <c r="H29" i="4" l="1"/>
  <c r="H32" i="4" s="1"/>
  <c r="H265" i="1"/>
  <c r="H38" i="4" l="1"/>
  <c r="H33" i="4"/>
  <c r="H279" i="1"/>
  <c r="H305" i="1" s="1"/>
  <c r="H306" i="1" s="1"/>
  <c r="H297" i="1"/>
  <c r="H298" i="1" s="1"/>
  <c r="H287" i="1" s="1"/>
  <c r="H288" i="1" s="1"/>
  <c r="I286" i="1" l="1"/>
  <c r="H291" i="1"/>
  <c r="H301" i="1"/>
  <c r="H76" i="1"/>
  <c r="I304" i="1"/>
  <c r="H84" i="1" l="1"/>
  <c r="H99" i="1" s="1"/>
  <c r="H102" i="1"/>
  <c r="I294" i="1"/>
  <c r="I296" i="1" s="1"/>
  <c r="H105" i="1" l="1"/>
  <c r="H103" i="1"/>
  <c r="I175" i="1"/>
  <c r="I260" i="1" s="1"/>
  <c r="J174" i="1"/>
  <c r="I29" i="4" l="1"/>
  <c r="I32" i="4" s="1"/>
  <c r="I265" i="1"/>
  <c r="I297" i="1" l="1"/>
  <c r="I298" i="1" s="1"/>
  <c r="I287" i="1" s="1"/>
  <c r="I288" i="1" s="1"/>
  <c r="I279" i="1"/>
  <c r="I305" i="1" s="1"/>
  <c r="I306" i="1" s="1"/>
  <c r="I33" i="4"/>
  <c r="I38" i="4"/>
  <c r="I76" i="1" l="1"/>
  <c r="J304" i="1"/>
  <c r="I291" i="1"/>
  <c r="I301" i="1"/>
  <c r="J286" i="1"/>
  <c r="I84" i="1" l="1"/>
  <c r="I99" i="1" s="1"/>
  <c r="I102" i="1"/>
  <c r="J294" i="1"/>
  <c r="J296" i="1" s="1"/>
  <c r="I105" i="1" l="1"/>
  <c r="I103" i="1"/>
  <c r="J175" i="1"/>
  <c r="J260" i="1"/>
  <c r="J265" i="1" s="1"/>
  <c r="J297" i="1" l="1"/>
  <c r="J298" i="1" s="1"/>
  <c r="J287" i="1" s="1"/>
  <c r="J288" i="1" s="1"/>
  <c r="J279" i="1"/>
  <c r="J305" i="1" s="1"/>
  <c r="J306" i="1" s="1"/>
  <c r="J76" i="1" s="1"/>
  <c r="J301" i="1" l="1"/>
  <c r="J291" i="1"/>
  <c r="J29" i="4"/>
  <c r="J32" i="4" s="1"/>
  <c r="J84" i="1"/>
  <c r="J99" i="1" s="1"/>
  <c r="J102" i="1"/>
  <c r="J38" i="4" l="1"/>
  <c r="C46" i="4" s="1"/>
  <c r="J45" i="4" s="1"/>
  <c r="J46" i="4" s="1"/>
  <c r="J52" i="4" s="1"/>
  <c r="J55" i="4" s="1"/>
  <c r="J57" i="4" s="1"/>
  <c r="J58" i="4" s="1"/>
  <c r="J33" i="4"/>
  <c r="J103" i="1"/>
  <c r="J105" i="1"/>
  <c r="C42" i="4"/>
  <c r="C44" i="4" s="1"/>
  <c r="J47" i="4"/>
  <c r="C45" i="4" l="1"/>
  <c r="C47" i="4" s="1"/>
  <c r="C48" i="4"/>
  <c r="I52" i="4" l="1"/>
  <c r="I55" i="4" s="1"/>
  <c r="I57" i="4" l="1"/>
  <c r="I58" i="4" s="1"/>
</calcChain>
</file>

<file path=xl/comments1.xml><?xml version="1.0" encoding="utf-8"?>
<comments xmlns="http://schemas.openxmlformats.org/spreadsheetml/2006/main">
  <authors>
    <author>Wall Street Prep</author>
  </authors>
  <commentList>
    <comment ref="C10" authorId="0" shapeId="0">
      <text>
        <r>
          <rPr>
            <b/>
            <sz val="9"/>
            <color indexed="81"/>
            <rFont val="Tahoma"/>
            <family val="2"/>
          </rPr>
          <t>Wall Street Prep:</t>
        </r>
        <r>
          <rPr>
            <sz val="9"/>
            <color indexed="81"/>
            <rFont val="Tahoma"/>
            <family val="2"/>
          </rPr>
          <t xml:space="preserve">
If the model "blows up" (i.e. REF and DIV/0 everywhere), turn the circuit breaker above on, and then immediately off again. 
</t>
        </r>
        <r>
          <rPr>
            <b/>
            <sz val="9"/>
            <color indexed="81"/>
            <rFont val="Tahoma"/>
            <family val="2"/>
          </rPr>
          <t xml:space="preserve">Why do we need this?
</t>
        </r>
        <r>
          <rPr>
            <sz val="9"/>
            <color indexed="81"/>
            <rFont val="Tahoma"/>
            <family val="2"/>
          </rPr>
          <t xml:space="preserve">This model has an intentional circularity in the calculation of interest expense and interest income. 
Interest expense is calculated as interest rate times average current and prior period revolver debt balances. Since current period revolver balance is itself impacted by current period interest expense, the circularity exists.
The same logic applies to interest expense.
</t>
        </r>
        <r>
          <rPr>
            <b/>
            <sz val="9"/>
            <color indexed="81"/>
            <rFont val="Tahoma"/>
            <family val="2"/>
          </rPr>
          <t xml:space="preserve">Setting Iterations in Excel
</t>
        </r>
        <r>
          <rPr>
            <sz val="9"/>
            <color indexed="81"/>
            <rFont val="Tahoma"/>
            <family val="2"/>
          </rPr>
          <t xml:space="preserve">Make sure that iterations are selected under Excel Options &gt; Formulas
</t>
        </r>
        <r>
          <rPr>
            <b/>
            <sz val="9"/>
            <color indexed="81"/>
            <rFont val="Tahoma"/>
            <family val="2"/>
          </rPr>
          <t>Removing circularity altogether</t>
        </r>
        <r>
          <rPr>
            <sz val="9"/>
            <color indexed="81"/>
            <rFont val="Tahoma"/>
            <family val="2"/>
          </rPr>
          <t xml:space="preserve">
To avoid a circularity altogether, calculate interest expense using prior period debt balances (as opposed to average balances).</t>
        </r>
      </text>
    </comment>
  </commentList>
</comments>
</file>

<file path=xl/comments2.xml><?xml version="1.0" encoding="utf-8"?>
<comments xmlns="http://schemas.openxmlformats.org/spreadsheetml/2006/main">
  <authors>
    <author>Wall Street Prep</author>
  </authors>
  <commentList>
    <comment ref="C7" authorId="0" shapeId="0">
      <text>
        <r>
          <rPr>
            <b/>
            <sz val="9"/>
            <color indexed="81"/>
            <rFont val="Tahoma"/>
            <family val="2"/>
          </rPr>
          <t>Wall Street Prep:</t>
        </r>
        <r>
          <rPr>
            <sz val="9"/>
            <color indexed="81"/>
            <rFont val="Tahoma"/>
            <family val="2"/>
          </rPr>
          <t xml:space="preserve">
Per AAPL Q2 10-Q, as of April 11, 2014</t>
        </r>
      </text>
    </comment>
    <comment ref="J42" authorId="0" shapeId="0">
      <text>
        <r>
          <rPr>
            <b/>
            <sz val="9"/>
            <color indexed="81"/>
            <rFont val="Tahoma"/>
            <family val="2"/>
          </rPr>
          <t>Wall Street Prep:</t>
        </r>
        <r>
          <rPr>
            <sz val="9"/>
            <color indexed="81"/>
            <rFont val="Tahoma"/>
            <family val="2"/>
          </rPr>
          <t xml:space="preserve">
Factset Comps</t>
        </r>
      </text>
    </comment>
    <comment ref="J47" authorId="0" shapeId="0">
      <text>
        <r>
          <rPr>
            <b/>
            <sz val="9"/>
            <color indexed="81"/>
            <rFont val="Tahoma"/>
            <family val="2"/>
          </rPr>
          <t>Wall Street Prep:</t>
        </r>
        <r>
          <rPr>
            <sz val="9"/>
            <color indexed="81"/>
            <rFont val="Tahoma"/>
            <family val="2"/>
          </rPr>
          <t xml:space="preserve">
With a midyear adjustment, the implied growth formula is as follows
[r -FCF(t)*(1+r)^0.5/TV]/(1+FCF(t)*(1+r)^0.5/TV)
</t>
        </r>
      </text>
    </comment>
    <comment ref="J65" authorId="0" shapeId="0">
      <text>
        <r>
          <rPr>
            <b/>
            <sz val="9"/>
            <color indexed="81"/>
            <rFont val="Tahoma"/>
            <family val="2"/>
          </rPr>
          <t>Wall Street Prep:</t>
        </r>
        <r>
          <rPr>
            <sz val="9"/>
            <color indexed="81"/>
            <rFont val="Tahoma"/>
            <family val="2"/>
          </rPr>
          <t xml:space="preserve">
Yield on 10 Year US Treasury</t>
        </r>
      </text>
    </comment>
    <comment ref="K66" authorId="0" shapeId="0">
      <text>
        <r>
          <rPr>
            <b/>
            <sz val="9"/>
            <color indexed="81"/>
            <rFont val="Tahoma"/>
            <family val="2"/>
          </rPr>
          <t>Wall Street Prep:</t>
        </r>
        <r>
          <rPr>
            <sz val="9"/>
            <color indexed="81"/>
            <rFont val="Tahoma"/>
            <family val="2"/>
          </rPr>
          <t xml:space="preserve">
CIQ</t>
        </r>
      </text>
    </comment>
  </commentList>
</comments>
</file>

<file path=xl/comments3.xml><?xml version="1.0" encoding="utf-8"?>
<comments xmlns="http://schemas.openxmlformats.org/spreadsheetml/2006/main">
  <authors>
    <author>nimakaramlou</author>
  </authors>
  <commentList>
    <comment ref="G18" authorId="0" shapeId="0">
      <text>
        <r>
          <rPr>
            <b/>
            <sz val="9"/>
            <color indexed="81"/>
            <rFont val="Tahoma"/>
            <family val="2"/>
          </rPr>
          <t>nimakaramlou:</t>
        </r>
        <r>
          <rPr>
            <sz val="9"/>
            <color indexed="81"/>
            <rFont val="Tahoma"/>
            <family val="2"/>
          </rPr>
          <t xml:space="preserve">
Granite City idled in December 2015. Has total capacity of 2.8MM tons.</t>
        </r>
      </text>
    </comment>
    <comment ref="G20" authorId="0" shapeId="0">
      <text>
        <r>
          <rPr>
            <b/>
            <sz val="9"/>
            <color indexed="81"/>
            <rFont val="Tahoma"/>
            <family val="2"/>
          </rPr>
          <t>nimakaramlou:</t>
        </r>
        <r>
          <rPr>
            <sz val="9"/>
            <color indexed="81"/>
            <rFont val="Tahoma"/>
            <family val="2"/>
          </rPr>
          <t xml:space="preserve">
Fairfield works permanently shut down in August 2015.</t>
        </r>
      </text>
    </comment>
  </commentList>
</comments>
</file>

<file path=xl/sharedStrings.xml><?xml version="1.0" encoding="utf-8"?>
<sst xmlns="http://schemas.openxmlformats.org/spreadsheetml/2006/main" count="509" uniqueCount="294">
  <si>
    <t>Company name</t>
  </si>
  <si>
    <t>Ticker</t>
  </si>
  <si>
    <t>Share price as of last close</t>
  </si>
  <si>
    <t>Latest closing share price date</t>
  </si>
  <si>
    <t>Latest fiscal year end date</t>
  </si>
  <si>
    <t>Circuit breaker:</t>
  </si>
  <si>
    <t>Financial Statement Model for US Steel</t>
  </si>
  <si>
    <t>$ mm except per share</t>
  </si>
  <si>
    <t>US Steel</t>
  </si>
  <si>
    <t>X</t>
  </si>
  <si>
    <t>INCOME STATEMENT</t>
  </si>
  <si>
    <t xml:space="preserve">Fiscal year  </t>
  </si>
  <si>
    <t>Fiscal year end date</t>
  </si>
  <si>
    <t>Revenue</t>
  </si>
  <si>
    <t>Cost of sales (enter as -)</t>
  </si>
  <si>
    <t>Gross Profit</t>
  </si>
  <si>
    <t>Selling, general &amp; administrative (enter as -)</t>
  </si>
  <si>
    <t>Operating profit (EBIT)</t>
  </si>
  <si>
    <t>Interest income</t>
  </si>
  <si>
    <t>Interest expense (enter as -)</t>
  </si>
  <si>
    <t>Other expense (enter as -)</t>
  </si>
  <si>
    <t>Pretax profit</t>
  </si>
  <si>
    <t>Taxes (enter expense as -)</t>
  </si>
  <si>
    <t>Net income</t>
  </si>
  <si>
    <t>Basic shares outstanding</t>
  </si>
  <si>
    <t>Impact of dilutive securities</t>
  </si>
  <si>
    <t>Diluted shares outstanding</t>
  </si>
  <si>
    <t>Basic EPS</t>
  </si>
  <si>
    <t>Diluted EPS</t>
  </si>
  <si>
    <t>Growth rates &amp; margins</t>
  </si>
  <si>
    <t>Revenue growth</t>
  </si>
  <si>
    <t>Gross profit as % of sales</t>
  </si>
  <si>
    <t>SG&amp;A margin</t>
  </si>
  <si>
    <t>Tax rate</t>
  </si>
  <si>
    <t>EBITDA reconciliation</t>
  </si>
  <si>
    <t>Stock based compensation</t>
  </si>
  <si>
    <t>EBITDA</t>
  </si>
  <si>
    <t>Restructuring and other charges (enter as -)</t>
  </si>
  <si>
    <t>Restructuring as % of sales</t>
  </si>
  <si>
    <t>Depreciation, depletion, &amp; amortization</t>
  </si>
  <si>
    <t>Depreciation, depletion, and amortization (enter as -)</t>
  </si>
  <si>
    <t>Benchmark prices</t>
  </si>
  <si>
    <t>Realized prices</t>
  </si>
  <si>
    <t>United States</t>
  </si>
  <si>
    <t>X Price Deck</t>
  </si>
  <si>
    <t>Europe</t>
  </si>
  <si>
    <t xml:space="preserve"> </t>
  </si>
  <si>
    <t>Steel rebar</t>
  </si>
  <si>
    <t>Tubular steel</t>
  </si>
  <si>
    <t>SEGMENTS</t>
  </si>
  <si>
    <t>Product</t>
  </si>
  <si>
    <t>USSE</t>
  </si>
  <si>
    <t>Tubular</t>
  </si>
  <si>
    <t>Other</t>
  </si>
  <si>
    <t>Total</t>
  </si>
  <si>
    <t>% growth</t>
  </si>
  <si>
    <t>Capacity</t>
  </si>
  <si>
    <t>Flat rolled steel</t>
  </si>
  <si>
    <t>% capacity</t>
  </si>
  <si>
    <t>Days per year</t>
  </si>
  <si>
    <t>UNITED STATES</t>
  </si>
  <si>
    <t>FY13</t>
  </si>
  <si>
    <t>FY14</t>
  </si>
  <si>
    <t xml:space="preserve">Revenues </t>
  </si>
  <si>
    <t>Expenses</t>
  </si>
  <si>
    <t/>
  </si>
  <si>
    <t>Production Costs</t>
  </si>
  <si>
    <t>Other operating expenses</t>
  </si>
  <si>
    <t>Depreciation, depletion and amortization</t>
  </si>
  <si>
    <t>Pre-Tax Income before Impairments</t>
  </si>
  <si>
    <t>Taxes</t>
  </si>
  <si>
    <t>Revenues</t>
  </si>
  <si>
    <t>Pre-Tax</t>
  </si>
  <si>
    <t>TOTAL</t>
  </si>
  <si>
    <t>Segment results - X</t>
  </si>
  <si>
    <t>SEGMENT RESULTS ($MM)</t>
  </si>
  <si>
    <t>FY15</t>
  </si>
  <si>
    <t>FLAT ROLLED STEEL</t>
  </si>
  <si>
    <t>EUROPE</t>
  </si>
  <si>
    <t>TUBULAR</t>
  </si>
  <si>
    <t>% change</t>
  </si>
  <si>
    <t>Steel demand</t>
  </si>
  <si>
    <t>Shipments</t>
  </si>
  <si>
    <t>Steel (thousands of tons)</t>
  </si>
  <si>
    <t>Gary, IN</t>
  </si>
  <si>
    <t>YEARLY PRODUCTION</t>
  </si>
  <si>
    <t>Great Lakes, MI</t>
  </si>
  <si>
    <t>Mon Valley, PA</t>
  </si>
  <si>
    <t>Fairfield, AL</t>
  </si>
  <si>
    <t>Flat rolled steel (thousands of tons)</t>
  </si>
  <si>
    <t>Kosice</t>
  </si>
  <si>
    <t>Flat rolled</t>
  </si>
  <si>
    <t>Granite City, IL</t>
  </si>
  <si>
    <t>Iron ore (thousands of tons)</t>
  </si>
  <si>
    <t>Iron ore</t>
  </si>
  <si>
    <t>Coke (thousands of tons)</t>
  </si>
  <si>
    <t>CAPACITY</t>
  </si>
  <si>
    <t>PRODUCTION AS % OF CAPACITY</t>
  </si>
  <si>
    <t>IRON ORE PRODUCTION</t>
  </si>
  <si>
    <t>COKE PRODUCTION</t>
  </si>
  <si>
    <t>SHIPMENTS</t>
  </si>
  <si>
    <t>% of shipments</t>
  </si>
  <si>
    <t>% of production</t>
  </si>
  <si>
    <t>Gary Works, IN</t>
  </si>
  <si>
    <t>Slovakia</t>
  </si>
  <si>
    <t>FY16P</t>
  </si>
  <si>
    <t>FY17P</t>
  </si>
  <si>
    <t>FY18P</t>
  </si>
  <si>
    <t>FY19P</t>
  </si>
  <si>
    <t>FY20P</t>
  </si>
  <si>
    <t>Differential</t>
  </si>
  <si>
    <t>Defferential</t>
  </si>
  <si>
    <t>x</t>
  </si>
  <si>
    <t>BALANCE SHEET</t>
  </si>
  <si>
    <t>Cash &amp; equivalents ST &amp; LT market. securities</t>
  </si>
  <si>
    <t>Accounts receivable</t>
  </si>
  <si>
    <t>Inventory</t>
  </si>
  <si>
    <t>Deferred tax assets</t>
  </si>
  <si>
    <t>Other current assets (inc. non-trade receivables)</t>
  </si>
  <si>
    <t>Property, plant &amp; equipment</t>
  </si>
  <si>
    <t>Acquired intangible assets (inc. Goodwill)</t>
  </si>
  <si>
    <t>Other assets</t>
  </si>
  <si>
    <t>Total assets</t>
  </si>
  <si>
    <t>Accounts payable</t>
  </si>
  <si>
    <t>Accrued expenses &amp; def rev. (current &amp; non-current)</t>
  </si>
  <si>
    <t>Revolver</t>
  </si>
  <si>
    <t>Long term debt</t>
  </si>
  <si>
    <t>Other non-current liabilities</t>
  </si>
  <si>
    <t>Total liabilities</t>
  </si>
  <si>
    <t>Common stock / additional paid in capital</t>
  </si>
  <si>
    <t>Treasury stock</t>
  </si>
  <si>
    <t>Retained earnings / accumulated deficit</t>
  </si>
  <si>
    <t>Other comprehensive income / (loss)</t>
  </si>
  <si>
    <t>Total equity</t>
  </si>
  <si>
    <t>Balance check</t>
  </si>
  <si>
    <t>Ratios</t>
  </si>
  <si>
    <t>Net debt</t>
  </si>
  <si>
    <t>Asset turnover (Revenue / Total assets)</t>
  </si>
  <si>
    <t>Net profit margin</t>
  </si>
  <si>
    <t>Return on assets (ROA)</t>
  </si>
  <si>
    <t>Return on book equity (ROE)</t>
  </si>
  <si>
    <t>WORKING CAPITAL</t>
  </si>
  <si>
    <t>Beginning of period</t>
  </si>
  <si>
    <t>Increases / (decreases)</t>
  </si>
  <si>
    <t>End of period</t>
  </si>
  <si>
    <t>AR as % of sales</t>
  </si>
  <si>
    <t>Days sales outstanding (DSO)</t>
  </si>
  <si>
    <t xml:space="preserve">Inventory </t>
  </si>
  <si>
    <t>Inventory as % of COGS</t>
  </si>
  <si>
    <t>Inventory turnover</t>
  </si>
  <si>
    <t>AP as % of COGS</t>
  </si>
  <si>
    <t>Days payables outstanding (DPO)</t>
  </si>
  <si>
    <t>Accrued expenses &amp; def revenues</t>
  </si>
  <si>
    <t>Accrued expenses &amp; def revs as % of sales</t>
  </si>
  <si>
    <t>INTANGIBLE ASSETS (INC. GOODWILL)</t>
  </si>
  <si>
    <t>Plus: Purchases of intangible assets</t>
  </si>
  <si>
    <t>Less: Amortization</t>
  </si>
  <si>
    <t>Purchases of intangible assets (enter as +)</t>
  </si>
  <si>
    <t>Amortization (enter as -)</t>
  </si>
  <si>
    <t>PROPERTY, PLANT &amp; EQUIPMENT</t>
  </si>
  <si>
    <t>Plus: Capital expenditures</t>
  </si>
  <si>
    <t>Less: Depreciation</t>
  </si>
  <si>
    <t>Capex (enter as +)</t>
  </si>
  <si>
    <t>Capital expenditures as % of revenue</t>
  </si>
  <si>
    <t>Depreciation (enter as -)</t>
  </si>
  <si>
    <t>Depreciation as a % of capital expenditures</t>
  </si>
  <si>
    <t>OTHER ASSETS / LIABILITIES &amp; DEFERRED TAXES</t>
  </si>
  <si>
    <t>Deferred tax assets (DTAs)</t>
  </si>
  <si>
    <t>Other non current liabilities</t>
  </si>
  <si>
    <t>DEBT</t>
  </si>
  <si>
    <t xml:space="preserve">Long term debt </t>
  </si>
  <si>
    <t xml:space="preserve">Additional borrowing / (pay down) </t>
  </si>
  <si>
    <t>PIK accrual</t>
  </si>
  <si>
    <t>Interest expense on long term debt</t>
  </si>
  <si>
    <t>Weighted average interest rate</t>
  </si>
  <si>
    <t>% of interest expense paid in cash</t>
  </si>
  <si>
    <t>% of interest expense accrues as PIK</t>
  </si>
  <si>
    <t>CAPITAL STOCK</t>
  </si>
  <si>
    <t>Common stock / APIC</t>
  </si>
  <si>
    <t>Plus: new share issuances</t>
  </si>
  <si>
    <t>Plus: Stock based compensation</t>
  </si>
  <si>
    <t>New share issuance</t>
  </si>
  <si>
    <t>SBC as % of all operating expenses</t>
  </si>
  <si>
    <t>Less: Stock repurchases</t>
  </si>
  <si>
    <t>Stock repurchases</t>
  </si>
  <si>
    <t>RETAINED EARNINGS &amp; OCI</t>
  </si>
  <si>
    <t>Retained earnings</t>
  </si>
  <si>
    <t>Plus: Net income</t>
  </si>
  <si>
    <t>Less: Common dividends</t>
  </si>
  <si>
    <t>Dividend payout ratio</t>
  </si>
  <si>
    <t>Common dividends</t>
  </si>
  <si>
    <t>Plus: Income / (loss)</t>
  </si>
  <si>
    <t>CASH FLOW STATEMENT</t>
  </si>
  <si>
    <t>Depreciation and amortization</t>
  </si>
  <si>
    <t xml:space="preserve">Non-cash (PIK) interest </t>
  </si>
  <si>
    <t>Cash from operating activities</t>
  </si>
  <si>
    <t>Capital expenditures</t>
  </si>
  <si>
    <t>Purchases of intangible assets</t>
  </si>
  <si>
    <t>Cash from investing activities</t>
  </si>
  <si>
    <t>New share issuances</t>
  </si>
  <si>
    <t>Share repurchases</t>
  </si>
  <si>
    <t>Cash from financing activities</t>
  </si>
  <si>
    <t>Net change in cash during period</t>
  </si>
  <si>
    <t>MODEL PLUG: REVOLVER &amp; CASH</t>
  </si>
  <si>
    <t>Maximum availability</t>
  </si>
  <si>
    <t>Compliance check</t>
  </si>
  <si>
    <t>Revolver needs analysis</t>
  </si>
  <si>
    <t>Less: Minimum cash desired</t>
  </si>
  <si>
    <t>Equals: Excess cash at BOP</t>
  </si>
  <si>
    <t>Plus: Free cash flows generated during period</t>
  </si>
  <si>
    <t>Equals: Cash available (needed) to paydown (draw from) revolver</t>
  </si>
  <si>
    <t>Interest rate on revolver</t>
  </si>
  <si>
    <t>Interest expense</t>
  </si>
  <si>
    <t>Cash</t>
  </si>
  <si>
    <t>+/- additions</t>
  </si>
  <si>
    <t>Interest rate on cash</t>
  </si>
  <si>
    <t>SHARES OUTSTANDING</t>
  </si>
  <si>
    <t>+ new shares issued</t>
  </si>
  <si>
    <t>- shares repurchased</t>
  </si>
  <si>
    <t>Consensus EPS</t>
  </si>
  <si>
    <t>% change in EPS, year-over-year</t>
  </si>
  <si>
    <t>Average share price</t>
  </si>
  <si>
    <t>General assumptions</t>
  </si>
  <si>
    <t>Latest basic share count</t>
  </si>
  <si>
    <t>Weighted average cost of capital</t>
  </si>
  <si>
    <t>Free cash flow buildup</t>
  </si>
  <si>
    <t>EBIT</t>
  </si>
  <si>
    <t>tax rate</t>
  </si>
  <si>
    <t>EBIAT (NOPAT)</t>
  </si>
  <si>
    <t>Discounted Cash Flow Model for US Steel</t>
  </si>
  <si>
    <t>Unlevered CFO</t>
  </si>
  <si>
    <t>Less: Capital expenditures</t>
  </si>
  <si>
    <t>Less: Purchases of intangible assets</t>
  </si>
  <si>
    <t>Unlevered FCF</t>
  </si>
  <si>
    <t>Discount factor</t>
  </si>
  <si>
    <t>Assume cash flows are generated at:</t>
  </si>
  <si>
    <t>Middle of period</t>
  </si>
  <si>
    <t>Midperiod adjustment factor</t>
  </si>
  <si>
    <t>Present value of Unlevered FCF</t>
  </si>
  <si>
    <t>Perpetuity approach</t>
  </si>
  <si>
    <t>Exit EBITDA multiple approach</t>
  </si>
  <si>
    <t>Normalized FCF in last forecast period (t)</t>
  </si>
  <si>
    <t>Terminal year EBITDA</t>
  </si>
  <si>
    <r>
      <t>Normalized FCF</t>
    </r>
    <r>
      <rPr>
        <vertAlign val="superscript"/>
        <sz val="11"/>
        <color theme="1"/>
        <rFont val="Calibri"/>
        <family val="2"/>
        <scheme val="minor"/>
      </rPr>
      <t xml:space="preserve">t+1 </t>
    </r>
  </si>
  <si>
    <t>Terminal value EBITDA multiple</t>
  </si>
  <si>
    <t>Long term growth rate (g)</t>
  </si>
  <si>
    <t xml:space="preserve">Terminal value </t>
  </si>
  <si>
    <t>Present value of terminal value</t>
  </si>
  <si>
    <t>Present value of stage 1 cash flows</t>
  </si>
  <si>
    <t xml:space="preserve">Enterprise value </t>
  </si>
  <si>
    <t>Implied TV perpetual growth rate</t>
  </si>
  <si>
    <t>Implied TV exit EBITDA multiple</t>
  </si>
  <si>
    <t>Net Debt</t>
  </si>
  <si>
    <t>Fair value per share</t>
  </si>
  <si>
    <t>Perpetuity</t>
  </si>
  <si>
    <t>Enterprise value</t>
  </si>
  <si>
    <t>Less: Net debt</t>
  </si>
  <si>
    <t>Trapped cash</t>
  </si>
  <si>
    <t>Less: Trapped cash</t>
  </si>
  <si>
    <t>Equity value</t>
  </si>
  <si>
    <t>Options / warrants data</t>
  </si>
  <si>
    <t>Diluted shares</t>
  </si>
  <si>
    <t>Equity value per share</t>
  </si>
  <si>
    <t>Exercisable options</t>
  </si>
  <si>
    <t>Market premium / (discount) to fair value</t>
  </si>
  <si>
    <t>Exercise price</t>
  </si>
  <si>
    <t>In-the-money exercisable options</t>
  </si>
  <si>
    <t>Cost of capital assumptions</t>
  </si>
  <si>
    <t>Total proceeds ($mm)</t>
  </si>
  <si>
    <t>Cost of debt</t>
  </si>
  <si>
    <t>Total shares repurchased (mm)</t>
  </si>
  <si>
    <t>Net dilutive options</t>
  </si>
  <si>
    <t xml:space="preserve">After tax cost of debt </t>
  </si>
  <si>
    <t xml:space="preserve">Dilutive impact of shares from other securities </t>
  </si>
  <si>
    <t>Net diluted shares outstanding</t>
  </si>
  <si>
    <t>Risk free rate</t>
  </si>
  <si>
    <r>
      <t xml:space="preserve">Observed </t>
    </r>
    <r>
      <rPr>
        <u val="singleAccounting"/>
        <sz val="9"/>
        <color theme="1"/>
        <rFont val="Symbol"/>
        <family val="1"/>
        <charset val="2"/>
      </rPr>
      <t>b</t>
    </r>
  </si>
  <si>
    <r>
      <t xml:space="preserve">Select </t>
    </r>
    <r>
      <rPr>
        <u val="singleAccounting"/>
        <sz val="9"/>
        <color theme="1"/>
        <rFont val="Symbol"/>
        <family val="1"/>
        <charset val="2"/>
      </rPr>
      <t>b:</t>
    </r>
  </si>
  <si>
    <t>Beta</t>
  </si>
  <si>
    <t>Observed</t>
  </si>
  <si>
    <t>Market risk premium</t>
  </si>
  <si>
    <t>Cost of equity</t>
  </si>
  <si>
    <t>Capital weights</t>
  </si>
  <si>
    <t>Amount</t>
  </si>
  <si>
    <t>% of total</t>
  </si>
  <si>
    <t>Market value of equity</t>
  </si>
  <si>
    <t>Cost of capital (WACC)</t>
  </si>
  <si>
    <t>SCENARIO ANALYSIS</t>
  </si>
  <si>
    <t>Select an operating scenario:</t>
  </si>
  <si>
    <t>Base case</t>
  </si>
  <si>
    <t>Best case</t>
  </si>
  <si>
    <t>Weak case</t>
  </si>
  <si>
    <t>Steel price growth</t>
  </si>
  <si>
    <t>OFF</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</si>
</sst>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8" formatCode="&quot;$&quot;#,##0.00_);[Red]\(&quot;$&quot;#,##0.00\)"/>
    <numFmt numFmtId="43" formatCode="_(* #,##0.00_);_(* \(#,##0.00\);_(* &quot;-&quot;??_);_(@_)"/>
    <numFmt numFmtId="164" formatCode="0\A"/>
    <numFmt numFmtId="165" formatCode="0\P"/>
    <numFmt numFmtId="166" formatCode="0.0%"/>
    <numFmt numFmtId="167" formatCode="General_)"/>
    <numFmt numFmtId="168" formatCode="&quot;$&quot;#,##0_);\(&quot;$&quot;#,##0\);@_)"/>
    <numFmt numFmtId="169" formatCode="&quot;$&quot;#,##0.0_);\(&quot;$&quot;#,##0.0\);@_)"/>
    <numFmt numFmtId="170" formatCode="#,##0_);\(#,##0\);\-_);@_)"/>
    <numFmt numFmtId="171" formatCode="#,##0_);\(#,##0\);@_)"/>
    <numFmt numFmtId="172" formatCode="#,##0.0_);\(#,##0.0\);@_)"/>
    <numFmt numFmtId="173" formatCode="_(* #,##0_);_(* \(#,##0\);_(* &quot;-&quot;??_);_(@_)"/>
    <numFmt numFmtId="174" formatCode="0%_);\(0%\);@_)"/>
    <numFmt numFmtId="175" formatCode="&quot;$&quot;#,##0.00_);\(&quot;$&quot;#,##0.00\);@_)"/>
    <numFmt numFmtId="176" formatCode="0.0\x"/>
    <numFmt numFmtId="177" formatCode="0\ &quot;days&quot;"/>
    <numFmt numFmtId="178" formatCode="0.00\ &quot;days&quot;"/>
    <numFmt numFmtId="179" formatCode="0_);\(0\)"/>
    <numFmt numFmtId="180" formatCode="#,##0.000"/>
    <numFmt numFmtId="181" formatCode="0\A;[Red]0\A"/>
    <numFmt numFmtId="182" formatCode="0\P_);\(0\P\)"/>
    <numFmt numFmtId="183" formatCode="m/d/yy;@"/>
    <numFmt numFmtId="184" formatCode="0.0%_);\(0.0%\);@_)"/>
    <numFmt numFmtId="185" formatCode="&quot;$&quot;0.00"/>
    <numFmt numFmtId="186" formatCode="#,##0.00_);\(#,##0.00\);@_)"/>
    <numFmt numFmtId="187" formatCode="0.000\x_);\(0.000\x\);@_)"/>
    <numFmt numFmtId="188" formatCode="0.0\x_);\(0.0\x\);@_)"/>
    <numFmt numFmtId="189" formatCode="0.000%"/>
    <numFmt numFmtId="190" formatCode="0.000%_);\(0.000%\);@_)"/>
    <numFmt numFmtId="191" formatCode="#,##0.000_);\(#,##0.000\)"/>
  </numFmts>
  <fonts count="36">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i/>
      <sz val="11"/>
      <color rgb="FF000000"/>
      <name val="Calibri"/>
      <family val="2"/>
      <scheme val="minor"/>
    </font>
    <font>
      <b/>
      <sz val="11"/>
      <color rgb="FF008000"/>
      <name val="Calibri"/>
      <family val="2"/>
      <scheme val="minor"/>
    </font>
    <font>
      <i/>
      <sz val="11"/>
      <color theme="1"/>
      <name val="Calibri"/>
      <family val="2"/>
      <scheme val="minor"/>
    </font>
    <font>
      <sz val="11"/>
      <color rgb="FF000000"/>
      <name val="Calibri"/>
      <family val="2"/>
      <scheme val="minor"/>
    </font>
    <font>
      <sz val="11"/>
      <color rgb="FF0000FF"/>
      <name val="Calibri"/>
      <family val="2"/>
      <scheme val="minor"/>
    </font>
    <font>
      <b/>
      <sz val="9"/>
      <color indexed="81"/>
      <name val="Tahoma"/>
      <family val="2"/>
    </font>
    <font>
      <sz val="9"/>
      <color indexed="81"/>
      <name val="Tahoma"/>
      <family val="2"/>
    </font>
    <font>
      <i/>
      <sz val="11"/>
      <color rgb="FF0000FF"/>
      <name val="Calibri"/>
      <family val="2"/>
      <scheme val="minor"/>
    </font>
    <font>
      <u/>
      <sz val="11"/>
      <color theme="1"/>
      <name val="Calibri"/>
      <family val="2"/>
      <scheme val="minor"/>
    </font>
    <font>
      <b/>
      <sz val="15"/>
      <color theme="1"/>
      <name val="Calibri"/>
      <family val="2"/>
      <scheme val="minor"/>
    </font>
    <font>
      <sz val="10"/>
      <name val="Arial"/>
      <family val="2"/>
    </font>
    <font>
      <sz val="11"/>
      <name val="Calibri"/>
      <family val="2"/>
      <scheme val="minor"/>
    </font>
    <font>
      <b/>
      <sz val="11"/>
      <name val="Calibri"/>
      <family val="2"/>
      <scheme val="minor"/>
    </font>
    <font>
      <sz val="12"/>
      <name val="Arial MT"/>
    </font>
    <font>
      <sz val="11"/>
      <color indexed="12"/>
      <name val="Calibri"/>
      <family val="2"/>
      <scheme val="minor"/>
    </font>
    <font>
      <b/>
      <sz val="11"/>
      <color rgb="FF000000"/>
      <name val="Calibri"/>
      <family val="2"/>
      <scheme val="minor"/>
    </font>
    <font>
      <i/>
      <sz val="11"/>
      <name val="Calibri"/>
      <family val="2"/>
      <scheme val="minor"/>
    </font>
    <font>
      <b/>
      <sz val="15"/>
      <name val="Calibri"/>
      <family val="2"/>
      <scheme val="minor"/>
    </font>
    <font>
      <sz val="11"/>
      <color indexed="0"/>
      <name val="Calibri"/>
      <family val="2"/>
      <scheme val="minor"/>
    </font>
    <font>
      <b/>
      <sz val="11"/>
      <color indexed="0"/>
      <name val="Calibri"/>
      <family val="2"/>
      <scheme val="minor"/>
    </font>
    <font>
      <b/>
      <sz val="11"/>
      <color indexed="8"/>
      <name val="Calibri"/>
      <family val="2"/>
      <scheme val="minor"/>
    </font>
    <font>
      <sz val="11"/>
      <color rgb="FF008000"/>
      <name val="Calibri"/>
      <family val="2"/>
      <scheme val="minor"/>
    </font>
    <font>
      <i/>
      <sz val="11"/>
      <color rgb="FF008000"/>
      <name val="Calibri"/>
      <family val="2"/>
      <scheme val="minor"/>
    </font>
    <font>
      <b/>
      <sz val="8"/>
      <color rgb="FF0000FF"/>
      <name val="Calibri"/>
      <family val="2"/>
      <scheme val="minor"/>
    </font>
    <font>
      <sz val="8"/>
      <color theme="1"/>
      <name val="Calibri"/>
      <family val="2"/>
      <scheme val="minor"/>
    </font>
    <font>
      <vertAlign val="superscript"/>
      <sz val="11"/>
      <color theme="1"/>
      <name val="Calibri"/>
      <family val="2"/>
      <scheme val="minor"/>
    </font>
    <font>
      <u val="singleAccounting"/>
      <sz val="11"/>
      <color theme="1"/>
      <name val="Calibri"/>
      <family val="2"/>
      <scheme val="minor"/>
    </font>
    <font>
      <u val="singleAccounting"/>
      <sz val="9"/>
      <color theme="1"/>
      <name val="Calibri"/>
      <family val="2"/>
      <scheme val="minor"/>
    </font>
    <font>
      <u val="singleAccounting"/>
      <sz val="9"/>
      <color theme="1"/>
      <name val="Symbol"/>
      <family val="1"/>
      <charset val="2"/>
    </font>
    <font>
      <u val="singleAccounting"/>
      <sz val="11"/>
      <color rgb="FF000000"/>
      <name val="Calibri"/>
      <family val="2"/>
      <scheme val="minor"/>
    </font>
    <font>
      <b/>
      <sz val="11"/>
      <color rgb="FF0000FF"/>
      <name val="Calibri"/>
      <family val="2"/>
      <scheme val="minor"/>
    </font>
    <font>
      <sz val="11"/>
      <color rgb="FF00B050"/>
      <name val="Calibri"/>
      <family val="2"/>
      <scheme val="minor"/>
    </font>
  </fonts>
  <fills count="5">
    <fill>
      <patternFill patternType="none"/>
    </fill>
    <fill>
      <patternFill patternType="gray125"/>
    </fill>
    <fill>
      <patternFill patternType="solid">
        <fgColor rgb="FF33BDFF"/>
        <bgColor indexed="64"/>
      </patternFill>
    </fill>
    <fill>
      <patternFill patternType="solid">
        <fgColor theme="4" tint="0.79998168889431442"/>
        <bgColor indexed="64"/>
      </patternFill>
    </fill>
    <fill>
      <patternFill patternType="solid">
        <fgColor rgb="FFFFFF99"/>
        <bgColor indexed="64"/>
      </patternFill>
    </fill>
  </fills>
  <borders count="15">
    <border>
      <left/>
      <right/>
      <top/>
      <bottom/>
      <diagonal/>
    </border>
    <border>
      <left/>
      <right/>
      <top style="medium">
        <color rgb="FF000000"/>
      </top>
      <bottom style="medium">
        <color rgb="FF000000"/>
      </bottom>
      <diagonal/>
    </border>
    <border>
      <left/>
      <right/>
      <top/>
      <bottom style="thin">
        <color rgb="FF000000"/>
      </bottom>
      <diagonal/>
    </border>
    <border>
      <left/>
      <right/>
      <top/>
      <bottom style="medium">
        <color rgb="FF000000"/>
      </bottom>
      <diagonal/>
    </border>
    <border>
      <left/>
      <right/>
      <top/>
      <bottom style="medium">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6">
    <xf numFmtId="0" fontId="0" fillId="0" borderId="0"/>
    <xf numFmtId="43" fontId="1" fillId="0" borderId="0" applyFont="0" applyFill="0" applyBorder="0" applyAlignment="0" applyProtection="0"/>
    <xf numFmtId="0" fontId="14" fillId="0" borderId="0"/>
    <xf numFmtId="167" fontId="17" fillId="0" borderId="0"/>
    <xf numFmtId="0" fontId="14" fillId="0" borderId="0"/>
    <xf numFmtId="43" fontId="14" fillId="0" borderId="0" applyFont="0" applyFill="0" applyBorder="0" applyAlignment="0" applyProtection="0"/>
  </cellStyleXfs>
  <cellXfs count="242">
    <xf numFmtId="0" fontId="0" fillId="0" borderId="0" xfId="0"/>
    <xf numFmtId="37" fontId="3" fillId="0" borderId="1" xfId="0" applyNumberFormat="1" applyFont="1" applyBorder="1"/>
    <xf numFmtId="37" fontId="0" fillId="0" borderId="1" xfId="0" applyNumberFormat="1" applyFont="1" applyBorder="1"/>
    <xf numFmtId="37" fontId="4" fillId="0" borderId="0" xfId="0" applyNumberFormat="1" applyFont="1" applyFill="1" applyBorder="1" applyAlignment="1">
      <alignment horizontal="left"/>
    </xf>
    <xf numFmtId="37" fontId="5" fillId="0" borderId="0" xfId="0" applyNumberFormat="1" applyFont="1" applyBorder="1"/>
    <xf numFmtId="37" fontId="0" fillId="0" borderId="0" xfId="0" applyNumberFormat="1"/>
    <xf numFmtId="37" fontId="6" fillId="0" borderId="0" xfId="0" applyNumberFormat="1" applyFont="1" applyBorder="1"/>
    <xf numFmtId="37" fontId="7" fillId="0" borderId="0" xfId="0" applyNumberFormat="1" applyFont="1" applyBorder="1"/>
    <xf numFmtId="37" fontId="8" fillId="0" borderId="0" xfId="0" applyNumberFormat="1" applyFont="1" applyFill="1" applyBorder="1" applyAlignment="1">
      <alignment horizontal="right"/>
    </xf>
    <xf numFmtId="37" fontId="0" fillId="0" borderId="0" xfId="0" applyNumberFormat="1" applyFont="1" applyBorder="1"/>
    <xf numFmtId="14" fontId="8" fillId="0" borderId="0" xfId="0" applyNumberFormat="1" applyFont="1" applyFill="1" applyBorder="1" applyAlignment="1">
      <alignment horizontal="right"/>
    </xf>
    <xf numFmtId="37" fontId="7" fillId="0" borderId="0" xfId="0" applyNumberFormat="1" applyFont="1" applyFill="1" applyBorder="1"/>
    <xf numFmtId="37" fontId="2" fillId="0" borderId="2" xfId="0" applyNumberFormat="1" applyFont="1" applyBorder="1"/>
    <xf numFmtId="37" fontId="5" fillId="0" borderId="2" xfId="0" applyNumberFormat="1" applyFont="1" applyBorder="1"/>
    <xf numFmtId="37" fontId="0" fillId="0" borderId="2" xfId="0" applyNumberFormat="1" applyFont="1" applyBorder="1"/>
    <xf numFmtId="164" fontId="2" fillId="0" borderId="0" xfId="0" applyNumberFormat="1" applyFont="1" applyBorder="1"/>
    <xf numFmtId="165" fontId="2" fillId="0" borderId="0" xfId="0" applyNumberFormat="1" applyFont="1" applyBorder="1"/>
    <xf numFmtId="37" fontId="6" fillId="0" borderId="2" xfId="0" applyNumberFormat="1" applyFont="1" applyBorder="1"/>
    <xf numFmtId="14" fontId="11" fillId="0" borderId="2" xfId="0" applyNumberFormat="1" applyFont="1" applyBorder="1"/>
    <xf numFmtId="14" fontId="6" fillId="0" borderId="2" xfId="0" applyNumberFormat="1" applyFont="1" applyBorder="1"/>
    <xf numFmtId="37" fontId="2" fillId="0" borderId="0" xfId="0" applyNumberFormat="1" applyFont="1" applyBorder="1"/>
    <xf numFmtId="37" fontId="0" fillId="0" borderId="0" xfId="0" applyNumberFormat="1" applyFont="1" applyFill="1" applyBorder="1"/>
    <xf numFmtId="37" fontId="0" fillId="0" borderId="0" xfId="0" applyNumberFormat="1" applyFont="1"/>
    <xf numFmtId="37" fontId="2" fillId="0" borderId="0" xfId="0" applyNumberFormat="1" applyFont="1"/>
    <xf numFmtId="37" fontId="12" fillId="0" borderId="0" xfId="0" applyNumberFormat="1" applyFont="1"/>
    <xf numFmtId="37" fontId="0" fillId="0" borderId="0" xfId="0" applyNumberFormat="1" applyFont="1" applyBorder="1" applyAlignment="1">
      <alignment horizontal="left" indent="1"/>
    </xf>
    <xf numFmtId="37" fontId="0" fillId="0" borderId="0" xfId="0" applyNumberFormat="1" applyFont="1" applyFill="1" applyBorder="1" applyAlignment="1">
      <alignment horizontal="left" indent="1"/>
    </xf>
    <xf numFmtId="0" fontId="12" fillId="0" borderId="0" xfId="0" applyFont="1" applyFill="1" applyBorder="1"/>
    <xf numFmtId="0" fontId="0" fillId="0" borderId="0" xfId="0" applyFont="1" applyAlignment="1">
      <alignment horizontal="left" indent="1"/>
    </xf>
    <xf numFmtId="0" fontId="2" fillId="0" borderId="0" xfId="0" applyFont="1" applyAlignment="1">
      <alignment horizontal="left" indent="1"/>
    </xf>
    <xf numFmtId="3" fontId="0" fillId="0" borderId="0" xfId="0" applyNumberFormat="1"/>
    <xf numFmtId="0" fontId="2" fillId="0" borderId="0" xfId="0" applyFont="1"/>
    <xf numFmtId="39" fontId="2" fillId="0" borderId="0" xfId="0" applyNumberFormat="1" applyFont="1"/>
    <xf numFmtId="43" fontId="0" fillId="0" borderId="0" xfId="1" applyFont="1"/>
    <xf numFmtId="9" fontId="0" fillId="0" borderId="0" xfId="0" applyNumberFormat="1"/>
    <xf numFmtId="166" fontId="0" fillId="0" borderId="0" xfId="0" applyNumberFormat="1"/>
    <xf numFmtId="0" fontId="13" fillId="0" borderId="3" xfId="0" applyFont="1" applyBorder="1"/>
    <xf numFmtId="0" fontId="15" fillId="0" borderId="3" xfId="2" applyFont="1" applyBorder="1"/>
    <xf numFmtId="0" fontId="15" fillId="0" borderId="4" xfId="2" applyFont="1" applyFill="1" applyBorder="1"/>
    <xf numFmtId="0" fontId="15" fillId="0" borderId="0" xfId="2" applyFont="1" applyBorder="1"/>
    <xf numFmtId="0" fontId="16" fillId="0" borderId="0" xfId="2" applyFont="1" applyFill="1" applyBorder="1" applyAlignment="1">
      <alignment horizontal="centerContinuous"/>
    </xf>
    <xf numFmtId="0" fontId="15" fillId="0" borderId="0" xfId="2" applyFont="1" applyFill="1" applyBorder="1" applyAlignment="1">
      <alignment horizontal="centerContinuous"/>
    </xf>
    <xf numFmtId="0" fontId="16" fillId="0" borderId="5" xfId="2" applyFont="1" applyFill="1" applyBorder="1"/>
    <xf numFmtId="1" fontId="16" fillId="0" borderId="5" xfId="2" applyNumberFormat="1" applyFont="1" applyFill="1" applyBorder="1" applyAlignment="1">
      <alignment horizontal="center"/>
    </xf>
    <xf numFmtId="0" fontId="15" fillId="0" borderId="0" xfId="2" applyFont="1" applyFill="1" applyBorder="1" applyAlignment="1">
      <alignment horizontal="left"/>
    </xf>
    <xf numFmtId="0" fontId="15" fillId="0" borderId="0" xfId="2" applyNumberFormat="1" applyFont="1" applyFill="1" applyBorder="1" applyAlignment="1">
      <alignment horizontal="right"/>
    </xf>
    <xf numFmtId="167" fontId="15" fillId="0" borderId="0" xfId="3" applyFont="1" applyFill="1"/>
    <xf numFmtId="167" fontId="15" fillId="0" borderId="0" xfId="3" applyFont="1" applyFill="1" applyBorder="1" applyAlignment="1">
      <alignment horizontal="left"/>
    </xf>
    <xf numFmtId="8" fontId="18" fillId="0" borderId="0" xfId="3" applyNumberFormat="1" applyFont="1" applyFill="1" applyBorder="1" applyAlignment="1" applyProtection="1">
      <alignment horizontal="right"/>
    </xf>
    <xf numFmtId="167" fontId="15" fillId="0" borderId="0" xfId="3" applyFont="1" applyFill="1" applyAlignment="1">
      <alignment horizontal="left"/>
    </xf>
    <xf numFmtId="0" fontId="15" fillId="0" borderId="0" xfId="2" applyFont="1"/>
    <xf numFmtId="1" fontId="19" fillId="0" borderId="5" xfId="2" applyNumberFormat="1" applyFont="1" applyFill="1" applyBorder="1" applyAlignment="1">
      <alignment horizontal="center"/>
    </xf>
    <xf numFmtId="0" fontId="16" fillId="0" borderId="0" xfId="2" applyFont="1" applyFill="1" applyBorder="1"/>
    <xf numFmtId="1" fontId="19" fillId="0" borderId="0" xfId="2" applyNumberFormat="1" applyFont="1" applyFill="1" applyBorder="1" applyAlignment="1">
      <alignment horizontal="center"/>
    </xf>
    <xf numFmtId="167" fontId="16" fillId="0" borderId="0" xfId="3" applyFont="1" applyFill="1" applyBorder="1"/>
    <xf numFmtId="167" fontId="16" fillId="0" borderId="0" xfId="3" quotePrefix="1" applyNumberFormat="1" applyFont="1" applyFill="1" applyBorder="1" applyAlignment="1" applyProtection="1">
      <alignment horizontal="center"/>
    </xf>
    <xf numFmtId="8" fontId="18" fillId="0" borderId="0" xfId="3" applyNumberFormat="1" applyFont="1" applyFill="1" applyAlignment="1" applyProtection="1">
      <alignment horizontal="right"/>
    </xf>
    <xf numFmtId="0" fontId="20" fillId="0" borderId="0" xfId="2" applyFont="1" applyFill="1" applyBorder="1"/>
    <xf numFmtId="9" fontId="20" fillId="2" borderId="0" xfId="2" applyNumberFormat="1" applyFont="1" applyFill="1"/>
    <xf numFmtId="0" fontId="15" fillId="0" borderId="0" xfId="2" applyFont="1" applyFill="1"/>
    <xf numFmtId="167" fontId="16" fillId="0" borderId="0" xfId="3" applyFont="1" applyFill="1" applyBorder="1" applyAlignment="1">
      <alignment horizontal="left"/>
    </xf>
    <xf numFmtId="8" fontId="15" fillId="0" borderId="0" xfId="3" applyNumberFormat="1" applyFont="1" applyFill="1" applyBorder="1" applyAlignment="1">
      <alignment horizontal="center"/>
    </xf>
    <xf numFmtId="0" fontId="2" fillId="0" borderId="2" xfId="0" applyFont="1" applyBorder="1"/>
    <xf numFmtId="14" fontId="20" fillId="0" borderId="2" xfId="0" applyNumberFormat="1" applyFont="1" applyBorder="1"/>
    <xf numFmtId="0" fontId="0" fillId="0" borderId="0" xfId="0" applyFont="1"/>
    <xf numFmtId="0" fontId="0" fillId="0" borderId="0" xfId="0" applyAlignment="1">
      <alignment horizontal="left" indent="1"/>
    </xf>
    <xf numFmtId="0" fontId="6" fillId="0" borderId="0" xfId="0" applyFont="1" applyAlignment="1">
      <alignment horizontal="left" indent="1"/>
    </xf>
    <xf numFmtId="0" fontId="21" fillId="0" borderId="4" xfId="4" applyFont="1" applyFill="1" applyBorder="1"/>
    <xf numFmtId="0" fontId="15" fillId="0" borderId="4" xfId="4" applyFont="1" applyFill="1" applyBorder="1"/>
    <xf numFmtId="0" fontId="15" fillId="0" borderId="0" xfId="4" applyFont="1"/>
    <xf numFmtId="167" fontId="15" fillId="0" borderId="0" xfId="3" applyFont="1" applyFill="1" applyAlignment="1">
      <alignment horizontal="center"/>
    </xf>
    <xf numFmtId="167" fontId="15" fillId="0" borderId="6" xfId="3" applyFont="1" applyFill="1" applyBorder="1"/>
    <xf numFmtId="167" fontId="8" fillId="0" borderId="7" xfId="3" applyFont="1" applyFill="1" applyBorder="1"/>
    <xf numFmtId="0" fontId="16" fillId="0" borderId="4" xfId="0" applyFont="1" applyFill="1" applyBorder="1"/>
    <xf numFmtId="0" fontId="15" fillId="0" borderId="4" xfId="0" applyFont="1" applyFill="1" applyBorder="1"/>
    <xf numFmtId="0" fontId="16" fillId="0" borderId="4" xfId="4" applyFont="1" applyFill="1" applyBorder="1"/>
    <xf numFmtId="167" fontId="16" fillId="0" borderId="8" xfId="3" applyFont="1" applyFill="1" applyBorder="1" applyAlignment="1">
      <alignment horizontal="center"/>
    </xf>
    <xf numFmtId="0" fontId="22" fillId="0" borderId="5" xfId="0" applyFont="1" applyFill="1" applyBorder="1" applyAlignment="1" applyProtection="1"/>
    <xf numFmtId="167" fontId="15" fillId="0" borderId="0" xfId="3" applyFont="1" applyFill="1" applyAlignment="1"/>
    <xf numFmtId="167" fontId="16" fillId="0" borderId="0" xfId="3" applyFont="1" applyFill="1"/>
    <xf numFmtId="169" fontId="8" fillId="0" borderId="0" xfId="5" applyNumberFormat="1" applyFont="1" applyFill="1" applyAlignment="1" applyProtection="1">
      <alignment horizontal="right"/>
    </xf>
    <xf numFmtId="0" fontId="16" fillId="0" borderId="0" xfId="0" applyFont="1" applyFill="1" applyAlignment="1" applyProtection="1"/>
    <xf numFmtId="0" fontId="22" fillId="0" borderId="0" xfId="0" applyFont="1" applyFill="1" applyAlignment="1" applyProtection="1">
      <alignment horizontal="right"/>
    </xf>
    <xf numFmtId="167" fontId="15" fillId="0" borderId="0" xfId="3" applyFont="1" applyFill="1" applyAlignment="1">
      <alignment horizontal="left" indent="2"/>
    </xf>
    <xf numFmtId="170" fontId="8" fillId="0" borderId="0" xfId="5" applyNumberFormat="1" applyFont="1" applyFill="1" applyAlignment="1" applyProtection="1">
      <alignment horizontal="right"/>
    </xf>
    <xf numFmtId="0" fontId="20" fillId="0" borderId="0" xfId="0" applyFont="1" applyFill="1" applyAlignment="1" applyProtection="1"/>
    <xf numFmtId="0" fontId="22" fillId="0" borderId="0" xfId="0" applyFont="1" applyFill="1" applyAlignment="1" applyProtection="1">
      <alignment horizontal="left" indent="1"/>
    </xf>
    <xf numFmtId="0" fontId="23" fillId="0" borderId="0" xfId="0" applyFont="1" applyFill="1" applyAlignment="1" applyProtection="1"/>
    <xf numFmtId="171" fontId="15" fillId="0" borderId="0" xfId="0" applyNumberFormat="1" applyFont="1" applyFill="1" applyAlignment="1" applyProtection="1">
      <alignment horizontal="right"/>
    </xf>
    <xf numFmtId="167" fontId="15" fillId="0" borderId="2" xfId="3" applyFont="1" applyFill="1" applyBorder="1" applyAlignment="1">
      <alignment horizontal="left" indent="2"/>
    </xf>
    <xf numFmtId="170" fontId="8" fillId="0" borderId="2" xfId="5" applyNumberFormat="1" applyFont="1" applyFill="1" applyBorder="1" applyAlignment="1" applyProtection="1">
      <alignment horizontal="right"/>
    </xf>
    <xf numFmtId="172" fontId="15" fillId="0" borderId="0" xfId="0" applyNumberFormat="1" applyFont="1" applyFill="1" applyAlignment="1" applyProtection="1">
      <alignment horizontal="right"/>
    </xf>
    <xf numFmtId="170" fontId="15" fillId="0" borderId="0" xfId="5" applyNumberFormat="1" applyFont="1" applyFill="1" applyAlignment="1" applyProtection="1">
      <alignment horizontal="right"/>
    </xf>
    <xf numFmtId="167" fontId="15" fillId="0" borderId="9" xfId="3" applyFont="1" applyFill="1" applyBorder="1" applyAlignment="1">
      <alignment horizontal="left" indent="2"/>
    </xf>
    <xf numFmtId="170" fontId="8" fillId="0" borderId="9" xfId="5" applyNumberFormat="1" applyFont="1" applyFill="1" applyBorder="1" applyAlignment="1" applyProtection="1">
      <alignment horizontal="right"/>
    </xf>
    <xf numFmtId="170" fontId="16" fillId="0" borderId="0" xfId="5" applyNumberFormat="1" applyFont="1" applyFill="1" applyBorder="1" applyAlignment="1" applyProtection="1">
      <alignment horizontal="right"/>
    </xf>
    <xf numFmtId="173" fontId="15" fillId="0" borderId="0" xfId="5" applyNumberFormat="1" applyFont="1" applyFill="1" applyBorder="1" applyAlignment="1" applyProtection="1">
      <alignment horizontal="right"/>
    </xf>
    <xf numFmtId="171" fontId="8" fillId="0" borderId="0" xfId="0" applyNumberFormat="1" applyFont="1" applyFill="1" applyAlignment="1" applyProtection="1">
      <alignment horizontal="right"/>
    </xf>
    <xf numFmtId="167" fontId="15" fillId="0" borderId="0" xfId="3" applyFont="1" applyFill="1" applyBorder="1" applyAlignment="1"/>
    <xf numFmtId="0" fontId="15" fillId="0" borderId="0" xfId="0" applyFont="1" applyAlignment="1"/>
    <xf numFmtId="0" fontId="15" fillId="0" borderId="0" xfId="0" applyFont="1" applyFill="1" applyAlignment="1" applyProtection="1">
      <alignment horizontal="left" indent="1"/>
    </xf>
    <xf numFmtId="168" fontId="15" fillId="0" borderId="0" xfId="5" applyNumberFormat="1" applyFont="1" applyFill="1" applyAlignment="1" applyProtection="1">
      <alignment horizontal="right"/>
    </xf>
    <xf numFmtId="169" fontId="15" fillId="0" borderId="0" xfId="5" applyNumberFormat="1" applyFont="1" applyFill="1" applyAlignment="1" applyProtection="1">
      <alignment horizontal="right"/>
    </xf>
    <xf numFmtId="171" fontId="15" fillId="0" borderId="0" xfId="5" applyNumberFormat="1" applyFont="1" applyFill="1" applyAlignment="1" applyProtection="1">
      <alignment horizontal="right"/>
    </xf>
    <xf numFmtId="171" fontId="15" fillId="0" borderId="2" xfId="5" applyNumberFormat="1" applyFont="1" applyFill="1" applyBorder="1" applyAlignment="1" applyProtection="1">
      <alignment horizontal="right"/>
    </xf>
    <xf numFmtId="37" fontId="8" fillId="0" borderId="0" xfId="0" applyNumberFormat="1" applyFont="1"/>
    <xf numFmtId="167" fontId="15" fillId="0" borderId="10" xfId="3" applyFont="1" applyFill="1" applyBorder="1" applyAlignment="1">
      <alignment horizontal="left"/>
    </xf>
    <xf numFmtId="170" fontId="15" fillId="0" borderId="10" xfId="5" applyNumberFormat="1" applyFont="1" applyFill="1" applyBorder="1" applyAlignment="1" applyProtection="1">
      <alignment horizontal="right"/>
    </xf>
    <xf numFmtId="9" fontId="8" fillId="0" borderId="0" xfId="0" applyNumberFormat="1" applyFont="1"/>
    <xf numFmtId="0" fontId="8" fillId="0" borderId="0" xfId="0" applyFont="1"/>
    <xf numFmtId="9" fontId="6" fillId="0" borderId="0" xfId="0" applyNumberFormat="1" applyFont="1"/>
    <xf numFmtId="0" fontId="2" fillId="0" borderId="0" xfId="0" applyFont="1" applyAlignment="1">
      <alignment horizontal="left"/>
    </xf>
    <xf numFmtId="0" fontId="22" fillId="0" borderId="0" xfId="0" applyFont="1" applyFill="1" applyBorder="1" applyAlignment="1" applyProtection="1">
      <alignment horizontal="left" indent="1"/>
    </xf>
    <xf numFmtId="171" fontId="8" fillId="0" borderId="0" xfId="0" applyNumberFormat="1" applyFont="1" applyFill="1" applyBorder="1" applyAlignment="1" applyProtection="1">
      <alignment horizontal="right"/>
    </xf>
    <xf numFmtId="167" fontId="16" fillId="0" borderId="0" xfId="3" applyFont="1" applyFill="1" applyAlignment="1"/>
    <xf numFmtId="0" fontId="23" fillId="0" borderId="10" xfId="0" applyFont="1" applyFill="1" applyBorder="1" applyAlignment="1" applyProtection="1"/>
    <xf numFmtId="167" fontId="20" fillId="0" borderId="0" xfId="3" applyFont="1" applyFill="1" applyAlignment="1"/>
    <xf numFmtId="4" fontId="0" fillId="0" borderId="0" xfId="0" applyNumberFormat="1"/>
    <xf numFmtId="3" fontId="8" fillId="0" borderId="0" xfId="0" applyNumberFormat="1" applyFont="1"/>
    <xf numFmtId="171" fontId="16" fillId="0" borderId="0" xfId="0" applyNumberFormat="1" applyFont="1" applyFill="1" applyAlignment="1" applyProtection="1">
      <alignment horizontal="right"/>
    </xf>
    <xf numFmtId="171" fontId="16" fillId="0" borderId="10" xfId="0" applyNumberFormat="1" applyFont="1" applyFill="1" applyBorder="1" applyAlignment="1" applyProtection="1">
      <alignment horizontal="right"/>
    </xf>
    <xf numFmtId="9" fontId="16" fillId="0" borderId="10" xfId="0" applyNumberFormat="1" applyFont="1" applyFill="1" applyBorder="1" applyAlignment="1" applyProtection="1">
      <alignment horizontal="right"/>
    </xf>
    <xf numFmtId="0" fontId="6" fillId="0" borderId="0" xfId="0" applyFont="1" applyAlignment="1">
      <alignment horizontal="left" indent="2"/>
    </xf>
    <xf numFmtId="0" fontId="6" fillId="0" borderId="0" xfId="0" applyFont="1" applyAlignment="1">
      <alignment horizontal="left"/>
    </xf>
    <xf numFmtId="0" fontId="6" fillId="0" borderId="0" xfId="0" applyFont="1"/>
    <xf numFmtId="0" fontId="16" fillId="0" borderId="10" xfId="0" applyFont="1" applyFill="1" applyBorder="1" applyAlignment="1" applyProtection="1">
      <alignment horizontal="left"/>
    </xf>
    <xf numFmtId="171" fontId="15" fillId="0" borderId="0" xfId="0" applyNumberFormat="1" applyFont="1" applyFill="1" applyBorder="1" applyAlignment="1" applyProtection="1">
      <alignment horizontal="right"/>
    </xf>
    <xf numFmtId="0" fontId="15" fillId="0" borderId="0" xfId="0" applyFont="1" applyFill="1" applyBorder="1" applyAlignment="1" applyProtection="1">
      <alignment horizontal="left" indent="1"/>
    </xf>
    <xf numFmtId="0" fontId="2" fillId="0" borderId="10" xfId="0" applyFont="1" applyBorder="1" applyAlignment="1">
      <alignment horizontal="left"/>
    </xf>
    <xf numFmtId="171" fontId="2" fillId="0" borderId="10" xfId="0" applyNumberFormat="1" applyFont="1" applyBorder="1"/>
    <xf numFmtId="0" fontId="6" fillId="3" borderId="0" xfId="0" applyFont="1" applyFill="1" applyAlignment="1">
      <alignment horizontal="left" indent="2"/>
    </xf>
    <xf numFmtId="3" fontId="11" fillId="3" borderId="0" xfId="0" applyNumberFormat="1" applyFont="1" applyFill="1"/>
    <xf numFmtId="0" fontId="20" fillId="0" borderId="2" xfId="0" applyFont="1" applyFill="1" applyBorder="1" applyAlignment="1" applyProtection="1">
      <alignment horizontal="left" indent="2"/>
    </xf>
    <xf numFmtId="9" fontId="11" fillId="0" borderId="0" xfId="0" applyNumberFormat="1" applyFont="1"/>
    <xf numFmtId="166" fontId="20" fillId="0" borderId="2" xfId="0" applyNumberFormat="1" applyFont="1" applyFill="1" applyBorder="1" applyAlignment="1" applyProtection="1">
      <alignment horizontal="right"/>
    </xf>
    <xf numFmtId="166" fontId="11" fillId="0" borderId="0" xfId="0" applyNumberFormat="1" applyFont="1"/>
    <xf numFmtId="10" fontId="0" fillId="0" borderId="0" xfId="0" applyNumberFormat="1"/>
    <xf numFmtId="10" fontId="6" fillId="0" borderId="0" xfId="0" applyNumberFormat="1" applyFont="1"/>
    <xf numFmtId="10" fontId="11" fillId="0" borderId="0" xfId="0" applyNumberFormat="1" applyFont="1"/>
    <xf numFmtId="3" fontId="0" fillId="0" borderId="0" xfId="0" applyNumberFormat="1" applyAlignment="1">
      <alignment horizontal="right" indent="1"/>
    </xf>
    <xf numFmtId="10" fontId="8" fillId="0" borderId="0" xfId="0" applyNumberFormat="1" applyFont="1"/>
    <xf numFmtId="166" fontId="6" fillId="0" borderId="0" xfId="0" applyNumberFormat="1" applyFont="1"/>
    <xf numFmtId="0" fontId="20" fillId="0" borderId="0" xfId="2" applyFont="1"/>
    <xf numFmtId="166" fontId="15" fillId="0" borderId="0" xfId="2" applyNumberFormat="1" applyFont="1"/>
    <xf numFmtId="0" fontId="0" fillId="0" borderId="0" xfId="0" applyAlignment="1">
      <alignment horizontal="left"/>
    </xf>
    <xf numFmtId="8" fontId="0" fillId="0" borderId="0" xfId="0" applyNumberFormat="1"/>
    <xf numFmtId="8" fontId="8" fillId="0" borderId="0" xfId="0" applyNumberFormat="1" applyFont="1"/>
    <xf numFmtId="9" fontId="16" fillId="0" borderId="0" xfId="3" quotePrefix="1" applyNumberFormat="1" applyFont="1" applyFill="1" applyBorder="1" applyAlignment="1" applyProtection="1">
      <alignment horizontal="center"/>
    </xf>
    <xf numFmtId="14" fontId="6" fillId="0" borderId="0" xfId="0" applyNumberFormat="1" applyFont="1"/>
    <xf numFmtId="0" fontId="0" fillId="0" borderId="2" xfId="0" applyFont="1" applyBorder="1"/>
    <xf numFmtId="0" fontId="0" fillId="0" borderId="0" xfId="0" applyFont="1" applyBorder="1"/>
    <xf numFmtId="0" fontId="0" fillId="0" borderId="0" xfId="0" applyFont="1" applyFill="1" applyBorder="1"/>
    <xf numFmtId="0" fontId="0" fillId="0" borderId="0" xfId="0" applyFont="1" applyFill="1" applyBorder="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6" fillId="0" borderId="0" xfId="0" applyFont="1" applyBorder="1"/>
    <xf numFmtId="3" fontId="2" fillId="0" borderId="0" xfId="0" applyNumberFormat="1" applyFont="1"/>
    <xf numFmtId="3" fontId="6" fillId="0" borderId="0" xfId="0" applyNumberFormat="1" applyFont="1"/>
    <xf numFmtId="176" fontId="0" fillId="0" borderId="0" xfId="0" applyNumberFormat="1"/>
    <xf numFmtId="0" fontId="2" fillId="0" borderId="0" xfId="0" applyFont="1" applyBorder="1"/>
    <xf numFmtId="0" fontId="0" fillId="0" borderId="0" xfId="0" applyFont="1" applyBorder="1" applyAlignment="1">
      <alignment horizontal="left" indent="1"/>
    </xf>
    <xf numFmtId="0" fontId="0" fillId="0" borderId="0" xfId="0" quotePrefix="1" applyFont="1" applyBorder="1" applyAlignment="1">
      <alignment horizontal="left" indent="1"/>
    </xf>
    <xf numFmtId="0" fontId="0" fillId="0" borderId="0" xfId="0" applyFont="1" applyFill="1" applyBorder="1" applyAlignment="1">
      <alignment horizontal="left" indent="1"/>
    </xf>
    <xf numFmtId="177" fontId="0" fillId="0" borderId="0" xfId="0" applyNumberFormat="1"/>
    <xf numFmtId="178" fontId="0" fillId="0" borderId="0" xfId="0" applyNumberFormat="1"/>
    <xf numFmtId="166" fontId="8" fillId="0" borderId="0" xfId="0" applyNumberFormat="1" applyFont="1"/>
    <xf numFmtId="0" fontId="2" fillId="0" borderId="0" xfId="0" applyFont="1" applyFill="1" applyBorder="1"/>
    <xf numFmtId="2" fontId="0" fillId="0" borderId="0" xfId="0" applyNumberFormat="1"/>
    <xf numFmtId="3" fontId="15" fillId="0" borderId="0" xfId="0" applyNumberFormat="1" applyFont="1"/>
    <xf numFmtId="43" fontId="8" fillId="0" borderId="0" xfId="1" applyFont="1"/>
    <xf numFmtId="39" fontId="8" fillId="0" borderId="0" xfId="0" applyNumberFormat="1" applyFont="1"/>
    <xf numFmtId="0" fontId="2" fillId="0" borderId="0" xfId="0" applyFont="1" applyFill="1" applyBorder="1" applyAlignment="1">
      <alignment horizontal="left"/>
    </xf>
    <xf numFmtId="43" fontId="0" fillId="0" borderId="0" xfId="0" applyNumberFormat="1"/>
    <xf numFmtId="37" fontId="15" fillId="0" borderId="0" xfId="0" applyNumberFormat="1" applyFont="1"/>
    <xf numFmtId="0" fontId="12" fillId="0" borderId="0" xfId="0" applyFont="1" applyBorder="1"/>
    <xf numFmtId="0" fontId="2" fillId="0" borderId="0" xfId="0" applyFont="1" applyBorder="1" applyAlignment="1">
      <alignment horizontal="left" indent="1"/>
    </xf>
    <xf numFmtId="0" fontId="0" fillId="0" borderId="0" xfId="0" quotePrefix="1" applyFont="1" applyBorder="1"/>
    <xf numFmtId="179" fontId="0" fillId="0" borderId="0" xfId="0" applyNumberFormat="1"/>
    <xf numFmtId="0" fontId="3" fillId="0" borderId="1" xfId="0" applyFont="1" applyBorder="1"/>
    <xf numFmtId="0" fontId="0" fillId="0" borderId="1" xfId="0" applyFont="1" applyBorder="1"/>
    <xf numFmtId="0" fontId="24" fillId="0" borderId="3" xfId="0" applyNumberFormat="1" applyFont="1" applyFill="1" applyBorder="1" applyAlignment="1"/>
    <xf numFmtId="0" fontId="0" fillId="0" borderId="3" xfId="0" applyFont="1" applyBorder="1"/>
    <xf numFmtId="175" fontId="25" fillId="0" borderId="0" xfId="0" applyNumberFormat="1" applyFont="1"/>
    <xf numFmtId="14" fontId="0" fillId="0" borderId="0" xfId="0" applyNumberFormat="1" applyFont="1"/>
    <xf numFmtId="14" fontId="0" fillId="0" borderId="0" xfId="0" applyNumberFormat="1"/>
    <xf numFmtId="180" fontId="8" fillId="0" borderId="0" xfId="0" applyNumberFormat="1" applyFont="1"/>
    <xf numFmtId="166" fontId="7" fillId="0" borderId="0" xfId="0" applyNumberFormat="1" applyFont="1"/>
    <xf numFmtId="14" fontId="2" fillId="0" borderId="3" xfId="0" applyNumberFormat="1" applyFont="1" applyBorder="1"/>
    <xf numFmtId="181" fontId="2" fillId="0" borderId="0" xfId="0" applyNumberFormat="1" applyFont="1" applyBorder="1"/>
    <xf numFmtId="182" fontId="2" fillId="0" borderId="0" xfId="0" applyNumberFormat="1" applyFont="1" applyBorder="1"/>
    <xf numFmtId="0" fontId="6" fillId="0" borderId="2" xfId="0" applyFont="1" applyBorder="1"/>
    <xf numFmtId="183" fontId="4" fillId="0" borderId="2" xfId="0" applyNumberFormat="1" applyFont="1" applyBorder="1"/>
    <xf numFmtId="184" fontId="0" fillId="0" borderId="0" xfId="0" applyNumberFormat="1" applyFont="1"/>
    <xf numFmtId="37" fontId="25" fillId="0" borderId="0" xfId="0" applyNumberFormat="1" applyFont="1"/>
    <xf numFmtId="184" fontId="26" fillId="0" borderId="0" xfId="0" applyNumberFormat="1" applyFont="1"/>
    <xf numFmtId="37" fontId="19" fillId="0" borderId="0" xfId="0" applyNumberFormat="1" applyFont="1"/>
    <xf numFmtId="185" fontId="8" fillId="0" borderId="0" xfId="0" applyNumberFormat="1" applyFont="1" applyFill="1" applyBorder="1" applyAlignment="1">
      <alignment horizontal="right"/>
    </xf>
    <xf numFmtId="184" fontId="0" fillId="0" borderId="0" xfId="0" applyNumberFormat="1"/>
    <xf numFmtId="0" fontId="0" fillId="0" borderId="0" xfId="0" applyFont="1" applyAlignment="1">
      <alignment horizontal="left"/>
    </xf>
    <xf numFmtId="174" fontId="0" fillId="0" borderId="0" xfId="0" applyNumberFormat="1" applyFont="1"/>
    <xf numFmtId="0" fontId="27" fillId="4" borderId="11" xfId="0" applyFont="1" applyFill="1" applyBorder="1" applyAlignment="1">
      <alignment horizontal="center"/>
    </xf>
    <xf numFmtId="166" fontId="28" fillId="0" borderId="12" xfId="0" applyNumberFormat="1" applyFont="1" applyBorder="1" applyAlignment="1">
      <alignment horizontal="center"/>
    </xf>
    <xf numFmtId="186" fontId="0" fillId="0" borderId="0" xfId="0" applyNumberFormat="1" applyFont="1"/>
    <xf numFmtId="172" fontId="0" fillId="0" borderId="0" xfId="0" applyNumberFormat="1" applyFont="1"/>
    <xf numFmtId="37" fontId="2" fillId="0" borderId="0" xfId="0" applyNumberFormat="1" applyFont="1" applyFill="1" applyBorder="1" applyAlignment="1">
      <alignment vertical="center"/>
    </xf>
    <xf numFmtId="0" fontId="2" fillId="0" borderId="3" xfId="0" applyFont="1" applyBorder="1"/>
    <xf numFmtId="37" fontId="7" fillId="0" borderId="0" xfId="0" applyNumberFormat="1" applyFont="1"/>
    <xf numFmtId="187" fontId="8" fillId="0" borderId="0" xfId="0" applyNumberFormat="1" applyFont="1"/>
    <xf numFmtId="188" fontId="0" fillId="0" borderId="0" xfId="0" applyNumberFormat="1" applyFont="1"/>
    <xf numFmtId="189" fontId="8" fillId="0" borderId="0" xfId="0" applyNumberFormat="1" applyFont="1"/>
    <xf numFmtId="0" fontId="6" fillId="0" borderId="0" xfId="0" applyFont="1" applyFill="1" applyBorder="1"/>
    <xf numFmtId="190" fontId="6" fillId="0" borderId="0" xfId="0" applyNumberFormat="1" applyFont="1"/>
    <xf numFmtId="187" fontId="6" fillId="0" borderId="0" xfId="0" applyNumberFormat="1" applyFont="1"/>
    <xf numFmtId="188" fontId="6" fillId="0" borderId="0" xfId="0" applyNumberFormat="1" applyFont="1"/>
    <xf numFmtId="0" fontId="0" fillId="0" borderId="3" xfId="0" applyBorder="1"/>
    <xf numFmtId="0" fontId="30" fillId="0" borderId="0" xfId="0" applyFont="1" applyBorder="1"/>
    <xf numFmtId="180" fontId="0" fillId="0" borderId="0" xfId="0" applyNumberFormat="1"/>
    <xf numFmtId="175" fontId="2" fillId="0" borderId="0" xfId="0" applyNumberFormat="1" applyFont="1"/>
    <xf numFmtId="191" fontId="0" fillId="0" borderId="0" xfId="0" applyNumberFormat="1" applyFont="1"/>
    <xf numFmtId="0" fontId="15" fillId="0" borderId="0" xfId="0" applyNumberFormat="1" applyFont="1" applyFill="1" applyBorder="1" applyAlignment="1"/>
    <xf numFmtId="166" fontId="8" fillId="0" borderId="0" xfId="0" applyNumberFormat="1" applyFont="1" applyFill="1"/>
    <xf numFmtId="191" fontId="0" fillId="0" borderId="0" xfId="0" applyNumberFormat="1"/>
    <xf numFmtId="180" fontId="2" fillId="0" borderId="0" xfId="0" applyNumberFormat="1" applyFont="1"/>
    <xf numFmtId="0" fontId="31" fillId="0" borderId="0" xfId="0" applyFont="1" applyBorder="1" applyAlignment="1">
      <alignment horizontal="center" vertical="center"/>
    </xf>
    <xf numFmtId="39" fontId="7" fillId="0" borderId="0" xfId="0" applyNumberFormat="1" applyFont="1" applyFill="1"/>
    <xf numFmtId="39" fontId="8" fillId="0" borderId="0" xfId="0" applyNumberFormat="1" applyFont="1" applyFill="1"/>
    <xf numFmtId="0" fontId="27" fillId="4" borderId="12" xfId="0" applyFont="1" applyFill="1" applyBorder="1" applyAlignment="1">
      <alignment horizontal="center"/>
    </xf>
    <xf numFmtId="166" fontId="8" fillId="0" borderId="0" xfId="0" applyNumberFormat="1" applyFont="1" applyFill="1" applyBorder="1"/>
    <xf numFmtId="166" fontId="7" fillId="0" borderId="0" xfId="0" applyNumberFormat="1" applyFont="1" applyFill="1" applyBorder="1"/>
    <xf numFmtId="0" fontId="30" fillId="0" borderId="0" xfId="0" applyFont="1" applyAlignment="1">
      <alignment horizontal="right"/>
    </xf>
    <xf numFmtId="166" fontId="33" fillId="0" borderId="0" xfId="0" applyNumberFormat="1" applyFont="1" applyFill="1" applyBorder="1" applyAlignment="1">
      <alignment horizontal="right"/>
    </xf>
    <xf numFmtId="0" fontId="2" fillId="0" borderId="6" xfId="0" applyFont="1" applyBorder="1"/>
    <xf numFmtId="0" fontId="2" fillId="0" borderId="5" xfId="0" applyFont="1" applyBorder="1"/>
    <xf numFmtId="184" fontId="2" fillId="0" borderId="7" xfId="0" applyNumberFormat="1" applyFont="1" applyBorder="1"/>
    <xf numFmtId="181" fontId="19" fillId="0" borderId="0" xfId="0" applyNumberFormat="1" applyFont="1" applyBorder="1"/>
    <xf numFmtId="182" fontId="19" fillId="0" borderId="0" xfId="0" applyNumberFormat="1" applyFont="1" applyBorder="1"/>
    <xf numFmtId="0" fontId="2" fillId="0" borderId="13" xfId="0" applyFont="1" applyFill="1" applyBorder="1"/>
    <xf numFmtId="14" fontId="34" fillId="0" borderId="14" xfId="0" applyNumberFormat="1" applyFont="1" applyFill="1" applyBorder="1" applyAlignment="1">
      <alignment horizontal="right"/>
    </xf>
    <xf numFmtId="0" fontId="0" fillId="0" borderId="0" xfId="0" applyFont="1" applyBorder="1" applyAlignment="1">
      <alignment horizontal="left" indent="2"/>
    </xf>
    <xf numFmtId="166" fontId="35" fillId="0" borderId="0" xfId="2" applyNumberFormat="1" applyFont="1"/>
    <xf numFmtId="166" fontId="35" fillId="0" borderId="0" xfId="0" applyNumberFormat="1" applyFont="1"/>
    <xf numFmtId="184" fontId="0" fillId="0" borderId="0" xfId="0" applyNumberFormat="1" applyFont="1" applyBorder="1"/>
  </cellXfs>
  <cellStyles count="6">
    <cellStyle name="Comma" xfId="1" builtinId="3"/>
    <cellStyle name="Comma 3" xfId="5"/>
    <cellStyle name="Normal" xfId="0" builtinId="0"/>
    <cellStyle name="Normal 2" xfId="4"/>
    <cellStyle name="Normal 3" xfId="2"/>
    <cellStyle name="Normal_OXY MS model"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makaramlou/Desktop/Corporate%20Folder/Modeling%20Material/Course-Download-Kit/Models%20and%20Exercises/8_Industry_Beta_Do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tatement Model"/>
      <sheetName val="DCF"/>
      <sheetName val="52wkHL"/>
    </sheetNames>
    <sheetDataSet>
      <sheetData sheetId="0">
        <row r="14">
          <cell r="C14">
            <v>40810</v>
          </cell>
          <cell r="D14">
            <v>41181</v>
          </cell>
          <cell r="E14">
            <v>41545</v>
          </cell>
          <cell r="F14">
            <v>41912</v>
          </cell>
          <cell r="G14">
            <v>42277</v>
          </cell>
          <cell r="H14">
            <v>42643</v>
          </cell>
          <cell r="I14">
            <v>43008</v>
          </cell>
          <cell r="J14">
            <v>43373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23"/>
  <sheetViews>
    <sheetView topLeftCell="A311" workbookViewId="0">
      <selection activeCell="F321" sqref="F321"/>
    </sheetView>
  </sheetViews>
  <sheetFormatPr defaultRowHeight="14.4"/>
  <cols>
    <col min="1" max="1" width="1.77734375" customWidth="1"/>
    <col min="2" max="2" width="60.33203125" customWidth="1"/>
    <col min="3" max="3" width="19.21875" customWidth="1"/>
    <col min="4" max="4" width="11.6640625" customWidth="1"/>
    <col min="5" max="5" width="12.109375" customWidth="1"/>
    <col min="6" max="6" width="13.109375" customWidth="1"/>
    <col min="7" max="7" width="13.77734375" customWidth="1"/>
    <col min="8" max="8" width="12.5546875" customWidth="1"/>
    <col min="9" max="9" width="12.33203125" customWidth="1"/>
    <col min="10" max="10" width="13.5546875" customWidth="1"/>
  </cols>
  <sheetData>
    <row r="1" spans="1:15" ht="10.8" customHeight="1" thickBot="1"/>
    <row r="2" spans="1:15" ht="26.4" thickBot="1">
      <c r="B2" s="1" t="s">
        <v>6</v>
      </c>
      <c r="C2" s="2"/>
      <c r="D2" s="2"/>
      <c r="E2" s="2"/>
      <c r="F2" s="2"/>
      <c r="G2" s="2"/>
      <c r="H2" s="2"/>
      <c r="I2" s="2"/>
      <c r="J2" s="2"/>
      <c r="K2" s="2"/>
      <c r="L2" s="2"/>
      <c r="M2" s="2"/>
      <c r="N2" s="2"/>
      <c r="O2" s="2"/>
    </row>
    <row r="3" spans="1:15">
      <c r="B3" s="3" t="s">
        <v>7</v>
      </c>
      <c r="C3" s="4"/>
      <c r="D3" s="5"/>
      <c r="E3" s="5"/>
      <c r="F3" s="5"/>
      <c r="G3" s="5"/>
      <c r="H3" s="5"/>
      <c r="I3" s="5"/>
      <c r="J3" s="5"/>
    </row>
    <row r="4" spans="1:15">
      <c r="B4" s="6"/>
      <c r="C4" s="4"/>
      <c r="D4" s="5"/>
      <c r="E4" s="5"/>
      <c r="F4" s="5"/>
      <c r="G4" s="5"/>
      <c r="H4" s="5"/>
      <c r="I4" s="5"/>
      <c r="J4" s="5"/>
    </row>
    <row r="5" spans="1:15">
      <c r="B5" s="7" t="s">
        <v>0</v>
      </c>
      <c r="C5" s="8" t="s">
        <v>8</v>
      </c>
      <c r="D5" s="5"/>
      <c r="E5" s="5"/>
      <c r="F5" s="5"/>
      <c r="G5" s="5"/>
      <c r="H5" s="5"/>
      <c r="I5" s="5"/>
      <c r="J5" s="5"/>
    </row>
    <row r="6" spans="1:15">
      <c r="B6" s="7" t="s">
        <v>1</v>
      </c>
      <c r="C6" s="8" t="s">
        <v>9</v>
      </c>
      <c r="D6" s="5"/>
      <c r="E6" s="5"/>
      <c r="F6" s="5"/>
      <c r="G6" s="5"/>
      <c r="H6" s="5"/>
      <c r="I6" s="5"/>
      <c r="J6" s="5"/>
    </row>
    <row r="7" spans="1:15">
      <c r="B7" s="9" t="s">
        <v>2</v>
      </c>
      <c r="C7" s="196">
        <v>16.100000000000001</v>
      </c>
      <c r="D7" s="5"/>
      <c r="E7" s="5"/>
      <c r="F7" s="5"/>
      <c r="G7" s="5"/>
      <c r="H7" s="5"/>
      <c r="I7" s="5"/>
      <c r="J7" s="5"/>
    </row>
    <row r="8" spans="1:15">
      <c r="B8" s="7" t="s">
        <v>3</v>
      </c>
      <c r="C8" s="10">
        <v>42500</v>
      </c>
      <c r="D8" s="5"/>
      <c r="E8" s="5"/>
      <c r="F8" s="5"/>
      <c r="G8" s="5"/>
      <c r="H8" s="5"/>
      <c r="I8" s="5"/>
      <c r="J8" s="5"/>
    </row>
    <row r="9" spans="1:15">
      <c r="B9" s="7" t="s">
        <v>4</v>
      </c>
      <c r="C9" s="10">
        <v>42369</v>
      </c>
      <c r="D9" s="5"/>
      <c r="E9" s="5"/>
      <c r="F9" s="5"/>
      <c r="G9" s="5"/>
      <c r="H9" s="5"/>
      <c r="I9" s="5"/>
      <c r="J9" s="5"/>
    </row>
    <row r="10" spans="1:15">
      <c r="B10" s="11" t="s">
        <v>5</v>
      </c>
      <c r="C10" s="8" t="s">
        <v>293</v>
      </c>
      <c r="D10" s="5"/>
      <c r="E10" s="5"/>
      <c r="F10" s="5"/>
      <c r="G10" s="5"/>
      <c r="H10" s="5"/>
      <c r="I10" s="5"/>
      <c r="J10" s="5"/>
    </row>
    <row r="12" spans="1:15">
      <c r="A12" t="s">
        <v>112</v>
      </c>
      <c r="B12" s="12" t="s">
        <v>10</v>
      </c>
      <c r="C12" s="13"/>
      <c r="D12" s="14"/>
      <c r="E12" s="14"/>
      <c r="F12" s="14"/>
      <c r="G12" s="14"/>
      <c r="H12" s="14"/>
      <c r="I12" s="14"/>
      <c r="J12" s="14"/>
    </row>
    <row r="13" spans="1:15">
      <c r="B13" s="9" t="s">
        <v>11</v>
      </c>
      <c r="C13" s="15">
        <f>D13-1</f>
        <v>2013</v>
      </c>
      <c r="D13" s="15">
        <f>E13-1</f>
        <v>2014</v>
      </c>
      <c r="E13" s="15">
        <f>YEAR($C$9)</f>
        <v>2015</v>
      </c>
      <c r="F13" s="16">
        <f>E13+1</f>
        <v>2016</v>
      </c>
      <c r="G13" s="16">
        <f>F13+1</f>
        <v>2017</v>
      </c>
      <c r="H13" s="16">
        <f>G13+1</f>
        <v>2018</v>
      </c>
      <c r="I13" s="16">
        <f>H13+1</f>
        <v>2019</v>
      </c>
      <c r="J13" s="16">
        <f>I13+1</f>
        <v>2020</v>
      </c>
    </row>
    <row r="14" spans="1:15">
      <c r="B14" s="17" t="s">
        <v>12</v>
      </c>
      <c r="C14" s="18">
        <v>41639</v>
      </c>
      <c r="D14" s="18">
        <v>42004</v>
      </c>
      <c r="E14" s="19">
        <f>$C$9</f>
        <v>42369</v>
      </c>
      <c r="F14" s="19">
        <f>EOMONTH(E14,12)</f>
        <v>42735</v>
      </c>
      <c r="G14" s="19">
        <f>EOMONTH(F14,12)</f>
        <v>43100</v>
      </c>
      <c r="H14" s="19">
        <f>EOMONTH(G14,12)</f>
        <v>43465</v>
      </c>
      <c r="I14" s="19">
        <f>EOMONTH(H14,12)</f>
        <v>43830</v>
      </c>
      <c r="J14" s="19">
        <f>EOMONTH(I14,12)</f>
        <v>44196</v>
      </c>
    </row>
    <row r="16" spans="1:15">
      <c r="B16" s="9" t="s">
        <v>13</v>
      </c>
      <c r="C16" s="105">
        <v>17424</v>
      </c>
      <c r="D16" s="105">
        <v>17507</v>
      </c>
      <c r="E16" s="105">
        <v>11574</v>
      </c>
      <c r="F16" s="5">
        <f ca="1">F57</f>
        <v>9604.2245170296501</v>
      </c>
      <c r="G16" s="5">
        <f ca="1">G57</f>
        <v>10657.976597246334</v>
      </c>
      <c r="H16" s="5">
        <f t="shared" ref="G16:J16" ca="1" si="0">H57</f>
        <v>11696.259002602852</v>
      </c>
      <c r="I16" s="5">
        <f t="shared" ca="1" si="0"/>
        <v>13540.839062839266</v>
      </c>
      <c r="J16" s="5">
        <f t="shared" ca="1" si="0"/>
        <v>15369.633377273431</v>
      </c>
    </row>
    <row r="17" spans="2:10">
      <c r="B17" s="9" t="s">
        <v>14</v>
      </c>
      <c r="C17" s="105">
        <f>-16016+10</f>
        <v>-16006</v>
      </c>
      <c r="D17" s="105">
        <f>-15455+12</f>
        <v>-15443</v>
      </c>
      <c r="E17" s="105">
        <f>-11141+14</f>
        <v>-11127</v>
      </c>
      <c r="F17" s="5">
        <f ca="1">F18-F16</f>
        <v>-9148.023852470742</v>
      </c>
      <c r="G17" s="5">
        <f t="shared" ref="G17:J17" ca="1" si="1">G18-G16</f>
        <v>-9709.4166800914099</v>
      </c>
      <c r="H17" s="5">
        <f t="shared" ca="1" si="1"/>
        <v>-10468.151807329552</v>
      </c>
      <c r="I17" s="5">
        <f t="shared" ca="1" si="1"/>
        <v>-12051.346765926946</v>
      </c>
      <c r="J17" s="5">
        <f t="shared" ca="1" si="1"/>
        <v>-13755.821872659721</v>
      </c>
    </row>
    <row r="18" spans="2:10">
      <c r="B18" s="20" t="s">
        <v>15</v>
      </c>
      <c r="C18" s="23">
        <f>SUM(C16:C17)</f>
        <v>1418</v>
      </c>
      <c r="D18" s="23">
        <f t="shared" ref="D18:E18" si="2">SUM(D16:D17)</f>
        <v>2064</v>
      </c>
      <c r="E18" s="23">
        <f t="shared" si="2"/>
        <v>447</v>
      </c>
      <c r="F18" s="23">
        <f ca="1">F16*F39</f>
        <v>456.20066455890839</v>
      </c>
      <c r="G18" s="23">
        <f t="shared" ref="G18:J18" ca="1" si="3">G16*G39</f>
        <v>948.55991715492371</v>
      </c>
      <c r="H18" s="23">
        <f t="shared" ca="1" si="3"/>
        <v>1228.1071952732993</v>
      </c>
      <c r="I18" s="23">
        <f t="shared" ca="1" si="3"/>
        <v>1489.4922969123193</v>
      </c>
      <c r="J18" s="23">
        <f t="shared" ca="1" si="3"/>
        <v>1613.8115046137102</v>
      </c>
    </row>
    <row r="19" spans="2:10">
      <c r="B19" s="21" t="s">
        <v>40</v>
      </c>
      <c r="C19" s="105">
        <f>-684</f>
        <v>-684</v>
      </c>
      <c r="D19" s="105">
        <f>-627+23</f>
        <v>-604</v>
      </c>
      <c r="E19" s="105">
        <f>-547+23</f>
        <v>-524</v>
      </c>
      <c r="F19" s="105">
        <v>-503.31</v>
      </c>
      <c r="G19" s="105">
        <v>-508.78</v>
      </c>
      <c r="H19" s="105">
        <v>-530.07000000000005</v>
      </c>
      <c r="I19" s="105">
        <f>AVERAGE(C19:H19)</f>
        <v>-559.02666666666676</v>
      </c>
      <c r="J19" s="105">
        <f>AVERAGE(D19:I19)</f>
        <v>-538.19777777777779</v>
      </c>
    </row>
    <row r="20" spans="2:10">
      <c r="B20" s="21" t="s">
        <v>16</v>
      </c>
      <c r="C20" s="105">
        <f>-610+23</f>
        <v>-587</v>
      </c>
      <c r="D20" s="105">
        <v>-523</v>
      </c>
      <c r="E20" s="105">
        <v>-415</v>
      </c>
      <c r="F20" s="5">
        <f ca="1">F16*-F41</f>
        <v>-307.33518454494879</v>
      </c>
      <c r="G20" s="5">
        <f t="shared" ref="G20:J20" ca="1" si="4">G16*-G41</f>
        <v>-341.05525111188268</v>
      </c>
      <c r="H20" s="5">
        <f t="shared" ca="1" si="4"/>
        <v>-350.88777007808557</v>
      </c>
      <c r="I20" s="5">
        <f t="shared" ca="1" si="4"/>
        <v>-406.22517188517799</v>
      </c>
      <c r="J20" s="5">
        <f t="shared" ca="1" si="4"/>
        <v>-491.82826807274978</v>
      </c>
    </row>
    <row r="21" spans="2:10">
      <c r="B21" s="21" t="s">
        <v>37</v>
      </c>
      <c r="C21" s="105">
        <v>0</v>
      </c>
      <c r="D21" s="105">
        <f>-250+161+30</f>
        <v>-59</v>
      </c>
      <c r="E21" s="105">
        <f>-322+53+65+64+99</f>
        <v>-41</v>
      </c>
      <c r="F21" s="5">
        <f ca="1">H18*-H40</f>
        <v>0</v>
      </c>
      <c r="G21" s="5">
        <f t="shared" ref="G21:J21" ca="1" si="5">I18*-I40</f>
        <v>0</v>
      </c>
      <c r="H21" s="5">
        <f t="shared" ca="1" si="5"/>
        <v>0</v>
      </c>
      <c r="I21" s="5">
        <f t="shared" si="5"/>
        <v>0</v>
      </c>
      <c r="J21" s="5">
        <f t="shared" si="5"/>
        <v>0</v>
      </c>
    </row>
    <row r="22" spans="2:10">
      <c r="B22" s="20" t="s">
        <v>17</v>
      </c>
      <c r="C22" s="23">
        <f>SUM(C18:C21)</f>
        <v>147</v>
      </c>
      <c r="D22" s="23">
        <f t="shared" ref="D22:J22" si="6">SUM(D18:D21)</f>
        <v>878</v>
      </c>
      <c r="E22" s="23">
        <f t="shared" si="6"/>
        <v>-533</v>
      </c>
      <c r="F22" s="23">
        <f ca="1">SUM(F18:F21)</f>
        <v>-354.4445199860404</v>
      </c>
      <c r="G22" s="23">
        <f t="shared" ca="1" si="6"/>
        <v>98.724666043041054</v>
      </c>
      <c r="H22" s="23">
        <f t="shared" ca="1" si="6"/>
        <v>347.14942519521372</v>
      </c>
      <c r="I22" s="23">
        <f t="shared" ca="1" si="6"/>
        <v>524.24045836047458</v>
      </c>
      <c r="J22" s="23">
        <f t="shared" ca="1" si="6"/>
        <v>583.78545876318276</v>
      </c>
    </row>
    <row r="23" spans="2:10">
      <c r="B23" s="9" t="s">
        <v>18</v>
      </c>
      <c r="C23" s="105">
        <v>3</v>
      </c>
      <c r="D23" s="105">
        <v>12</v>
      </c>
      <c r="E23" s="105">
        <v>3</v>
      </c>
      <c r="F23" s="177">
        <f>F308</f>
        <v>4</v>
      </c>
      <c r="G23" s="177">
        <f t="shared" ref="G23:J23" si="7">G308</f>
        <v>4</v>
      </c>
      <c r="H23" s="177">
        <f t="shared" si="7"/>
        <v>6</v>
      </c>
      <c r="I23" s="177">
        <f t="shared" si="7"/>
        <v>7</v>
      </c>
      <c r="J23" s="177">
        <f t="shared" si="7"/>
        <v>10</v>
      </c>
    </row>
    <row r="24" spans="2:10">
      <c r="B24" s="9" t="s">
        <v>19</v>
      </c>
      <c r="C24" s="105">
        <f>-266</f>
        <v>-266</v>
      </c>
      <c r="D24" s="105">
        <v>-234</v>
      </c>
      <c r="E24" s="105">
        <v>-214</v>
      </c>
      <c r="F24" s="5">
        <f>-F203</f>
        <v>-215.78625</v>
      </c>
      <c r="G24" s="5">
        <f t="shared" ref="G24:J24" si="8">-G203</f>
        <v>-215.78625</v>
      </c>
      <c r="H24" s="5">
        <f t="shared" si="8"/>
        <v>-151.53625</v>
      </c>
      <c r="I24" s="5">
        <f t="shared" si="8"/>
        <v>-186.53625</v>
      </c>
      <c r="J24" s="5">
        <f t="shared" si="8"/>
        <v>-186.53625</v>
      </c>
    </row>
    <row r="25" spans="2:10">
      <c r="B25" s="21" t="s">
        <v>20</v>
      </c>
      <c r="C25" s="105">
        <f>-69+1+40</f>
        <v>-28</v>
      </c>
      <c r="D25" s="105">
        <f>-21+12+142</f>
        <v>133</v>
      </c>
      <c r="E25" s="105">
        <f>-21+38</f>
        <v>17</v>
      </c>
      <c r="F25" s="105">
        <v>133</v>
      </c>
      <c r="G25" s="105">
        <v>133</v>
      </c>
      <c r="H25" s="105">
        <v>0</v>
      </c>
      <c r="I25" s="105">
        <v>0</v>
      </c>
      <c r="J25" s="105">
        <v>0</v>
      </c>
    </row>
    <row r="26" spans="2:10">
      <c r="B26" s="20" t="s">
        <v>21</v>
      </c>
      <c r="C26" s="23">
        <f>SUM(C22:C25)</f>
        <v>-144</v>
      </c>
      <c r="D26" s="23">
        <f t="shared" ref="D26:J26" si="9">SUM(D22:D25)</f>
        <v>789</v>
      </c>
      <c r="E26" s="23">
        <f t="shared" si="9"/>
        <v>-727</v>
      </c>
      <c r="F26" s="23">
        <f t="shared" ca="1" si="9"/>
        <v>-433.2307699860404</v>
      </c>
      <c r="G26" s="23">
        <f t="shared" ca="1" si="9"/>
        <v>19.938416043041059</v>
      </c>
      <c r="H26" s="23">
        <f t="shared" ca="1" si="9"/>
        <v>201.61317519521373</v>
      </c>
      <c r="I26" s="23">
        <f t="shared" ca="1" si="9"/>
        <v>344.70420836047458</v>
      </c>
      <c r="J26" s="23">
        <f t="shared" ca="1" si="9"/>
        <v>407.24920876318276</v>
      </c>
    </row>
    <row r="27" spans="2:10">
      <c r="B27" s="9" t="s">
        <v>22</v>
      </c>
      <c r="C27" s="105">
        <v>429</v>
      </c>
      <c r="D27" s="105">
        <v>-54</v>
      </c>
      <c r="E27" s="105">
        <f>-627</f>
        <v>-627</v>
      </c>
      <c r="F27" s="5">
        <f ca="1">F26*F42</f>
        <v>-25.993846199162423</v>
      </c>
      <c r="G27" s="5">
        <f ca="1">G26*-G42</f>
        <v>-2.8113166620687888</v>
      </c>
      <c r="H27" s="5">
        <f ca="1">H26*-H42</f>
        <v>-70.564611318324793</v>
      </c>
      <c r="I27" s="5">
        <f t="shared" ref="I27:J27" ca="1" si="10">I26*-I42</f>
        <v>-120.6464729261661</v>
      </c>
      <c r="J27" s="5">
        <f t="shared" ca="1" si="10"/>
        <v>-142.53722306711396</v>
      </c>
    </row>
    <row r="28" spans="2:10">
      <c r="B28" s="20" t="s">
        <v>23</v>
      </c>
      <c r="C28" s="23">
        <f>SUM(C26:C27)</f>
        <v>285</v>
      </c>
      <c r="D28" s="23">
        <f t="shared" ref="D28:J28" si="11">SUM(D26:D27)</f>
        <v>735</v>
      </c>
      <c r="E28" s="23">
        <f t="shared" si="11"/>
        <v>-1354</v>
      </c>
      <c r="F28" s="23">
        <f ca="1">SUM(F26:F27)</f>
        <v>-459.22461618520282</v>
      </c>
      <c r="G28" s="23">
        <f t="shared" ca="1" si="11"/>
        <v>17.127099380972268</v>
      </c>
      <c r="H28" s="23">
        <f t="shared" ca="1" si="11"/>
        <v>131.04856387688892</v>
      </c>
      <c r="I28" s="23">
        <f t="shared" ca="1" si="11"/>
        <v>224.05773543430848</v>
      </c>
      <c r="J28" s="23">
        <f t="shared" ca="1" si="11"/>
        <v>264.71198569606884</v>
      </c>
    </row>
    <row r="29" spans="2:10">
      <c r="B29" s="22"/>
      <c r="C29" s="5"/>
      <c r="D29" s="5"/>
      <c r="E29" s="5"/>
      <c r="F29" s="5"/>
      <c r="G29" s="5"/>
      <c r="H29" s="5"/>
      <c r="I29" s="5"/>
      <c r="J29" s="5"/>
    </row>
    <row r="30" spans="2:10">
      <c r="B30" s="21" t="s">
        <v>24</v>
      </c>
      <c r="C30" s="109">
        <v>144.58000000000001</v>
      </c>
      <c r="D30" s="109">
        <v>152.1</v>
      </c>
      <c r="E30" s="169">
        <v>146.09</v>
      </c>
      <c r="F30" s="169">
        <f>F319</f>
        <v>146.28</v>
      </c>
      <c r="G30" s="169">
        <f t="shared" ref="G30:J30" si="12">G319</f>
        <v>146.28</v>
      </c>
      <c r="H30" s="169">
        <f t="shared" si="12"/>
        <v>146.30000000000001</v>
      </c>
      <c r="I30" s="169">
        <f t="shared" si="12"/>
        <v>146.49</v>
      </c>
      <c r="J30" s="169">
        <f t="shared" si="12"/>
        <v>146.68</v>
      </c>
    </row>
    <row r="31" spans="2:10">
      <c r="B31" s="21" t="s">
        <v>25</v>
      </c>
      <c r="C31" s="34"/>
      <c r="F31" s="5"/>
      <c r="G31" s="5"/>
      <c r="H31" s="5"/>
      <c r="I31" s="5"/>
      <c r="J31" s="5"/>
    </row>
    <row r="32" spans="2:10">
      <c r="B32" s="22" t="s">
        <v>26</v>
      </c>
      <c r="C32" s="170">
        <f>C30</f>
        <v>144.58000000000001</v>
      </c>
      <c r="D32" s="170">
        <f t="shared" ref="D32:E32" si="13">D30</f>
        <v>152.1</v>
      </c>
      <c r="E32" s="170">
        <f t="shared" si="13"/>
        <v>146.09</v>
      </c>
      <c r="F32" s="170">
        <f>F30</f>
        <v>146.28</v>
      </c>
      <c r="G32" s="170">
        <f t="shared" ref="G32:J32" si="14">G30</f>
        <v>146.28</v>
      </c>
      <c r="H32" s="170">
        <f t="shared" si="14"/>
        <v>146.30000000000001</v>
      </c>
      <c r="I32" s="170">
        <f t="shared" si="14"/>
        <v>146.49</v>
      </c>
      <c r="J32" s="170">
        <f t="shared" si="14"/>
        <v>146.68</v>
      </c>
    </row>
    <row r="33" spans="2:10">
      <c r="B33" s="22"/>
      <c r="C33" s="5"/>
      <c r="D33" s="5"/>
      <c r="E33" s="5"/>
      <c r="F33" s="5"/>
      <c r="G33" s="5"/>
      <c r="H33" s="5"/>
      <c r="I33" s="5"/>
      <c r="J33" s="5"/>
    </row>
    <row r="34" spans="2:10">
      <c r="B34" s="22" t="s">
        <v>27</v>
      </c>
      <c r="C34" s="170">
        <f>C28/C30</f>
        <v>1.9712270023516392</v>
      </c>
      <c r="D34" s="170">
        <f t="shared" ref="D34:E34" si="15">D28/D30</f>
        <v>4.832347140039448</v>
      </c>
      <c r="E34" s="170">
        <f t="shared" si="15"/>
        <v>-9.2682592922171256</v>
      </c>
      <c r="F34" s="170">
        <f t="shared" ref="F34:J34" ca="1" si="16">F28/F30</f>
        <v>-3.1393534056959447</v>
      </c>
      <c r="G34" s="170">
        <f t="shared" ca="1" si="16"/>
        <v>0.11708435453221402</v>
      </c>
      <c r="H34" s="170">
        <f t="shared" ca="1" si="16"/>
        <v>0.89575231631503016</v>
      </c>
      <c r="I34" s="170">
        <f t="shared" ca="1" si="16"/>
        <v>1.5295087407625672</v>
      </c>
      <c r="J34" s="170">
        <f t="shared" ca="1" si="16"/>
        <v>1.8046903851654543</v>
      </c>
    </row>
    <row r="35" spans="2:10">
      <c r="B35" s="23" t="s">
        <v>28</v>
      </c>
      <c r="C35" s="32">
        <f>C28/C32</f>
        <v>1.9712270023516392</v>
      </c>
      <c r="D35" s="32">
        <f t="shared" ref="D35:E35" si="17">D28/D32</f>
        <v>4.832347140039448</v>
      </c>
      <c r="E35" s="32">
        <f t="shared" si="17"/>
        <v>-9.2682592922171256</v>
      </c>
      <c r="F35" s="32">
        <f t="shared" ref="F35:J35" ca="1" si="18">F28/F32</f>
        <v>-3.1393534056959447</v>
      </c>
      <c r="G35" s="32">
        <f t="shared" ca="1" si="18"/>
        <v>0.11708435453221402</v>
      </c>
      <c r="H35" s="32">
        <f t="shared" ca="1" si="18"/>
        <v>0.89575231631503016</v>
      </c>
      <c r="I35" s="32">
        <f t="shared" ca="1" si="18"/>
        <v>1.5295087407625672</v>
      </c>
      <c r="J35" s="32">
        <f t="shared" ca="1" si="18"/>
        <v>1.8046903851654543</v>
      </c>
    </row>
    <row r="36" spans="2:10">
      <c r="B36" s="22"/>
      <c r="C36" s="5"/>
      <c r="D36" s="5"/>
      <c r="E36" s="5"/>
      <c r="F36" s="5"/>
      <c r="G36" s="5"/>
      <c r="H36" s="5"/>
      <c r="I36" s="5"/>
      <c r="J36" s="5"/>
    </row>
    <row r="37" spans="2:10">
      <c r="B37" s="24" t="s">
        <v>29</v>
      </c>
      <c r="C37" s="5"/>
      <c r="D37" s="5"/>
      <c r="E37" s="5"/>
      <c r="F37" s="5"/>
      <c r="G37" s="5"/>
      <c r="H37" s="5"/>
      <c r="I37" s="5"/>
      <c r="J37" s="5"/>
    </row>
    <row r="38" spans="2:10">
      <c r="B38" s="25" t="s">
        <v>30</v>
      </c>
      <c r="D38" s="35">
        <f>(D16-C16)/C16</f>
        <v>4.7635445362718088E-3</v>
      </c>
      <c r="E38" s="35">
        <f>(E16-D16)/D16</f>
        <v>-0.33889301422288226</v>
      </c>
      <c r="F38" s="35">
        <f t="shared" ref="F38:J38" ca="1" si="19">(F16-E16)/E16</f>
        <v>-0.17018969094266026</v>
      </c>
      <c r="G38" s="35">
        <f t="shared" ca="1" si="19"/>
        <v>0.10971756005372761</v>
      </c>
      <c r="H38" s="35">
        <f t="shared" ca="1" si="19"/>
        <v>9.7418341641393347E-2</v>
      </c>
      <c r="I38" s="35">
        <f t="shared" ca="1" si="19"/>
        <v>0.15770684112124456</v>
      </c>
      <c r="J38" s="35">
        <f t="shared" ca="1" si="19"/>
        <v>0.13505768039537572</v>
      </c>
    </row>
    <row r="39" spans="2:10">
      <c r="B39" s="25" t="s">
        <v>31</v>
      </c>
      <c r="C39" s="35">
        <f>C18/C16</f>
        <v>8.1382001836547285E-2</v>
      </c>
      <c r="D39" s="35">
        <f t="shared" ref="D39:E39" si="20">D18/D16</f>
        <v>0.11789569886331182</v>
      </c>
      <c r="E39" s="35">
        <f t="shared" si="20"/>
        <v>3.8621047174701918E-2</v>
      </c>
      <c r="F39" s="140">
        <v>4.7500000000000001E-2</v>
      </c>
      <c r="G39" s="140">
        <v>8.8999999999999996E-2</v>
      </c>
      <c r="H39" s="140">
        <v>0.105</v>
      </c>
      <c r="I39" s="140">
        <v>0.11</v>
      </c>
      <c r="J39" s="140">
        <v>0.105</v>
      </c>
    </row>
    <row r="40" spans="2:10">
      <c r="B40" s="26" t="s">
        <v>38</v>
      </c>
      <c r="C40" s="35">
        <f>-C21/C16</f>
        <v>0</v>
      </c>
      <c r="D40" s="35">
        <f t="shared" ref="D40:E40" si="21">-D21/D16</f>
        <v>3.3700805392128863E-3</v>
      </c>
      <c r="E40" s="35">
        <f t="shared" si="21"/>
        <v>3.5424226715050976E-3</v>
      </c>
      <c r="F40" s="140">
        <v>0</v>
      </c>
      <c r="G40" s="140">
        <v>0</v>
      </c>
      <c r="H40" s="140">
        <v>0</v>
      </c>
      <c r="I40" s="140">
        <v>0</v>
      </c>
      <c r="J40" s="140">
        <v>0</v>
      </c>
    </row>
    <row r="41" spans="2:10">
      <c r="B41" s="25" t="s">
        <v>32</v>
      </c>
      <c r="C41" s="35">
        <f>-C20/C16</f>
        <v>3.3689164370982551E-2</v>
      </c>
      <c r="D41" s="35">
        <f t="shared" ref="D41:E41" si="22">-D20/D16</f>
        <v>2.9873764779802366E-2</v>
      </c>
      <c r="E41" s="35">
        <f t="shared" si="22"/>
        <v>3.5856229479868669E-2</v>
      </c>
      <c r="F41" s="140">
        <v>3.2000000000000001E-2</v>
      </c>
      <c r="G41" s="140">
        <v>3.2000000000000001E-2</v>
      </c>
      <c r="H41" s="140">
        <v>0.03</v>
      </c>
      <c r="I41" s="140">
        <v>0.03</v>
      </c>
      <c r="J41" s="140">
        <v>3.2000000000000001E-2</v>
      </c>
    </row>
    <row r="42" spans="2:10">
      <c r="B42" s="25" t="s">
        <v>33</v>
      </c>
      <c r="C42" s="34">
        <f>-C27/C26</f>
        <v>2.9791666666666665</v>
      </c>
      <c r="D42" s="34">
        <f>-D27/D26</f>
        <v>6.8441064638783272E-2</v>
      </c>
      <c r="E42" s="34">
        <f>E27/E26</f>
        <v>0.86244841815680884</v>
      </c>
      <c r="F42" s="108">
        <v>0.06</v>
      </c>
      <c r="G42" s="108">
        <v>0.14099999999999999</v>
      </c>
      <c r="H42" s="108">
        <v>0.35</v>
      </c>
      <c r="I42" s="108">
        <v>0.35</v>
      </c>
      <c r="J42" s="108">
        <v>0.35</v>
      </c>
    </row>
    <row r="43" spans="2:10">
      <c r="B43" s="5"/>
    </row>
    <row r="44" spans="2:10">
      <c r="B44" s="27" t="s">
        <v>34</v>
      </c>
    </row>
    <row r="45" spans="2:10">
      <c r="B45" s="28" t="s">
        <v>39</v>
      </c>
      <c r="C45" s="5">
        <f>-C19</f>
        <v>684</v>
      </c>
      <c r="D45" s="5">
        <f t="shared" ref="D45:E45" si="23">-D19</f>
        <v>604</v>
      </c>
      <c r="E45" s="5">
        <f t="shared" si="23"/>
        <v>524</v>
      </c>
      <c r="F45" s="5">
        <f>-F19</f>
        <v>503.31</v>
      </c>
      <c r="G45" s="5">
        <f t="shared" ref="G45:J45" si="24">-G19</f>
        <v>508.78</v>
      </c>
      <c r="H45" s="5">
        <f t="shared" si="24"/>
        <v>530.07000000000005</v>
      </c>
      <c r="I45" s="5">
        <f t="shared" si="24"/>
        <v>559.02666666666676</v>
      </c>
      <c r="J45" s="5">
        <f t="shared" si="24"/>
        <v>538.19777777777779</v>
      </c>
    </row>
    <row r="46" spans="2:10">
      <c r="B46" s="28" t="s">
        <v>35</v>
      </c>
      <c r="C46" s="109">
        <v>33</v>
      </c>
      <c r="D46" s="109">
        <v>35</v>
      </c>
      <c r="E46" s="109">
        <v>37</v>
      </c>
      <c r="F46" s="109">
        <v>39</v>
      </c>
      <c r="G46" s="109">
        <v>41</v>
      </c>
      <c r="H46" s="109">
        <v>43</v>
      </c>
      <c r="I46" s="109">
        <v>45</v>
      </c>
      <c r="J46" s="109">
        <v>47</v>
      </c>
    </row>
    <row r="47" spans="2:10">
      <c r="B47" s="29" t="s">
        <v>36</v>
      </c>
      <c r="C47" s="23">
        <f>C22+SUM(C45:C46)</f>
        <v>864</v>
      </c>
      <c r="D47" s="23">
        <f t="shared" ref="D47:J47" si="25">D22+SUM(D45:D46)</f>
        <v>1517</v>
      </c>
      <c r="E47" s="23">
        <f t="shared" si="25"/>
        <v>28</v>
      </c>
      <c r="F47" s="23">
        <f t="shared" ca="1" si="25"/>
        <v>187.86548001395954</v>
      </c>
      <c r="G47" s="23">
        <f t="shared" ca="1" si="25"/>
        <v>648.50466604304097</v>
      </c>
      <c r="H47" s="23">
        <f t="shared" ca="1" si="25"/>
        <v>920.21942519521372</v>
      </c>
      <c r="I47" s="23">
        <f t="shared" ca="1" si="25"/>
        <v>1128.2671250271414</v>
      </c>
      <c r="J47" s="23">
        <f t="shared" ca="1" si="25"/>
        <v>1168.9832365409607</v>
      </c>
    </row>
    <row r="49" spans="1:10">
      <c r="A49" t="s">
        <v>112</v>
      </c>
      <c r="B49" s="62" t="s">
        <v>49</v>
      </c>
      <c r="C49" s="13"/>
      <c r="D49" s="14"/>
      <c r="E49" s="14"/>
      <c r="F49" s="14"/>
      <c r="G49" s="14"/>
      <c r="H49" s="14"/>
      <c r="I49" s="14"/>
      <c r="J49" s="14"/>
    </row>
    <row r="50" spans="1:10">
      <c r="B50" s="9" t="s">
        <v>11</v>
      </c>
      <c r="C50" s="15">
        <f>D50-1</f>
        <v>2013</v>
      </c>
      <c r="D50" s="15">
        <f>E50-1</f>
        <v>2014</v>
      </c>
      <c r="E50" s="15">
        <f>YEAR($C$9)</f>
        <v>2015</v>
      </c>
      <c r="F50" s="16">
        <f>E50+1</f>
        <v>2016</v>
      </c>
      <c r="G50" s="16">
        <f>F50+1</f>
        <v>2017</v>
      </c>
      <c r="H50" s="16">
        <f>G50+1</f>
        <v>2018</v>
      </c>
      <c r="I50" s="16">
        <f>H50+1</f>
        <v>2019</v>
      </c>
      <c r="J50" s="16">
        <f>I50+1</f>
        <v>2020</v>
      </c>
    </row>
    <row r="51" spans="1:10">
      <c r="B51" s="17" t="s">
        <v>12</v>
      </c>
      <c r="C51" s="63">
        <v>41639</v>
      </c>
      <c r="D51" s="63">
        <v>42004</v>
      </c>
      <c r="E51" s="19">
        <f>$C$9</f>
        <v>42369</v>
      </c>
      <c r="F51" s="19">
        <f>EOMONTH(E51,12)</f>
        <v>42735</v>
      </c>
      <c r="G51" s="19">
        <f>EOMONTH(F51,12)</f>
        <v>43100</v>
      </c>
      <c r="H51" s="19">
        <f>EOMONTH(G51,12)</f>
        <v>43465</v>
      </c>
      <c r="I51" s="19">
        <f>EOMONTH(H51,12)</f>
        <v>43830</v>
      </c>
      <c r="J51" s="19">
        <f>EOMONTH(I51,12)</f>
        <v>44196</v>
      </c>
    </row>
    <row r="52" spans="1:10">
      <c r="B52" s="31" t="s">
        <v>50</v>
      </c>
      <c r="C52" s="5"/>
      <c r="D52" s="5"/>
      <c r="E52" s="5"/>
      <c r="F52" s="5"/>
      <c r="G52" s="5"/>
      <c r="H52" s="5"/>
      <c r="I52" s="5"/>
      <c r="J52" s="5"/>
    </row>
    <row r="53" spans="1:10">
      <c r="B53" s="65" t="s">
        <v>57</v>
      </c>
      <c r="C53" s="5">
        <f>'Segment Results'!C9</f>
        <v>12830</v>
      </c>
      <c r="D53" s="5">
        <f>'Segment Results'!D9</f>
        <v>12895</v>
      </c>
      <c r="E53" s="5">
        <f>'Segment Results'!E9</f>
        <v>8561</v>
      </c>
      <c r="F53" s="5">
        <f ca="1">F67*'Steel Price Deck'!H13/1000</f>
        <v>6664.2677259800257</v>
      </c>
      <c r="G53" s="5">
        <f ca="1">G67*'Steel Price Deck'!I13/1000</f>
        <v>7157.6859341176732</v>
      </c>
      <c r="H53" s="5">
        <f ca="1">H67*'Steel Price Deck'!J13/1000</f>
        <v>7558.2829053036694</v>
      </c>
      <c r="I53" s="5">
        <f ca="1">I67*'Steel Price Deck'!K13/1000</f>
        <v>7969.0105489436828</v>
      </c>
      <c r="J53" s="5">
        <f ca="1">J67*'Steel Price Deck'!L13/1000</f>
        <v>8119.2036668805204</v>
      </c>
    </row>
    <row r="54" spans="1:10">
      <c r="B54" s="65" t="s">
        <v>51</v>
      </c>
      <c r="C54" s="5">
        <v>2944</v>
      </c>
      <c r="D54" s="5">
        <v>2936</v>
      </c>
      <c r="E54" s="5">
        <v>2326</v>
      </c>
      <c r="F54" s="5">
        <f ca="1">F68*'Steel Price Deck'!H16/1000</f>
        <v>2113.9812220102217</v>
      </c>
      <c r="G54" s="5">
        <f ca="1">G68*'Steel Price Deck'!I16/1000</f>
        <v>2185.3250953375073</v>
      </c>
      <c r="H54" s="5">
        <f ca="1">H68*'Steel Price Deck'!J16/1000</f>
        <v>2247.5301645229065</v>
      </c>
      <c r="I54" s="5">
        <f ca="1">I68*'Steel Price Deck'!K16/1000</f>
        <v>2332.3933313981515</v>
      </c>
      <c r="J54" s="5">
        <f ca="1">J68*'Steel Price Deck'!L16/1000</f>
        <v>2548.8294752834991</v>
      </c>
    </row>
    <row r="55" spans="1:10">
      <c r="B55" s="65" t="s">
        <v>52</v>
      </c>
      <c r="C55" s="5">
        <v>2777</v>
      </c>
      <c r="D55" s="5">
        <v>2774</v>
      </c>
      <c r="E55" s="5">
        <v>898</v>
      </c>
      <c r="F55" s="5">
        <f ca="1">F69*'Steel Price Deck'!H20/1000</f>
        <v>825.9755690394029</v>
      </c>
      <c r="G55" s="5">
        <f ca="1">G69*'Steel Price Deck'!I20/1000</f>
        <v>1314.9655677911528</v>
      </c>
      <c r="H55" s="5">
        <f ca="1">H69*'Steel Price Deck'!J20/1000</f>
        <v>1890.4459327762768</v>
      </c>
      <c r="I55" s="5">
        <f ca="1">I69*'Steel Price Deck'!K20/1000</f>
        <v>3239.4351824974319</v>
      </c>
      <c r="J55" s="5">
        <f ca="1">J69*'Steel Price Deck'!L20/1000</f>
        <v>4701.6002351094121</v>
      </c>
    </row>
    <row r="56" spans="1:10">
      <c r="B56" s="28" t="s">
        <v>53</v>
      </c>
      <c r="C56" s="5">
        <f>273-1400</f>
        <v>-1127</v>
      </c>
      <c r="D56" s="5">
        <f>269-1367</f>
        <v>-1098</v>
      </c>
      <c r="E56" s="5">
        <f>165-376</f>
        <v>-211</v>
      </c>
      <c r="F56" s="105">
        <v>0</v>
      </c>
      <c r="G56" s="105">
        <v>0</v>
      </c>
      <c r="H56" s="105">
        <v>0</v>
      </c>
      <c r="I56" s="105">
        <v>0</v>
      </c>
      <c r="J56" s="105">
        <v>0</v>
      </c>
    </row>
    <row r="57" spans="1:10">
      <c r="B57" s="64" t="s">
        <v>54</v>
      </c>
      <c r="C57" s="5">
        <f>SUM(C53:C56)</f>
        <v>17424</v>
      </c>
      <c r="D57" s="5">
        <f>SUM(D53:D56)</f>
        <v>17507</v>
      </c>
      <c r="E57" s="5">
        <f>SUM(E53:E56)</f>
        <v>11574</v>
      </c>
      <c r="F57" s="5">
        <f t="shared" ref="F57:J57" ca="1" si="26">SUM(F53:F56)</f>
        <v>9604.2245170296501</v>
      </c>
      <c r="G57" s="5">
        <f t="shared" ca="1" si="26"/>
        <v>10657.976597246334</v>
      </c>
      <c r="H57" s="5">
        <f t="shared" ca="1" si="26"/>
        <v>11696.259002602852</v>
      </c>
      <c r="I57" s="5">
        <f t="shared" ca="1" si="26"/>
        <v>13540.839062839266</v>
      </c>
      <c r="J57" s="5">
        <f t="shared" ca="1" si="26"/>
        <v>15369.633377273431</v>
      </c>
    </row>
    <row r="58" spans="1:10">
      <c r="B58" s="66" t="s">
        <v>55</v>
      </c>
      <c r="D58" s="141">
        <f>(D57-C57)/C57</f>
        <v>4.7635445362718088E-3</v>
      </c>
      <c r="E58" s="141">
        <f>(E57-D57)/D57</f>
        <v>-0.33889301422288226</v>
      </c>
      <c r="F58" s="141">
        <f t="shared" ref="F58:J58" ca="1" si="27">(F57-E57)/E57</f>
        <v>-0.17018969094266026</v>
      </c>
      <c r="G58" s="141">
        <f t="shared" ca="1" si="27"/>
        <v>0.10971756005372761</v>
      </c>
      <c r="H58" s="141">
        <f t="shared" ca="1" si="27"/>
        <v>9.7418341641393347E-2</v>
      </c>
      <c r="I58" s="141">
        <f t="shared" ca="1" si="27"/>
        <v>0.15770684112124456</v>
      </c>
      <c r="J58" s="141">
        <f t="shared" ca="1" si="27"/>
        <v>0.13505768039537572</v>
      </c>
    </row>
    <row r="59" spans="1:10">
      <c r="C59" s="110">
        <f>C55/C57</f>
        <v>0.15937786960514233</v>
      </c>
      <c r="D59" s="110">
        <f t="shared" ref="D59:J59" si="28">D55/D57</f>
        <v>0.15845090535214484</v>
      </c>
      <c r="E59" s="110">
        <f t="shared" si="28"/>
        <v>7.7587696561257996E-2</v>
      </c>
      <c r="F59" s="110">
        <f t="shared" ca="1" si="28"/>
        <v>8.6001276581449265E-2</v>
      </c>
      <c r="G59" s="110">
        <f t="shared" ca="1" si="28"/>
        <v>0.12337853773584904</v>
      </c>
      <c r="H59" s="110">
        <f t="shared" ca="1" si="28"/>
        <v>0.16162825501346903</v>
      </c>
      <c r="I59" s="110">
        <f t="shared" ca="1" si="28"/>
        <v>0.23923444976076555</v>
      </c>
      <c r="J59" s="110">
        <f t="shared" ca="1" si="28"/>
        <v>0.30590191188694932</v>
      </c>
    </row>
    <row r="60" spans="1:10">
      <c r="B60" s="31" t="s">
        <v>56</v>
      </c>
    </row>
    <row r="61" spans="1:10">
      <c r="B61" s="65" t="s">
        <v>57</v>
      </c>
      <c r="C61" s="30">
        <f>'Segment Results'!H33</f>
        <v>22694</v>
      </c>
      <c r="D61" s="30">
        <f>'Segment Results'!I33</f>
        <v>17220</v>
      </c>
      <c r="E61" s="30">
        <f>'Segment Results'!J33</f>
        <v>17000</v>
      </c>
      <c r="F61" s="30">
        <f>'Segment Results'!K33</f>
        <v>14200</v>
      </c>
      <c r="G61" s="30">
        <f>'Segment Results'!L33</f>
        <v>14200</v>
      </c>
      <c r="H61" s="30">
        <f>'Segment Results'!M33</f>
        <v>15400</v>
      </c>
      <c r="I61" s="30">
        <f>'Segment Results'!N33</f>
        <v>16600</v>
      </c>
      <c r="J61" s="30">
        <f>'Segment Results'!O33</f>
        <v>17000</v>
      </c>
    </row>
    <row r="62" spans="1:10">
      <c r="B62" s="122" t="s">
        <v>58</v>
      </c>
      <c r="C62" s="110">
        <f>'Segment Results'!H44</f>
        <v>0.7349079051731735</v>
      </c>
      <c r="D62" s="110">
        <f>'Segment Results'!I44</f>
        <v>0.88373983739837403</v>
      </c>
      <c r="E62" s="110">
        <f>'Segment Results'!J44</f>
        <v>0.66688235294117648</v>
      </c>
      <c r="F62" s="34">
        <f>'Segment Results'!K44</f>
        <v>0.70352112676056333</v>
      </c>
      <c r="G62" s="34">
        <f>'Segment Results'!L44</f>
        <v>0.74753521126760558</v>
      </c>
      <c r="H62" s="34">
        <f>'Segment Results'!M44</f>
        <v>0.76003246753246756</v>
      </c>
      <c r="I62" s="34">
        <f>'Segment Results'!N44</f>
        <v>0.78003012048192766</v>
      </c>
      <c r="J62" s="34">
        <f>'Segment Results'!O44</f>
        <v>0.82376470588235295</v>
      </c>
    </row>
    <row r="63" spans="1:10">
      <c r="B63" s="65" t="s">
        <v>51</v>
      </c>
      <c r="C63" s="30">
        <f>'Segment Results'!H38</f>
        <v>5000</v>
      </c>
      <c r="D63" s="30">
        <f>'Segment Results'!I38</f>
        <v>5000</v>
      </c>
      <c r="E63" s="30">
        <f>'Segment Results'!J38</f>
        <v>5000</v>
      </c>
      <c r="F63" s="30">
        <f>'Segment Results'!K38</f>
        <v>5000</v>
      </c>
      <c r="G63" s="30">
        <f>'Segment Results'!L38</f>
        <v>5000</v>
      </c>
      <c r="H63" s="30">
        <f>'Segment Results'!M38</f>
        <v>5000</v>
      </c>
      <c r="I63" s="30">
        <f>'Segment Results'!N38</f>
        <v>5000</v>
      </c>
      <c r="J63" s="30">
        <f>'Segment Results'!O38</f>
        <v>5000</v>
      </c>
    </row>
    <row r="64" spans="1:10">
      <c r="B64" s="122" t="s">
        <v>58</v>
      </c>
      <c r="C64" s="110">
        <f>'Segment Results'!H45</f>
        <v>0.91978392000000009</v>
      </c>
      <c r="D64" s="110">
        <f>'Segment Results'!I45</f>
        <v>0.9577915199999999</v>
      </c>
      <c r="E64" s="110">
        <f>'Segment Results'!J45</f>
        <v>0.93398675999999992</v>
      </c>
      <c r="F64" s="110">
        <f>'Segment Results'!K45</f>
        <v>0.91418279999999996</v>
      </c>
      <c r="G64" s="110">
        <f>'Segment Results'!L45</f>
        <v>0.920184</v>
      </c>
      <c r="H64" s="110">
        <f>'Segment Results'!M45</f>
        <v>0.92718539999999994</v>
      </c>
      <c r="I64" s="110">
        <f>'Segment Results'!N45</f>
        <v>0.94418880000000005</v>
      </c>
      <c r="J64" s="110">
        <f>'Segment Results'!O45</f>
        <v>0.96019200000000005</v>
      </c>
    </row>
    <row r="66" spans="1:10">
      <c r="B66" s="111" t="s">
        <v>82</v>
      </c>
    </row>
    <row r="67" spans="1:10">
      <c r="B67" s="65" t="s">
        <v>57</v>
      </c>
      <c r="C67" s="30">
        <f>'Segment Results'!H62</f>
        <v>14644</v>
      </c>
      <c r="D67" s="30">
        <f>'Segment Results'!I62</f>
        <v>13908</v>
      </c>
      <c r="E67" s="30">
        <f>'Segment Results'!J62</f>
        <v>10595</v>
      </c>
      <c r="F67" s="30">
        <f>'Segment Results'!K62</f>
        <v>9570.3838933750776</v>
      </c>
      <c r="G67" s="30">
        <f>'Segment Results'!L62</f>
        <v>10126.345895865965</v>
      </c>
      <c r="H67" s="30">
        <f>'Segment Results'!M62</f>
        <v>10911.48353352</v>
      </c>
      <c r="I67" s="30">
        <f>'Segment Results'!N62</f>
        <v>11510.22921048</v>
      </c>
      <c r="J67" s="30">
        <f>'Segment Results'!O62</f>
        <v>11542.484448000001</v>
      </c>
    </row>
    <row r="68" spans="1:10">
      <c r="B68" s="65" t="s">
        <v>51</v>
      </c>
      <c r="C68" s="30">
        <f>'Segment Results'!H64</f>
        <v>4000</v>
      </c>
      <c r="D68" s="30">
        <f>'Segment Results'!I64</f>
        <v>4179</v>
      </c>
      <c r="E68" s="30">
        <f>'Segment Results'!J64</f>
        <v>4357</v>
      </c>
      <c r="F68" s="30">
        <f>'Segment Results'!K64</f>
        <v>3969.9370224370696</v>
      </c>
      <c r="G68" s="30">
        <f>'Segment Results'!L64</f>
        <v>3871.8381366546337</v>
      </c>
      <c r="H68" s="30">
        <f>'Segment Results'!M64</f>
        <v>3851.11183536</v>
      </c>
      <c r="I68" s="30">
        <f>'Segment Results'!N64</f>
        <v>3836.7430701599997</v>
      </c>
      <c r="J68" s="30">
        <f>'Segment Results'!O64</f>
        <v>3909.5511839999999</v>
      </c>
    </row>
    <row r="69" spans="1:10">
      <c r="B69" s="65" t="s">
        <v>52</v>
      </c>
      <c r="C69" s="30">
        <f>'Segment Results'!H66</f>
        <v>1757</v>
      </c>
      <c r="D69" s="30">
        <f>'Segment Results'!I66</f>
        <v>1744</v>
      </c>
      <c r="E69" s="30">
        <f>'Segment Results'!J66</f>
        <v>593</v>
      </c>
      <c r="F69" s="30">
        <f>'Segment Results'!K66</f>
        <v>567.13386034815278</v>
      </c>
      <c r="G69" s="30">
        <f>'Segment Results'!L66</f>
        <v>893.50110845876156</v>
      </c>
      <c r="H69" s="30">
        <f>'Segment Results'!M66</f>
        <v>1283.7039451200001</v>
      </c>
      <c r="I69" s="30">
        <f>'Segment Results'!N66</f>
        <v>2092.7689473599999</v>
      </c>
      <c r="J69" s="30">
        <f>'Segment Results'!O66</f>
        <v>2978.7056640000001</v>
      </c>
    </row>
    <row r="70" spans="1:10">
      <c r="B70" s="144" t="s">
        <v>54</v>
      </c>
      <c r="C70" s="30">
        <f>SUM(C67:C69)</f>
        <v>20401</v>
      </c>
      <c r="D70" s="30">
        <f t="shared" ref="D70:J70" si="29">SUM(D67:D69)</f>
        <v>19831</v>
      </c>
      <c r="E70" s="30">
        <f t="shared" si="29"/>
        <v>15545</v>
      </c>
      <c r="F70" s="30">
        <f t="shared" si="29"/>
        <v>14107.454776160299</v>
      </c>
      <c r="G70" s="30">
        <f t="shared" si="29"/>
        <v>14891.685140979362</v>
      </c>
      <c r="H70" s="30">
        <f t="shared" si="29"/>
        <v>16046.299314</v>
      </c>
      <c r="I70" s="30">
        <f t="shared" si="29"/>
        <v>17439.741227999999</v>
      </c>
      <c r="J70" s="30">
        <f t="shared" si="29"/>
        <v>18430.741296</v>
      </c>
    </row>
    <row r="71" spans="1:10">
      <c r="B71" s="66" t="s">
        <v>55</v>
      </c>
      <c r="D71" s="35">
        <f>(D70-C70)/C70</f>
        <v>-2.7939806872212147E-2</v>
      </c>
      <c r="E71" s="35">
        <f t="shared" ref="E71:J71" si="30">(E70-D70)/D70</f>
        <v>-0.2161262669557763</v>
      </c>
      <c r="F71" s="35">
        <f t="shared" si="30"/>
        <v>-9.2476373357330402E-2</v>
      </c>
      <c r="G71" s="35">
        <f t="shared" si="30"/>
        <v>5.5589784072482482E-2</v>
      </c>
      <c r="H71" s="35">
        <f t="shared" si="30"/>
        <v>7.7534151581229588E-2</v>
      </c>
      <c r="I71" s="35">
        <f t="shared" si="30"/>
        <v>8.6838833473849977E-2</v>
      </c>
      <c r="J71" s="35">
        <f t="shared" si="30"/>
        <v>5.6824241543729011E-2</v>
      </c>
    </row>
    <row r="73" spans="1:10">
      <c r="A73" t="s">
        <v>112</v>
      </c>
      <c r="B73" s="62" t="s">
        <v>113</v>
      </c>
      <c r="C73" s="13"/>
      <c r="D73" s="14"/>
      <c r="E73" s="14"/>
      <c r="F73" s="14"/>
      <c r="G73" s="14"/>
      <c r="H73" s="14"/>
      <c r="I73" s="14"/>
      <c r="J73" s="14"/>
    </row>
    <row r="74" spans="1:10">
      <c r="B74" s="9" t="s">
        <v>11</v>
      </c>
      <c r="C74" s="15"/>
      <c r="D74" s="15">
        <f>E74-1</f>
        <v>2014</v>
      </c>
      <c r="E74" s="15">
        <f>YEAR($C$9)</f>
        <v>2015</v>
      </c>
      <c r="F74" s="16">
        <f>E74+1</f>
        <v>2016</v>
      </c>
      <c r="G74" s="16">
        <f>F74+1</f>
        <v>2017</v>
      </c>
      <c r="H74" s="16">
        <f>G74+1</f>
        <v>2018</v>
      </c>
      <c r="I74" s="16">
        <f>H74+1</f>
        <v>2019</v>
      </c>
      <c r="J74" s="16">
        <f>I74+1</f>
        <v>2020</v>
      </c>
    </row>
    <row r="75" spans="1:10">
      <c r="B75" s="17" t="s">
        <v>12</v>
      </c>
      <c r="C75" s="63"/>
      <c r="D75" s="63">
        <v>42004</v>
      </c>
      <c r="E75" s="19">
        <f>$C$9</f>
        <v>42369</v>
      </c>
      <c r="F75" s="19">
        <f>EOMONTH(E75,12)</f>
        <v>42735</v>
      </c>
      <c r="G75" s="19">
        <f>EOMONTH(F75,12)</f>
        <v>43100</v>
      </c>
      <c r="H75" s="19">
        <f>EOMONTH(G75,12)</f>
        <v>43465</v>
      </c>
      <c r="I75" s="19">
        <f>EOMONTH(H75,12)</f>
        <v>43830</v>
      </c>
      <c r="J75" s="19">
        <f>EOMONTH(I75,12)</f>
        <v>44196</v>
      </c>
    </row>
    <row r="76" spans="1:10">
      <c r="B76" s="64" t="s">
        <v>114</v>
      </c>
      <c r="D76" s="118">
        <f>1354</f>
        <v>1354</v>
      </c>
      <c r="E76" s="118">
        <f>755</f>
        <v>755</v>
      </c>
      <c r="F76" s="30">
        <f ca="1">F306</f>
        <v>592.08176381352052</v>
      </c>
      <c r="G76" s="30">
        <f t="shared" ref="G76:J76" ca="1" si="31">G306</f>
        <v>433.31917281951263</v>
      </c>
      <c r="H76" s="30">
        <f t="shared" ca="1" si="31"/>
        <v>619.9870539416047</v>
      </c>
      <c r="I76" s="30">
        <f t="shared" ca="1" si="31"/>
        <v>701.87992127661346</v>
      </c>
      <c r="J76" s="30">
        <f t="shared" ca="1" si="31"/>
        <v>798.08302318217329</v>
      </c>
    </row>
    <row r="77" spans="1:10">
      <c r="B77" s="150" t="s">
        <v>115</v>
      </c>
      <c r="D77" s="118">
        <f>1632+310+362+39</f>
        <v>2343</v>
      </c>
      <c r="E77" s="118">
        <f>864+199+33</f>
        <v>1096</v>
      </c>
      <c r="F77" s="30">
        <f ca="1">F115</f>
        <v>931.60977815187607</v>
      </c>
      <c r="G77" s="30">
        <f t="shared" ref="G77:J77" ca="1" si="32">G115</f>
        <v>1278.95719166956</v>
      </c>
      <c r="H77" s="30">
        <f t="shared" ca="1" si="32"/>
        <v>1462.0323753253565</v>
      </c>
      <c r="I77" s="30">
        <f t="shared" ca="1" si="32"/>
        <v>1814.4724344204617</v>
      </c>
      <c r="J77" s="30">
        <f t="shared" ca="1" si="32"/>
        <v>2028.7916058000928</v>
      </c>
    </row>
    <row r="78" spans="1:10">
      <c r="B78" s="150" t="s">
        <v>116</v>
      </c>
      <c r="D78" s="118">
        <v>2496</v>
      </c>
      <c r="E78" s="118">
        <v>2074</v>
      </c>
      <c r="F78" s="30">
        <f ca="1">F123</f>
        <v>1646.6442934447334</v>
      </c>
      <c r="G78" s="30">
        <f t="shared" ref="G78:J78" ca="1" si="33">G123</f>
        <v>1650.6008356155398</v>
      </c>
      <c r="H78" s="30">
        <f t="shared" ca="1" si="33"/>
        <v>1695.8405927873875</v>
      </c>
      <c r="I78" s="30">
        <f t="shared" ca="1" si="33"/>
        <v>1952.3181760801654</v>
      </c>
      <c r="J78" s="30">
        <f t="shared" ca="1" si="33"/>
        <v>2200.9314996255553</v>
      </c>
    </row>
    <row r="79" spans="1:10">
      <c r="B79" s="151" t="s">
        <v>117</v>
      </c>
      <c r="D79" s="118">
        <v>347</v>
      </c>
      <c r="E79" s="118">
        <v>15</v>
      </c>
      <c r="F79" s="30">
        <f>F176</f>
        <v>140</v>
      </c>
      <c r="G79" s="30">
        <f t="shared" ref="G79:J79" si="34">G176</f>
        <v>252</v>
      </c>
      <c r="H79" s="30">
        <f t="shared" si="34"/>
        <v>333</v>
      </c>
      <c r="I79" s="30">
        <f t="shared" si="34"/>
        <v>416</v>
      </c>
      <c r="J79" s="30">
        <f t="shared" si="34"/>
        <v>495</v>
      </c>
    </row>
    <row r="80" spans="1:10">
      <c r="B80" s="150" t="s">
        <v>118</v>
      </c>
      <c r="D80" s="118">
        <v>37</v>
      </c>
      <c r="E80" s="118">
        <v>25</v>
      </c>
      <c r="F80" s="30">
        <f>F181</f>
        <v>140</v>
      </c>
      <c r="G80" s="30">
        <f t="shared" ref="G80:J80" si="35">G181</f>
        <v>252</v>
      </c>
      <c r="H80" s="30">
        <f t="shared" si="35"/>
        <v>333</v>
      </c>
      <c r="I80" s="30">
        <f t="shared" si="35"/>
        <v>416</v>
      </c>
      <c r="J80" s="30">
        <f t="shared" si="35"/>
        <v>495</v>
      </c>
    </row>
    <row r="81" spans="2:13">
      <c r="B81" s="151" t="s">
        <v>119</v>
      </c>
      <c r="D81" s="118">
        <v>4574</v>
      </c>
      <c r="E81" s="118">
        <v>4411</v>
      </c>
      <c r="F81" s="30">
        <f ca="1">F162</f>
        <v>4263.0463071300965</v>
      </c>
      <c r="G81" s="30">
        <f t="shared" ref="G81:J81" ca="1" si="36">G162</f>
        <v>4127.2954880337184</v>
      </c>
      <c r="H81" s="30">
        <f t="shared" ca="1" si="36"/>
        <v>3971.5057761170096</v>
      </c>
      <c r="I81" s="30">
        <f t="shared" ca="1" si="36"/>
        <v>3818.704281335521</v>
      </c>
      <c r="J81" s="30">
        <f t="shared" ca="1" si="36"/>
        <v>3695.486604744126</v>
      </c>
    </row>
    <row r="82" spans="2:13">
      <c r="B82" s="151" t="s">
        <v>120</v>
      </c>
      <c r="D82" s="118">
        <v>204</v>
      </c>
      <c r="E82" s="118">
        <v>196</v>
      </c>
      <c r="F82" s="30">
        <f>F150</f>
        <v>196</v>
      </c>
      <c r="G82" s="30">
        <f t="shared" ref="G82:J82" si="37">G150</f>
        <v>196</v>
      </c>
      <c r="H82" s="30">
        <f t="shared" si="37"/>
        <v>196</v>
      </c>
      <c r="I82" s="30">
        <f t="shared" si="37"/>
        <v>196</v>
      </c>
      <c r="J82" s="30">
        <f t="shared" si="37"/>
        <v>196</v>
      </c>
    </row>
    <row r="83" spans="2:13">
      <c r="B83" s="152" t="s">
        <v>121</v>
      </c>
      <c r="D83" s="118">
        <f>6+120+532</f>
        <v>658</v>
      </c>
      <c r="E83" s="118">
        <f>5+111+502</f>
        <v>618</v>
      </c>
      <c r="F83" s="30">
        <f>F186</f>
        <v>593.28</v>
      </c>
      <c r="G83" s="30">
        <f t="shared" ref="G83:J83" si="38">G186</f>
        <v>569.54879999999991</v>
      </c>
      <c r="H83" s="30">
        <f t="shared" si="38"/>
        <v>546.76684799999987</v>
      </c>
      <c r="I83" s="30">
        <f t="shared" si="38"/>
        <v>524.89617407999981</v>
      </c>
      <c r="J83" s="30">
        <f t="shared" si="38"/>
        <v>503.90032711679982</v>
      </c>
    </row>
    <row r="84" spans="2:13">
      <c r="B84" s="153" t="s">
        <v>122</v>
      </c>
      <c r="D84" s="156">
        <f>SUM(D76:D83)</f>
        <v>12013</v>
      </c>
      <c r="E84" s="156">
        <f>SUM(E76:E83)</f>
        <v>9190</v>
      </c>
      <c r="F84" s="156">
        <f t="shared" ref="F84:J84" ca="1" si="39">SUM(F76:F83)</f>
        <v>8502.6621425402263</v>
      </c>
      <c r="G84" s="156">
        <f t="shared" ca="1" si="39"/>
        <v>8759.7214881383316</v>
      </c>
      <c r="H84" s="156">
        <f t="shared" ca="1" si="39"/>
        <v>9158.1326461713579</v>
      </c>
      <c r="I84" s="156">
        <f t="shared" ca="1" si="39"/>
        <v>9840.2709871927618</v>
      </c>
      <c r="J84" s="156">
        <f t="shared" ca="1" si="39"/>
        <v>10413.193060468748</v>
      </c>
    </row>
    <row r="85" spans="2:13">
      <c r="B85" s="154"/>
    </row>
    <row r="86" spans="2:13">
      <c r="B86" s="154" t="s">
        <v>123</v>
      </c>
      <c r="D86" s="118">
        <f>1871+131+1003</f>
        <v>3005</v>
      </c>
      <c r="E86" s="118">
        <f>1412+81+462</f>
        <v>1955</v>
      </c>
      <c r="F86" s="30">
        <f ca="1">F131</f>
        <v>1637.4962695922627</v>
      </c>
      <c r="G86" s="30">
        <f t="shared" ref="G86:J86" ca="1" si="40">G131</f>
        <v>1796.2420858169107</v>
      </c>
      <c r="H86" s="30">
        <f t="shared" ca="1" si="40"/>
        <v>1988.9488433926149</v>
      </c>
      <c r="I86" s="30">
        <f t="shared" ca="1" si="40"/>
        <v>2350.0126193557544</v>
      </c>
      <c r="J86" s="30">
        <f t="shared" ca="1" si="40"/>
        <v>2613.606155805347</v>
      </c>
    </row>
    <row r="87" spans="2:13">
      <c r="B87" s="154" t="s">
        <v>124</v>
      </c>
      <c r="D87" s="118">
        <f>134+52+378</f>
        <v>564</v>
      </c>
      <c r="E87" s="118">
        <f>99+49+45</f>
        <v>193</v>
      </c>
      <c r="F87" s="30">
        <f ca="1">F139</f>
        <v>216.09505163316712</v>
      </c>
      <c r="G87" s="30">
        <f t="shared" ref="G87:J87" ca="1" si="41">G139</f>
        <v>287.76536812565104</v>
      </c>
      <c r="H87" s="30">
        <f t="shared" ca="1" si="41"/>
        <v>350.88777007808557</v>
      </c>
      <c r="I87" s="30">
        <f t="shared" ca="1" si="41"/>
        <v>433.30685001085652</v>
      </c>
      <c r="J87" s="30">
        <f t="shared" ca="1" si="41"/>
        <v>461.08900131820292</v>
      </c>
    </row>
    <row r="88" spans="2:13">
      <c r="B88" s="154" t="s">
        <v>125</v>
      </c>
      <c r="D88" s="118">
        <v>0</v>
      </c>
      <c r="E88" s="118">
        <v>0</v>
      </c>
    </row>
    <row r="89" spans="2:13">
      <c r="B89" s="154" t="s">
        <v>126</v>
      </c>
      <c r="D89" s="118">
        <v>3120</v>
      </c>
      <c r="E89" s="118">
        <v>3116</v>
      </c>
      <c r="F89" s="30">
        <f>F201</f>
        <v>3169.9465624999998</v>
      </c>
      <c r="G89" s="30">
        <f t="shared" ref="G89:J89" si="42">G201</f>
        <v>3223.8931249999996</v>
      </c>
      <c r="H89" s="30">
        <f t="shared" si="42"/>
        <v>3261.7771874999994</v>
      </c>
      <c r="I89" s="30">
        <f t="shared" si="42"/>
        <v>3308.4112499999992</v>
      </c>
      <c r="J89" s="30">
        <f t="shared" si="42"/>
        <v>3355.045312499999</v>
      </c>
    </row>
    <row r="90" spans="2:13">
      <c r="B90" s="152" t="s">
        <v>127</v>
      </c>
      <c r="D90" s="118">
        <f>1117+407</f>
        <v>1524</v>
      </c>
      <c r="E90" s="118">
        <f>1101+29+359</f>
        <v>1489</v>
      </c>
      <c r="F90" s="30">
        <f>F191</f>
        <v>1456.242</v>
      </c>
      <c r="G90" s="30">
        <f t="shared" ref="G90:J90" si="43">G191</f>
        <v>1424.2046759999998</v>
      </c>
      <c r="H90" s="30">
        <f t="shared" si="43"/>
        <v>1392.8721731279998</v>
      </c>
      <c r="I90" s="30">
        <f t="shared" si="43"/>
        <v>1362.2289853191837</v>
      </c>
      <c r="J90" s="30">
        <f t="shared" si="43"/>
        <v>1332.2599476421617</v>
      </c>
    </row>
    <row r="91" spans="2:13">
      <c r="B91" s="153" t="s">
        <v>128</v>
      </c>
      <c r="D91" s="156">
        <f>SUM(D86:D90)</f>
        <v>8213</v>
      </c>
      <c r="E91" s="156">
        <f>SUM(E86:E90)</f>
        <v>6753</v>
      </c>
      <c r="F91" s="156">
        <f t="shared" ref="F91:J91" ca="1" si="44">SUM(F86:F90)</f>
        <v>6479.7798837254295</v>
      </c>
      <c r="G91" s="156">
        <f t="shared" ca="1" si="44"/>
        <v>6732.1052549425604</v>
      </c>
      <c r="H91" s="156">
        <f t="shared" ca="1" si="44"/>
        <v>6994.4859740986994</v>
      </c>
      <c r="I91" s="156">
        <f t="shared" ca="1" si="44"/>
        <v>7453.9597046857943</v>
      </c>
      <c r="J91" s="156">
        <f t="shared" ca="1" si="44"/>
        <v>7762.0004172657109</v>
      </c>
    </row>
    <row r="92" spans="2:13">
      <c r="B92" s="153"/>
      <c r="D92" s="30"/>
      <c r="E92" s="30"/>
    </row>
    <row r="93" spans="2:13">
      <c r="B93" s="154" t="s">
        <v>129</v>
      </c>
      <c r="D93" s="105">
        <f>151+3623</f>
        <v>3774</v>
      </c>
      <c r="E93" s="105">
        <f>151+3603</f>
        <v>3754</v>
      </c>
      <c r="F93" s="5">
        <f>F217-280</f>
        <v>3513</v>
      </c>
      <c r="G93" s="5">
        <f>G217-392+1</f>
        <v>3443</v>
      </c>
      <c r="H93" s="5">
        <f>H217-473+1</f>
        <v>3405</v>
      </c>
      <c r="I93" s="5">
        <f>I217-556+1</f>
        <v>3367</v>
      </c>
      <c r="J93" s="5">
        <f>J217-635+1</f>
        <v>3335</v>
      </c>
    </row>
    <row r="94" spans="2:13">
      <c r="B94" s="154" t="s">
        <v>130</v>
      </c>
      <c r="D94" s="105">
        <v>-396</v>
      </c>
      <c r="E94" s="105">
        <v>-339</v>
      </c>
      <c r="F94" s="5">
        <f>F226</f>
        <v>-282</v>
      </c>
      <c r="G94" s="5">
        <f t="shared" ref="G94:J94" si="45">G226</f>
        <v>-253.5</v>
      </c>
      <c r="H94" s="5">
        <f t="shared" si="45"/>
        <v>-239.25</v>
      </c>
      <c r="I94" s="5">
        <f t="shared" si="45"/>
        <v>-232.125</v>
      </c>
      <c r="J94" s="5">
        <f t="shared" si="45"/>
        <v>-228.5625</v>
      </c>
      <c r="M94" s="30"/>
    </row>
    <row r="95" spans="2:13">
      <c r="B95" s="154" t="s">
        <v>131</v>
      </c>
      <c r="D95" s="105">
        <v>1862</v>
      </c>
      <c r="E95" s="105">
        <v>190</v>
      </c>
      <c r="F95" s="5">
        <f ca="1">F238</f>
        <v>-240.22461618520282</v>
      </c>
      <c r="G95" s="5">
        <f t="shared" ref="G95:J95" ca="1" si="46">G238</f>
        <v>-194.09751680423057</v>
      </c>
      <c r="H95" s="5">
        <f t="shared" ca="1" si="46"/>
        <v>-34.048952927341645</v>
      </c>
      <c r="I95" s="5">
        <f t="shared" ca="1" si="46"/>
        <v>219.00878250696684</v>
      </c>
      <c r="J95" s="5">
        <f t="shared" ca="1" si="46"/>
        <v>512.72076820303573</v>
      </c>
    </row>
    <row r="96" spans="2:13">
      <c r="B96" s="154" t="s">
        <v>132</v>
      </c>
      <c r="D96" s="105">
        <f>-1441+1</f>
        <v>-1440</v>
      </c>
      <c r="E96" s="105">
        <f>-1169+1</f>
        <v>-1168</v>
      </c>
      <c r="F96" s="5">
        <f>F247</f>
        <v>-968</v>
      </c>
      <c r="G96" s="5">
        <f t="shared" ref="G96:J96" si="47">G247</f>
        <v>-968</v>
      </c>
      <c r="H96" s="5">
        <f t="shared" si="47"/>
        <v>-968</v>
      </c>
      <c r="I96" s="5">
        <f t="shared" si="47"/>
        <v>-968</v>
      </c>
      <c r="J96" s="5">
        <f t="shared" si="47"/>
        <v>-968</v>
      </c>
    </row>
    <row r="97" spans="1:10">
      <c r="B97" s="153" t="s">
        <v>133</v>
      </c>
      <c r="D97" s="156">
        <f>SUM(D93:D96)</f>
        <v>3800</v>
      </c>
      <c r="E97" s="156">
        <f>SUM(E93:E96)</f>
        <v>2437</v>
      </c>
      <c r="F97" s="156">
        <f t="shared" ref="F97:J97" ca="1" si="48">SUM(F93:F96)</f>
        <v>2022.7753838147974</v>
      </c>
      <c r="G97" s="156">
        <f t="shared" ca="1" si="48"/>
        <v>2027.4024831957695</v>
      </c>
      <c r="H97" s="156">
        <f t="shared" ca="1" si="48"/>
        <v>2163.7010470726582</v>
      </c>
      <c r="I97" s="156">
        <f ca="1">SUM(I93:I96)</f>
        <v>2385.8837825069668</v>
      </c>
      <c r="J97" s="156">
        <f t="shared" ca="1" si="48"/>
        <v>2651.1582682030357</v>
      </c>
    </row>
    <row r="98" spans="1:10">
      <c r="B98" s="150"/>
    </row>
    <row r="99" spans="1:10">
      <c r="B99" s="155" t="s">
        <v>134</v>
      </c>
      <c r="D99" s="157">
        <f>ROUND(D84-D91-D97,3)</f>
        <v>0</v>
      </c>
      <c r="E99" s="157">
        <f t="shared" ref="E99:J99" si="49">ROUND(E84-E91-E97,3)</f>
        <v>0</v>
      </c>
      <c r="F99" s="157">
        <f t="shared" ca="1" si="49"/>
        <v>0.107</v>
      </c>
      <c r="G99" s="157">
        <f t="shared" ca="1" si="49"/>
        <v>0.214</v>
      </c>
      <c r="H99" s="157">
        <f t="shared" ca="1" si="49"/>
        <v>-5.3999999999999999E-2</v>
      </c>
      <c r="I99" s="157">
        <f ca="1">ROUND(I84-I91-I97,3)</f>
        <v>0.42799999999999999</v>
      </c>
      <c r="J99" s="157">
        <f t="shared" ca="1" si="49"/>
        <v>3.4000000000000002E-2</v>
      </c>
    </row>
    <row r="100" spans="1:10">
      <c r="B100" s="64"/>
    </row>
    <row r="101" spans="1:10">
      <c r="B101" s="31" t="s">
        <v>135</v>
      </c>
    </row>
    <row r="102" spans="1:10">
      <c r="B102" s="64" t="s">
        <v>136</v>
      </c>
      <c r="D102" s="5">
        <f>D76-D89</f>
        <v>-1766</v>
      </c>
      <c r="E102" s="5">
        <f>E76-E89</f>
        <v>-2361</v>
      </c>
      <c r="F102" s="5">
        <f t="shared" ref="F102:J102" ca="1" si="50">F76-F89</f>
        <v>-2577.8647986864794</v>
      </c>
      <c r="G102" s="5">
        <f t="shared" ca="1" si="50"/>
        <v>-2790.5739521804871</v>
      </c>
      <c r="H102" s="5">
        <f t="shared" ca="1" si="50"/>
        <v>-2641.7901335583947</v>
      </c>
      <c r="I102" s="5">
        <f t="shared" ca="1" si="50"/>
        <v>-2606.5313287233857</v>
      </c>
      <c r="J102" s="5">
        <f t="shared" ca="1" si="50"/>
        <v>-2556.9622893178257</v>
      </c>
    </row>
    <row r="103" spans="1:10">
      <c r="B103" s="64" t="s">
        <v>137</v>
      </c>
      <c r="D103" s="158">
        <f>D16/D84</f>
        <v>1.4573378839590443</v>
      </c>
      <c r="E103" s="158">
        <f t="shared" ref="E103:J103" si="51">E16/E84</f>
        <v>1.2594124047878128</v>
      </c>
      <c r="F103" s="158">
        <f t="shared" ca="1" si="51"/>
        <v>1.1295549977198465</v>
      </c>
      <c r="G103" s="158">
        <f t="shared" ca="1" si="51"/>
        <v>1.2167026784673984</v>
      </c>
      <c r="H103" s="158">
        <f t="shared" ca="1" si="51"/>
        <v>1.2771445287476351</v>
      </c>
      <c r="I103" s="158">
        <f t="shared" ca="1" si="51"/>
        <v>1.3760636348798565</v>
      </c>
      <c r="J103" s="158">
        <f t="shared" ca="1" si="51"/>
        <v>1.4759769926498962</v>
      </c>
    </row>
    <row r="104" spans="1:10">
      <c r="B104" s="64" t="s">
        <v>138</v>
      </c>
      <c r="D104" s="34">
        <f>D28/D16</f>
        <v>4.1983206717313072E-2</v>
      </c>
      <c r="E104" s="34">
        <f>E28/E16</f>
        <v>-0.11698634871263176</v>
      </c>
      <c r="F104" s="34">
        <f t="shared" ref="F104:J104" ca="1" si="52">F28/F16</f>
        <v>-4.7814856407295825E-2</v>
      </c>
      <c r="G104" s="34">
        <f t="shared" ca="1" si="52"/>
        <v>1.606974759674115E-3</v>
      </c>
      <c r="H104" s="34">
        <f t="shared" ca="1" si="52"/>
        <v>1.1204314460523297E-2</v>
      </c>
      <c r="I104" s="34">
        <f t="shared" ca="1" si="52"/>
        <v>1.6546813265745121E-2</v>
      </c>
      <c r="J104" s="34">
        <f t="shared" ca="1" si="52"/>
        <v>1.7223051402611184E-2</v>
      </c>
    </row>
    <row r="105" spans="1:10">
      <c r="B105" s="64" t="s">
        <v>139</v>
      </c>
      <c r="D105" s="34">
        <f>D28/D84</f>
        <v>6.1183717639224172E-2</v>
      </c>
      <c r="E105" s="34">
        <f t="shared" ref="E105:J105" si="53">E28/E84</f>
        <v>-0.14733405875952121</v>
      </c>
      <c r="F105" s="34">
        <f t="shared" ca="1" si="53"/>
        <v>-5.4009510020117821E-2</v>
      </c>
      <c r="G105" s="34">
        <f t="shared" ca="1" si="53"/>
        <v>1.9552104943249995E-3</v>
      </c>
      <c r="H105" s="34">
        <f t="shared" ca="1" si="53"/>
        <v>1.430952891162534E-2</v>
      </c>
      <c r="I105" s="34">
        <f t="shared" ca="1" si="53"/>
        <v>2.2769468008139459E-2</v>
      </c>
      <c r="J105" s="34">
        <f t="shared" ca="1" si="53"/>
        <v>2.5420827613480631E-2</v>
      </c>
    </row>
    <row r="106" spans="1:10">
      <c r="B106" s="64" t="s">
        <v>140</v>
      </c>
      <c r="D106" s="34">
        <f>D28/D97</f>
        <v>0.19342105263157894</v>
      </c>
      <c r="E106" s="34">
        <f t="shared" ref="E106:J106" si="54">E28/E97</f>
        <v>-0.55560114895363155</v>
      </c>
      <c r="F106" s="34">
        <f t="shared" ca="1" si="54"/>
        <v>-0.22702699462317008</v>
      </c>
      <c r="G106" s="34">
        <f t="shared" ca="1" si="54"/>
        <v>8.4478042830326578E-3</v>
      </c>
      <c r="H106" s="34">
        <f t="shared" ca="1" si="54"/>
        <v>6.0566853287883186E-2</v>
      </c>
      <c r="I106" s="34">
        <f t="shared" ca="1" si="54"/>
        <v>9.390974408605933E-2</v>
      </c>
      <c r="J106" s="34">
        <f t="shared" ca="1" si="54"/>
        <v>9.9847673702065154E-2</v>
      </c>
    </row>
    <row r="108" spans="1:10">
      <c r="A108" t="s">
        <v>112</v>
      </c>
      <c r="B108" s="62" t="s">
        <v>141</v>
      </c>
      <c r="C108" s="13"/>
      <c r="D108" s="14"/>
      <c r="E108" s="14"/>
      <c r="F108" s="14"/>
      <c r="G108" s="14"/>
      <c r="H108" s="14"/>
      <c r="I108" s="14"/>
      <c r="J108" s="14"/>
    </row>
    <row r="109" spans="1:10">
      <c r="B109" s="9" t="s">
        <v>11</v>
      </c>
      <c r="C109" s="15"/>
      <c r="D109" s="15">
        <f>E109-1</f>
        <v>2014</v>
      </c>
      <c r="E109" s="15">
        <f>YEAR($C$9)</f>
        <v>2015</v>
      </c>
      <c r="F109" s="16">
        <f>E109+1</f>
        <v>2016</v>
      </c>
      <c r="G109" s="16">
        <f>F109+1</f>
        <v>2017</v>
      </c>
      <c r="H109" s="16">
        <f>G109+1</f>
        <v>2018</v>
      </c>
      <c r="I109" s="16">
        <f>H109+1</f>
        <v>2019</v>
      </c>
      <c r="J109" s="16">
        <f>I109+1</f>
        <v>2020</v>
      </c>
    </row>
    <row r="110" spans="1:10">
      <c r="B110" s="17" t="s">
        <v>12</v>
      </c>
      <c r="C110" s="63"/>
      <c r="D110" s="63">
        <v>42004</v>
      </c>
      <c r="E110" s="19">
        <f>$C$9</f>
        <v>42369</v>
      </c>
      <c r="F110" s="19">
        <f>EOMONTH(E110,12)</f>
        <v>42735</v>
      </c>
      <c r="G110" s="19">
        <f>EOMONTH(F110,12)</f>
        <v>43100</v>
      </c>
      <c r="H110" s="19">
        <f>EOMONTH(G110,12)</f>
        <v>43465</v>
      </c>
      <c r="I110" s="19">
        <f>EOMONTH(H110,12)</f>
        <v>43830</v>
      </c>
      <c r="J110" s="19">
        <f>EOMONTH(I110,12)</f>
        <v>44196</v>
      </c>
    </row>
    <row r="111" spans="1:10">
      <c r="B111" s="150"/>
    </row>
    <row r="112" spans="1:10">
      <c r="B112" s="159" t="s">
        <v>115</v>
      </c>
    </row>
    <row r="113" spans="2:10">
      <c r="B113" s="160" t="s">
        <v>142</v>
      </c>
      <c r="F113" s="30">
        <f>E115</f>
        <v>1096</v>
      </c>
      <c r="G113" s="30">
        <f t="shared" ref="G113:J113" ca="1" si="55">F115</f>
        <v>931.60977815187607</v>
      </c>
      <c r="H113" s="30">
        <f t="shared" ca="1" si="55"/>
        <v>1278.95719166956</v>
      </c>
      <c r="I113" s="30">
        <f t="shared" ca="1" si="55"/>
        <v>1462.0323753253565</v>
      </c>
      <c r="J113" s="30">
        <f t="shared" ca="1" si="55"/>
        <v>1814.4724344204617</v>
      </c>
    </row>
    <row r="114" spans="2:10">
      <c r="B114" s="161" t="s">
        <v>143</v>
      </c>
      <c r="F114" s="5">
        <f ca="1">F115-F113</f>
        <v>-164.39022184812393</v>
      </c>
      <c r="G114" s="5">
        <f t="shared" ref="G114:J114" ca="1" si="56">G115-G113</f>
        <v>347.34741351768389</v>
      </c>
      <c r="H114" s="5">
        <f t="shared" ca="1" si="56"/>
        <v>183.07518365579654</v>
      </c>
      <c r="I114" s="5">
        <f t="shared" ca="1" si="56"/>
        <v>352.4400590951052</v>
      </c>
      <c r="J114" s="5">
        <f t="shared" ca="1" si="56"/>
        <v>214.31917137963114</v>
      </c>
    </row>
    <row r="115" spans="2:10">
      <c r="B115" s="160" t="s">
        <v>144</v>
      </c>
      <c r="D115" s="30">
        <f>D77</f>
        <v>2343</v>
      </c>
      <c r="E115" s="30">
        <f>E77</f>
        <v>1096</v>
      </c>
      <c r="F115" s="30">
        <f ca="1">F117*F16</f>
        <v>931.60977815187607</v>
      </c>
      <c r="G115" s="30">
        <f t="shared" ref="G115:J115" ca="1" si="57">G117*G16</f>
        <v>1278.95719166956</v>
      </c>
      <c r="H115" s="30">
        <f t="shared" ca="1" si="57"/>
        <v>1462.0323753253565</v>
      </c>
      <c r="I115" s="30">
        <f t="shared" ca="1" si="57"/>
        <v>1814.4724344204617</v>
      </c>
      <c r="J115" s="30">
        <f t="shared" ca="1" si="57"/>
        <v>2028.7916058000928</v>
      </c>
    </row>
    <row r="116" spans="2:10">
      <c r="B116" s="150"/>
    </row>
    <row r="117" spans="2:10">
      <c r="B117" s="160" t="s">
        <v>145</v>
      </c>
      <c r="D117" s="35">
        <f>D77/D16</f>
        <v>0.13383218141314904</v>
      </c>
      <c r="E117" s="35">
        <f>E77/E16</f>
        <v>9.469500604803871E-2</v>
      </c>
      <c r="F117" s="165">
        <v>9.7000000000000003E-2</v>
      </c>
      <c r="G117" s="140">
        <v>0.12</v>
      </c>
      <c r="H117" s="140">
        <v>0.125</v>
      </c>
      <c r="I117" s="108">
        <v>0.13400000000000001</v>
      </c>
      <c r="J117" s="140">
        <v>0.13200000000000001</v>
      </c>
    </row>
    <row r="118" spans="2:10">
      <c r="B118" s="162" t="s">
        <v>146</v>
      </c>
      <c r="D118" s="164">
        <f>D117*365</f>
        <v>48.848746215799402</v>
      </c>
      <c r="E118" s="164">
        <f>E117*365</f>
        <v>34.563677207534127</v>
      </c>
      <c r="F118" s="164">
        <f>F117*365</f>
        <v>35.405000000000001</v>
      </c>
      <c r="G118" s="164">
        <f t="shared" ref="G118:J118" si="58">G117*365</f>
        <v>43.8</v>
      </c>
      <c r="H118" s="164">
        <f t="shared" si="58"/>
        <v>45.625</v>
      </c>
      <c r="I118" s="164">
        <f t="shared" si="58"/>
        <v>48.910000000000004</v>
      </c>
      <c r="J118" s="164">
        <f t="shared" si="58"/>
        <v>48.18</v>
      </c>
    </row>
    <row r="119" spans="2:10">
      <c r="B119" s="150"/>
    </row>
    <row r="120" spans="2:10">
      <c r="B120" s="159" t="s">
        <v>147</v>
      </c>
    </row>
    <row r="121" spans="2:10">
      <c r="B121" s="160" t="s">
        <v>142</v>
      </c>
      <c r="F121" s="30">
        <f>E123</f>
        <v>2074</v>
      </c>
      <c r="G121" s="30">
        <f t="shared" ref="G121:J121" ca="1" si="59">F123</f>
        <v>1646.6442934447334</v>
      </c>
      <c r="H121" s="30">
        <f t="shared" ca="1" si="59"/>
        <v>1650.6008356155398</v>
      </c>
      <c r="I121" s="30">
        <f t="shared" ca="1" si="59"/>
        <v>1695.8405927873875</v>
      </c>
      <c r="J121" s="30">
        <f t="shared" ca="1" si="59"/>
        <v>1952.3181760801654</v>
      </c>
    </row>
    <row r="122" spans="2:10">
      <c r="B122" s="161" t="s">
        <v>143</v>
      </c>
      <c r="F122" s="5">
        <f ca="1">F123-F121</f>
        <v>-427.35570655526658</v>
      </c>
      <c r="G122" s="5">
        <f t="shared" ref="G122:J122" ca="1" si="60">G123-G121</f>
        <v>3.956542170806415</v>
      </c>
      <c r="H122" s="5">
        <f t="shared" ca="1" si="60"/>
        <v>45.239757171847714</v>
      </c>
      <c r="I122" s="5">
        <f t="shared" ca="1" si="60"/>
        <v>256.47758329277781</v>
      </c>
      <c r="J122" s="5">
        <f t="shared" ca="1" si="60"/>
        <v>248.6133235453899</v>
      </c>
    </row>
    <row r="123" spans="2:10">
      <c r="B123" s="160" t="s">
        <v>144</v>
      </c>
      <c r="D123" s="30">
        <f>D78</f>
        <v>2496</v>
      </c>
      <c r="E123" s="30">
        <f>E78</f>
        <v>2074</v>
      </c>
      <c r="F123" s="30">
        <f ca="1">-F125*F17</f>
        <v>1646.6442934447334</v>
      </c>
      <c r="G123" s="30">
        <f t="shared" ref="G123:J123" ca="1" si="61">-G125*G17</f>
        <v>1650.6008356155398</v>
      </c>
      <c r="H123" s="30">
        <f t="shared" ca="1" si="61"/>
        <v>1695.8405927873875</v>
      </c>
      <c r="I123" s="30">
        <f t="shared" ca="1" si="61"/>
        <v>1952.3181760801654</v>
      </c>
      <c r="J123" s="30">
        <f t="shared" ca="1" si="61"/>
        <v>2200.9314996255553</v>
      </c>
    </row>
    <row r="124" spans="2:10">
      <c r="B124" s="150"/>
    </row>
    <row r="125" spans="2:10">
      <c r="B125" s="160" t="s">
        <v>148</v>
      </c>
      <c r="D125" s="35">
        <f>-D123/D17</f>
        <v>0.161626626950722</v>
      </c>
      <c r="E125" s="35">
        <f>-E123/E17</f>
        <v>0.18639345735598095</v>
      </c>
      <c r="F125" s="140">
        <v>0.18</v>
      </c>
      <c r="G125" s="108">
        <v>0.17</v>
      </c>
      <c r="H125" s="140">
        <v>0.16200000000000001</v>
      </c>
      <c r="I125" s="140">
        <v>0.16200000000000001</v>
      </c>
      <c r="J125" s="140">
        <v>0.16</v>
      </c>
    </row>
    <row r="126" spans="2:10">
      <c r="B126" s="160" t="s">
        <v>149</v>
      </c>
      <c r="D126" s="158">
        <f>-D17/D123</f>
        <v>6.1870993589743586</v>
      </c>
      <c r="E126" s="158">
        <f>-E17/E123</f>
        <v>5.3649951783992282</v>
      </c>
      <c r="F126" s="158">
        <f t="shared" ref="F126:J126" ca="1" si="62">-F17/F123</f>
        <v>5.5555555555555562</v>
      </c>
      <c r="G126" s="158">
        <f t="shared" ca="1" si="62"/>
        <v>5.8823529411764701</v>
      </c>
      <c r="H126" s="158">
        <f t="shared" ca="1" si="62"/>
        <v>6.1728395061728394</v>
      </c>
      <c r="I126" s="158">
        <f t="shared" ca="1" si="62"/>
        <v>6.1728395061728394</v>
      </c>
      <c r="J126" s="158">
        <f t="shared" ca="1" si="62"/>
        <v>6.25</v>
      </c>
    </row>
    <row r="127" spans="2:10">
      <c r="B127" s="150"/>
    </row>
    <row r="128" spans="2:10">
      <c r="B128" s="159" t="s">
        <v>123</v>
      </c>
    </row>
    <row r="129" spans="1:10">
      <c r="B129" s="160" t="s">
        <v>142</v>
      </c>
      <c r="F129" s="30">
        <f>E131</f>
        <v>1955</v>
      </c>
      <c r="G129" s="30">
        <f t="shared" ref="G129:J129" ca="1" si="63">F131</f>
        <v>1637.4962695922627</v>
      </c>
      <c r="H129" s="30">
        <f t="shared" ca="1" si="63"/>
        <v>1796.2420858169107</v>
      </c>
      <c r="I129" s="30">
        <f t="shared" ca="1" si="63"/>
        <v>1988.9488433926149</v>
      </c>
      <c r="J129" s="30">
        <f t="shared" ca="1" si="63"/>
        <v>2350.0126193557544</v>
      </c>
    </row>
    <row r="130" spans="1:10">
      <c r="B130" s="161" t="s">
        <v>143</v>
      </c>
      <c r="F130" s="5">
        <f ca="1">F131-F129</f>
        <v>-317.50373040773729</v>
      </c>
      <c r="G130" s="5">
        <f t="shared" ref="G130:J130" ca="1" si="64">G131-G129</f>
        <v>158.74581622464802</v>
      </c>
      <c r="H130" s="5">
        <f t="shared" ca="1" si="64"/>
        <v>192.70675757570416</v>
      </c>
      <c r="I130" s="5">
        <f t="shared" ca="1" si="64"/>
        <v>361.06377596313951</v>
      </c>
      <c r="J130" s="5">
        <f t="shared" ca="1" si="64"/>
        <v>263.59353644959265</v>
      </c>
    </row>
    <row r="131" spans="1:10">
      <c r="B131" s="160" t="s">
        <v>144</v>
      </c>
      <c r="D131" s="30">
        <f>D86</f>
        <v>3005</v>
      </c>
      <c r="E131" s="30">
        <f>E86</f>
        <v>1955</v>
      </c>
      <c r="F131" s="30">
        <f ca="1">-F133*F17</f>
        <v>1637.4962695922627</v>
      </c>
      <c r="G131" s="30">
        <f t="shared" ref="G131:J131" ca="1" si="65">-G133*G17</f>
        <v>1796.2420858169107</v>
      </c>
      <c r="H131" s="30">
        <f t="shared" ca="1" si="65"/>
        <v>1988.9488433926149</v>
      </c>
      <c r="I131" s="30">
        <f t="shared" ca="1" si="65"/>
        <v>2350.0126193557544</v>
      </c>
      <c r="J131" s="30">
        <f t="shared" ca="1" si="65"/>
        <v>2613.606155805347</v>
      </c>
    </row>
    <row r="132" spans="1:10">
      <c r="B132" s="150"/>
    </row>
    <row r="133" spans="1:10">
      <c r="B133" s="160" t="s">
        <v>150</v>
      </c>
      <c r="D133" s="35">
        <f>-D131/D17</f>
        <v>0.19458654406527229</v>
      </c>
      <c r="E133" s="35">
        <f>-E131/E17</f>
        <v>0.17569875078637548</v>
      </c>
      <c r="F133" s="140">
        <v>0.17899999999999999</v>
      </c>
      <c r="G133" s="108">
        <v>0.185</v>
      </c>
      <c r="H133" s="140">
        <v>0.19</v>
      </c>
      <c r="I133" s="140">
        <v>0.19500000000000001</v>
      </c>
      <c r="J133" s="140">
        <v>0.19</v>
      </c>
    </row>
    <row r="134" spans="1:10">
      <c r="B134" s="160" t="s">
        <v>151</v>
      </c>
      <c r="D134" s="163">
        <f>D133*365</f>
        <v>71.02408858382438</v>
      </c>
      <c r="E134" s="163">
        <f>E133*365</f>
        <v>64.130044037027048</v>
      </c>
      <c r="F134" s="163">
        <f t="shared" ref="F134:J134" si="66">F133*365</f>
        <v>65.334999999999994</v>
      </c>
      <c r="G134" s="163">
        <f t="shared" si="66"/>
        <v>67.525000000000006</v>
      </c>
      <c r="H134" s="163">
        <f t="shared" si="66"/>
        <v>69.349999999999994</v>
      </c>
      <c r="I134" s="163">
        <f t="shared" si="66"/>
        <v>71.174999999999997</v>
      </c>
      <c r="J134" s="163">
        <f t="shared" si="66"/>
        <v>69.349999999999994</v>
      </c>
    </row>
    <row r="135" spans="1:10">
      <c r="B135" s="150"/>
    </row>
    <row r="136" spans="1:10">
      <c r="B136" s="159" t="s">
        <v>152</v>
      </c>
    </row>
    <row r="137" spans="1:10">
      <c r="B137" s="160" t="s">
        <v>142</v>
      </c>
      <c r="F137" s="30">
        <f>E139</f>
        <v>193</v>
      </c>
      <c r="G137" s="30">
        <f t="shared" ref="G137:J137" ca="1" si="67">F139</f>
        <v>216.09505163316712</v>
      </c>
      <c r="H137" s="30">
        <f t="shared" ca="1" si="67"/>
        <v>287.76536812565104</v>
      </c>
      <c r="I137" s="30">
        <f t="shared" ca="1" si="67"/>
        <v>350.88777007808557</v>
      </c>
      <c r="J137" s="30">
        <f t="shared" ca="1" si="67"/>
        <v>433.30685001085652</v>
      </c>
    </row>
    <row r="138" spans="1:10">
      <c r="B138" s="161" t="s">
        <v>143</v>
      </c>
      <c r="F138" s="30">
        <f ca="1">F139-F137</f>
        <v>23.095051633167117</v>
      </c>
      <c r="G138" s="30">
        <f t="shared" ref="G138:J138" ca="1" si="68">G139-G137</f>
        <v>71.67031649248392</v>
      </c>
      <c r="H138" s="30">
        <f t="shared" ca="1" si="68"/>
        <v>63.122401952434529</v>
      </c>
      <c r="I138" s="30">
        <f t="shared" ca="1" si="68"/>
        <v>82.419079932770956</v>
      </c>
      <c r="J138" s="30">
        <f t="shared" ca="1" si="68"/>
        <v>27.782151307346396</v>
      </c>
    </row>
    <row r="139" spans="1:10">
      <c r="B139" s="160" t="s">
        <v>144</v>
      </c>
      <c r="D139" s="30">
        <f>D87</f>
        <v>564</v>
      </c>
      <c r="E139" s="30">
        <f>E87</f>
        <v>193</v>
      </c>
      <c r="F139" s="30">
        <f ca="1">F16*F141</f>
        <v>216.09505163316712</v>
      </c>
      <c r="G139" s="30">
        <f t="shared" ref="G139:J139" ca="1" si="69">G16*G141</f>
        <v>287.76536812565104</v>
      </c>
      <c r="H139" s="30">
        <f t="shared" ca="1" si="69"/>
        <v>350.88777007808557</v>
      </c>
      <c r="I139" s="30">
        <f t="shared" ca="1" si="69"/>
        <v>433.30685001085652</v>
      </c>
      <c r="J139" s="30">
        <f t="shared" ca="1" si="69"/>
        <v>461.08900131820292</v>
      </c>
    </row>
    <row r="140" spans="1:10">
      <c r="B140" s="150"/>
    </row>
    <row r="141" spans="1:10">
      <c r="B141" s="160" t="s">
        <v>153</v>
      </c>
      <c r="D141" s="35">
        <f>D139/D16</f>
        <v>3.2215685154509628E-2</v>
      </c>
      <c r="E141" s="35">
        <f>E139/E16</f>
        <v>1.6675306721963021E-2</v>
      </c>
      <c r="F141" s="140">
        <v>2.2499999999999999E-2</v>
      </c>
      <c r="G141" s="140">
        <v>2.7E-2</v>
      </c>
      <c r="H141" s="140">
        <v>0.03</v>
      </c>
      <c r="I141" s="140">
        <v>3.2000000000000001E-2</v>
      </c>
      <c r="J141" s="140">
        <v>0.03</v>
      </c>
    </row>
    <row r="143" spans="1:10">
      <c r="A143" t="s">
        <v>112</v>
      </c>
      <c r="B143" s="62" t="s">
        <v>154</v>
      </c>
      <c r="C143" s="13"/>
      <c r="D143" s="14"/>
      <c r="E143" s="14"/>
      <c r="F143" s="14"/>
      <c r="G143" s="14"/>
      <c r="H143" s="14"/>
      <c r="I143" s="14"/>
      <c r="J143" s="14"/>
    </row>
    <row r="144" spans="1:10">
      <c r="B144" s="9" t="s">
        <v>11</v>
      </c>
      <c r="C144" s="15"/>
      <c r="D144" s="15">
        <f>E144-1</f>
        <v>2014</v>
      </c>
      <c r="E144" s="15">
        <f>YEAR($C$9)</f>
        <v>2015</v>
      </c>
      <c r="F144" s="16">
        <f>E144+1</f>
        <v>2016</v>
      </c>
      <c r="G144" s="16">
        <f>F144+1</f>
        <v>2017</v>
      </c>
      <c r="H144" s="16">
        <f>G144+1</f>
        <v>2018</v>
      </c>
      <c r="I144" s="16">
        <f>H144+1</f>
        <v>2019</v>
      </c>
      <c r="J144" s="16">
        <f>I144+1</f>
        <v>2020</v>
      </c>
    </row>
    <row r="145" spans="1:10">
      <c r="B145" s="17" t="s">
        <v>12</v>
      </c>
      <c r="C145" s="63"/>
      <c r="D145" s="63">
        <v>42004</v>
      </c>
      <c r="E145" s="19">
        <f>$C$9</f>
        <v>42369</v>
      </c>
      <c r="F145" s="19">
        <f>EOMONTH(E145,12)</f>
        <v>42735</v>
      </c>
      <c r="G145" s="19">
        <f>EOMONTH(F145,12)</f>
        <v>43100</v>
      </c>
      <c r="H145" s="19">
        <f>EOMONTH(G145,12)</f>
        <v>43465</v>
      </c>
      <c r="I145" s="19">
        <f>EOMONTH(H145,12)</f>
        <v>43830</v>
      </c>
      <c r="J145" s="19">
        <f>EOMONTH(I145,12)</f>
        <v>44196</v>
      </c>
    </row>
    <row r="147" spans="1:10">
      <c r="B147" s="160" t="s">
        <v>142</v>
      </c>
      <c r="F147" s="30">
        <f>E150</f>
        <v>196</v>
      </c>
      <c r="G147" s="30">
        <f t="shared" ref="G147:J147" si="70">F150</f>
        <v>196</v>
      </c>
      <c r="H147" s="30">
        <f t="shared" si="70"/>
        <v>196</v>
      </c>
      <c r="I147" s="30">
        <f t="shared" si="70"/>
        <v>196</v>
      </c>
      <c r="J147" s="30">
        <f t="shared" si="70"/>
        <v>196</v>
      </c>
    </row>
    <row r="148" spans="1:10">
      <c r="B148" s="161" t="s">
        <v>155</v>
      </c>
      <c r="F148">
        <f>F152</f>
        <v>0</v>
      </c>
      <c r="G148">
        <f t="shared" ref="G148:J148" si="71">G152</f>
        <v>0</v>
      </c>
      <c r="H148">
        <f t="shared" si="71"/>
        <v>0</v>
      </c>
      <c r="I148">
        <f t="shared" si="71"/>
        <v>0</v>
      </c>
      <c r="J148">
        <f t="shared" si="71"/>
        <v>0</v>
      </c>
    </row>
    <row r="149" spans="1:10">
      <c r="B149" s="161" t="s">
        <v>156</v>
      </c>
      <c r="F149">
        <f>F153</f>
        <v>0</v>
      </c>
      <c r="G149">
        <f t="shared" ref="G149:J149" si="72">G153</f>
        <v>0</v>
      </c>
      <c r="H149">
        <f t="shared" si="72"/>
        <v>0</v>
      </c>
      <c r="I149">
        <f t="shared" si="72"/>
        <v>0</v>
      </c>
      <c r="J149">
        <f t="shared" si="72"/>
        <v>0</v>
      </c>
    </row>
    <row r="150" spans="1:10">
      <c r="B150" s="160" t="s">
        <v>144</v>
      </c>
      <c r="D150" s="30">
        <f>D82</f>
        <v>204</v>
      </c>
      <c r="E150" s="30">
        <f>E82</f>
        <v>196</v>
      </c>
      <c r="F150" s="30">
        <f>SUM(F147:F149)</f>
        <v>196</v>
      </c>
      <c r="G150" s="30">
        <f t="shared" ref="G150:J150" si="73">SUM(G147:G149)</f>
        <v>196</v>
      </c>
      <c r="H150" s="30">
        <f t="shared" si="73"/>
        <v>196</v>
      </c>
      <c r="I150" s="30">
        <f t="shared" si="73"/>
        <v>196</v>
      </c>
      <c r="J150" s="30">
        <f t="shared" si="73"/>
        <v>196</v>
      </c>
    </row>
    <row r="151" spans="1:10">
      <c r="B151" s="150"/>
    </row>
    <row r="152" spans="1:10">
      <c r="B152" s="162" t="s">
        <v>157</v>
      </c>
      <c r="F152" s="109">
        <v>0</v>
      </c>
      <c r="G152" s="109">
        <v>0</v>
      </c>
      <c r="H152" s="109">
        <v>0</v>
      </c>
      <c r="I152" s="109">
        <v>0</v>
      </c>
      <c r="J152" s="109">
        <v>0</v>
      </c>
    </row>
    <row r="153" spans="1:10">
      <c r="B153" s="162" t="s">
        <v>158</v>
      </c>
      <c r="F153" s="109">
        <v>0</v>
      </c>
      <c r="G153" s="109">
        <v>0</v>
      </c>
      <c r="H153" s="109">
        <v>0</v>
      </c>
      <c r="I153" s="109">
        <v>0</v>
      </c>
      <c r="J153" s="109">
        <v>0</v>
      </c>
    </row>
    <row r="155" spans="1:10">
      <c r="A155" t="s">
        <v>112</v>
      </c>
      <c r="B155" s="62" t="s">
        <v>159</v>
      </c>
      <c r="C155" s="13"/>
      <c r="D155" s="14"/>
      <c r="E155" s="14"/>
      <c r="F155" s="14"/>
      <c r="G155" s="14"/>
      <c r="H155" s="14"/>
      <c r="I155" s="14"/>
      <c r="J155" s="14"/>
    </row>
    <row r="156" spans="1:10">
      <c r="B156" s="9" t="s">
        <v>11</v>
      </c>
      <c r="C156" s="15"/>
      <c r="D156" s="15">
        <f>E156-1</f>
        <v>2014</v>
      </c>
      <c r="E156" s="15">
        <f>YEAR($C$9)</f>
        <v>2015</v>
      </c>
      <c r="F156" s="16">
        <f>E156+1</f>
        <v>2016</v>
      </c>
      <c r="G156" s="16">
        <f>F156+1</f>
        <v>2017</v>
      </c>
      <c r="H156" s="16">
        <f>G156+1</f>
        <v>2018</v>
      </c>
      <c r="I156" s="16">
        <f>H156+1</f>
        <v>2019</v>
      </c>
      <c r="J156" s="16">
        <f>I156+1</f>
        <v>2020</v>
      </c>
    </row>
    <row r="157" spans="1:10">
      <c r="B157" s="17" t="s">
        <v>12</v>
      </c>
      <c r="C157" s="63"/>
      <c r="D157" s="63">
        <v>42004</v>
      </c>
      <c r="E157" s="19">
        <f>$C$9</f>
        <v>42369</v>
      </c>
      <c r="F157" s="19">
        <f>EOMONTH(E157,12)</f>
        <v>42735</v>
      </c>
      <c r="G157" s="19">
        <f>EOMONTH(F157,12)</f>
        <v>43100</v>
      </c>
      <c r="H157" s="19">
        <f>EOMONTH(G157,12)</f>
        <v>43465</v>
      </c>
      <c r="I157" s="19">
        <f>EOMONTH(H157,12)</f>
        <v>43830</v>
      </c>
      <c r="J157" s="19">
        <f>EOMONTH(I157,12)</f>
        <v>44196</v>
      </c>
    </row>
    <row r="159" spans="1:10">
      <c r="B159" s="160" t="s">
        <v>142</v>
      </c>
      <c r="F159" s="30">
        <f>E162</f>
        <v>4411</v>
      </c>
      <c r="G159" s="30">
        <f t="shared" ref="G159:J159" ca="1" si="74">F162</f>
        <v>4263.0463071300965</v>
      </c>
      <c r="H159" s="30">
        <f t="shared" ca="1" si="74"/>
        <v>4127.2954880337184</v>
      </c>
      <c r="I159" s="30">
        <f t="shared" ca="1" si="74"/>
        <v>3971.5057761170096</v>
      </c>
      <c r="J159" s="30">
        <f t="shared" ca="1" si="74"/>
        <v>3818.704281335521</v>
      </c>
    </row>
    <row r="160" spans="1:10">
      <c r="B160" s="161" t="s">
        <v>160</v>
      </c>
      <c r="F160" s="30">
        <f ca="1">F164</f>
        <v>355.35630713009704</v>
      </c>
      <c r="G160" s="30">
        <f t="shared" ref="G160:J160" ca="1" si="75">G164</f>
        <v>373.02918090362169</v>
      </c>
      <c r="H160" s="30">
        <f t="shared" ca="1" si="75"/>
        <v>374.28028808329128</v>
      </c>
      <c r="I160" s="30">
        <f t="shared" ca="1" si="75"/>
        <v>406.22517188517799</v>
      </c>
      <c r="J160" s="30">
        <f t="shared" ca="1" si="75"/>
        <v>414.98010118638263</v>
      </c>
    </row>
    <row r="161" spans="1:16">
      <c r="B161" s="161" t="s">
        <v>161</v>
      </c>
      <c r="F161" s="5">
        <f>F166</f>
        <v>-503.31</v>
      </c>
      <c r="G161" s="5">
        <f t="shared" ref="G161:J161" si="76">G166</f>
        <v>-508.78</v>
      </c>
      <c r="H161" s="5">
        <f t="shared" si="76"/>
        <v>-530.07000000000005</v>
      </c>
      <c r="I161" s="5">
        <f t="shared" si="76"/>
        <v>-559.02666666666676</v>
      </c>
      <c r="J161" s="5">
        <f t="shared" si="76"/>
        <v>-538.19777777777779</v>
      </c>
    </row>
    <row r="162" spans="1:16">
      <c r="B162" s="160" t="s">
        <v>144</v>
      </c>
      <c r="D162" s="30">
        <f>D81</f>
        <v>4574</v>
      </c>
      <c r="E162" s="30">
        <f>E81</f>
        <v>4411</v>
      </c>
      <c r="F162" s="30">
        <f ca="1">SUM(F159:F161)</f>
        <v>4263.0463071300965</v>
      </c>
      <c r="G162" s="30">
        <f t="shared" ref="G162:J162" ca="1" si="77">SUM(G159:G161)</f>
        <v>4127.2954880337184</v>
      </c>
      <c r="H162" s="30">
        <f t="shared" ca="1" si="77"/>
        <v>3971.5057761170096</v>
      </c>
      <c r="I162" s="30">
        <f t="shared" ca="1" si="77"/>
        <v>3818.704281335521</v>
      </c>
      <c r="J162" s="30">
        <f t="shared" ca="1" si="77"/>
        <v>3695.486604744126</v>
      </c>
    </row>
    <row r="163" spans="1:16">
      <c r="B163" s="160"/>
    </row>
    <row r="164" spans="1:16">
      <c r="B164" s="162" t="s">
        <v>162</v>
      </c>
      <c r="D164">
        <v>419</v>
      </c>
      <c r="E164">
        <v>500</v>
      </c>
      <c r="F164" s="30">
        <f ca="1">F165*F16</f>
        <v>355.35630713009704</v>
      </c>
      <c r="G164" s="30">
        <f t="shared" ref="G164:J164" ca="1" si="78">G165*G16</f>
        <v>373.02918090362169</v>
      </c>
      <c r="H164" s="30">
        <f t="shared" ca="1" si="78"/>
        <v>374.28028808329128</v>
      </c>
      <c r="I164" s="30">
        <f t="shared" ca="1" si="78"/>
        <v>406.22517188517799</v>
      </c>
      <c r="J164" s="30">
        <f t="shared" ca="1" si="78"/>
        <v>414.98010118638263</v>
      </c>
    </row>
    <row r="165" spans="1:16">
      <c r="B165" s="160" t="s">
        <v>163</v>
      </c>
      <c r="C165" s="34"/>
      <c r="D165" s="34">
        <f t="shared" ref="D165:E165" si="79">D164/D16</f>
        <v>2.3933283829325414E-2</v>
      </c>
      <c r="E165" s="34">
        <f t="shared" si="79"/>
        <v>4.3200276481769481E-2</v>
      </c>
      <c r="F165" s="108">
        <v>3.6999999999999998E-2</v>
      </c>
      <c r="G165" s="140">
        <v>3.5000000000000003E-2</v>
      </c>
      <c r="H165" s="140">
        <v>3.2000000000000001E-2</v>
      </c>
      <c r="I165" s="140">
        <v>0.03</v>
      </c>
      <c r="J165" s="108">
        <v>2.7E-2</v>
      </c>
    </row>
    <row r="166" spans="1:16">
      <c r="B166" s="162" t="s">
        <v>164</v>
      </c>
      <c r="F166" s="5">
        <f>-F45</f>
        <v>-503.31</v>
      </c>
      <c r="G166" s="5">
        <f t="shared" ref="G166:J166" si="80">-G45</f>
        <v>-508.78</v>
      </c>
      <c r="H166" s="5">
        <f t="shared" si="80"/>
        <v>-530.07000000000005</v>
      </c>
      <c r="I166" s="5">
        <f t="shared" si="80"/>
        <v>-559.02666666666676</v>
      </c>
      <c r="J166" s="5">
        <f t="shared" si="80"/>
        <v>-538.19777777777779</v>
      </c>
    </row>
    <row r="167" spans="1:16">
      <c r="B167" s="160" t="s">
        <v>165</v>
      </c>
      <c r="F167" s="34">
        <f ca="1">-F166/F164</f>
        <v>1.4163530797153874</v>
      </c>
      <c r="G167" s="34">
        <f t="shared" ref="G167:J167" ca="1" si="81">-G166/G164</f>
        <v>1.3639147445986317</v>
      </c>
      <c r="H167" s="34">
        <f t="shared" ca="1" si="81"/>
        <v>1.4162380891457467</v>
      </c>
      <c r="I167" s="34">
        <f t="shared" ca="1" si="81"/>
        <v>1.3761497449121125</v>
      </c>
      <c r="J167" s="34">
        <f t="shared" ca="1" si="81"/>
        <v>1.2969243012836744</v>
      </c>
    </row>
    <row r="168" spans="1:16">
      <c r="B168" s="64"/>
    </row>
    <row r="169" spans="1:16">
      <c r="A169" t="s">
        <v>112</v>
      </c>
      <c r="B169" s="62" t="s">
        <v>166</v>
      </c>
      <c r="C169" s="13"/>
      <c r="D169" s="14"/>
      <c r="E169" s="14"/>
      <c r="F169" s="14"/>
      <c r="G169" s="14"/>
      <c r="H169" s="14"/>
      <c r="I169" s="14"/>
      <c r="J169" s="14"/>
    </row>
    <row r="170" spans="1:16">
      <c r="B170" s="9" t="s">
        <v>11</v>
      </c>
      <c r="C170" s="15"/>
      <c r="D170" s="15">
        <f>E170-1</f>
        <v>2014</v>
      </c>
      <c r="E170" s="15">
        <f>YEAR($C$9)</f>
        <v>2015</v>
      </c>
      <c r="F170" s="16">
        <f>E170+1</f>
        <v>2016</v>
      </c>
      <c r="G170" s="16">
        <f>F170+1</f>
        <v>2017</v>
      </c>
      <c r="H170" s="16">
        <f>G170+1</f>
        <v>2018</v>
      </c>
      <c r="I170" s="16">
        <f>H170+1</f>
        <v>2019</v>
      </c>
      <c r="J170" s="16">
        <f>I170+1</f>
        <v>2020</v>
      </c>
    </row>
    <row r="171" spans="1:16">
      <c r="B171" s="17" t="s">
        <v>12</v>
      </c>
      <c r="C171" s="63"/>
      <c r="D171" s="63">
        <v>42004</v>
      </c>
      <c r="E171" s="19">
        <f>$C$9</f>
        <v>42369</v>
      </c>
      <c r="F171" s="19">
        <f>EOMONTH(E171,12)</f>
        <v>42735</v>
      </c>
      <c r="G171" s="19">
        <f>EOMONTH(F171,12)</f>
        <v>43100</v>
      </c>
      <c r="H171" s="19">
        <f>EOMONTH(G171,12)</f>
        <v>43465</v>
      </c>
      <c r="I171" s="19">
        <f>EOMONTH(H171,12)</f>
        <v>43830</v>
      </c>
      <c r="J171" s="19">
        <f>EOMONTH(I171,12)</f>
        <v>44196</v>
      </c>
    </row>
    <row r="172" spans="1:16">
      <c r="B172" s="159"/>
    </row>
    <row r="173" spans="1:16">
      <c r="B173" s="159" t="s">
        <v>118</v>
      </c>
      <c r="L173" s="30"/>
      <c r="M173" s="30"/>
      <c r="N173" s="30"/>
      <c r="O173" s="30"/>
      <c r="P173" s="30"/>
    </row>
    <row r="174" spans="1:16">
      <c r="B174" s="160" t="s">
        <v>142</v>
      </c>
      <c r="F174" s="30">
        <f>E176</f>
        <v>25</v>
      </c>
      <c r="G174" s="30">
        <f t="shared" ref="G174:J174" si="82">F176</f>
        <v>140</v>
      </c>
      <c r="H174" s="30">
        <f t="shared" si="82"/>
        <v>252</v>
      </c>
      <c r="I174" s="30">
        <f t="shared" si="82"/>
        <v>333</v>
      </c>
      <c r="J174" s="30">
        <f t="shared" si="82"/>
        <v>416</v>
      </c>
      <c r="L174" s="30"/>
      <c r="M174" s="30"/>
      <c r="N174" s="30"/>
      <c r="O174" s="30"/>
      <c r="P174" s="30">
        <f>989/2</f>
        <v>494.5</v>
      </c>
    </row>
    <row r="175" spans="1:16">
      <c r="B175" s="161" t="s">
        <v>143</v>
      </c>
      <c r="F175" s="173">
        <f>F176-F174</f>
        <v>115</v>
      </c>
      <c r="G175" s="173">
        <f t="shared" ref="G175:J175" si="83">G176-G174</f>
        <v>112</v>
      </c>
      <c r="H175" s="173">
        <f t="shared" si="83"/>
        <v>81</v>
      </c>
      <c r="I175" s="173">
        <f t="shared" si="83"/>
        <v>83</v>
      </c>
      <c r="J175" s="173">
        <f t="shared" si="83"/>
        <v>79</v>
      </c>
    </row>
    <row r="176" spans="1:16">
      <c r="B176" s="160" t="s">
        <v>144</v>
      </c>
      <c r="D176" s="30">
        <f>D80</f>
        <v>37</v>
      </c>
      <c r="E176" s="30">
        <f>E80</f>
        <v>25</v>
      </c>
      <c r="F176" s="118">
        <v>140</v>
      </c>
      <c r="G176" s="118">
        <v>252</v>
      </c>
      <c r="H176" s="118">
        <v>333</v>
      </c>
      <c r="I176" s="118">
        <v>416</v>
      </c>
      <c r="J176" s="118">
        <v>495</v>
      </c>
    </row>
    <row r="177" spans="2:10">
      <c r="B177" s="150"/>
    </row>
    <row r="178" spans="2:10">
      <c r="B178" s="166" t="s">
        <v>167</v>
      </c>
    </row>
    <row r="179" spans="2:10">
      <c r="B179" s="160" t="s">
        <v>142</v>
      </c>
      <c r="F179" s="30">
        <f>E181</f>
        <v>15</v>
      </c>
      <c r="G179" s="30">
        <f t="shared" ref="G179:J179" si="84">F181</f>
        <v>140</v>
      </c>
      <c r="H179" s="30">
        <f t="shared" si="84"/>
        <v>252</v>
      </c>
      <c r="I179" s="30">
        <f t="shared" si="84"/>
        <v>333</v>
      </c>
      <c r="J179" s="30">
        <f t="shared" si="84"/>
        <v>416</v>
      </c>
    </row>
    <row r="180" spans="2:10">
      <c r="B180" s="161" t="s">
        <v>143</v>
      </c>
      <c r="F180" s="173">
        <f>F181-F179</f>
        <v>125</v>
      </c>
      <c r="G180" s="173">
        <v>0</v>
      </c>
      <c r="H180" s="173">
        <v>0</v>
      </c>
      <c r="I180" s="173">
        <v>0</v>
      </c>
      <c r="J180" s="173">
        <v>0</v>
      </c>
    </row>
    <row r="181" spans="2:10">
      <c r="B181" s="160" t="s">
        <v>144</v>
      </c>
      <c r="D181" s="30">
        <f>D79</f>
        <v>347</v>
      </c>
      <c r="E181" s="30">
        <f>E79</f>
        <v>15</v>
      </c>
      <c r="F181" s="118">
        <v>140</v>
      </c>
      <c r="G181" s="118">
        <v>252</v>
      </c>
      <c r="H181" s="118">
        <v>333</v>
      </c>
      <c r="I181" s="118">
        <v>416</v>
      </c>
      <c r="J181" s="118">
        <v>495</v>
      </c>
    </row>
    <row r="182" spans="2:10">
      <c r="B182" s="150"/>
    </row>
    <row r="183" spans="2:10">
      <c r="B183" s="166" t="s">
        <v>121</v>
      </c>
    </row>
    <row r="184" spans="2:10">
      <c r="B184" s="160" t="s">
        <v>142</v>
      </c>
      <c r="F184" s="30">
        <f>E186</f>
        <v>618</v>
      </c>
      <c r="G184" s="30">
        <f t="shared" ref="G184:J184" si="85">F186</f>
        <v>593.28</v>
      </c>
      <c r="H184" s="30">
        <f t="shared" si="85"/>
        <v>569.54879999999991</v>
      </c>
      <c r="I184" s="30">
        <f t="shared" si="85"/>
        <v>546.76684799999987</v>
      </c>
      <c r="J184" s="30">
        <f t="shared" si="85"/>
        <v>524.89617407999981</v>
      </c>
    </row>
    <row r="185" spans="2:10">
      <c r="B185" s="161" t="s">
        <v>143</v>
      </c>
      <c r="F185" s="5">
        <f>F186-F184</f>
        <v>-24.720000000000027</v>
      </c>
      <c r="G185" s="5">
        <f t="shared" ref="G185:J185" si="86">G186-G184</f>
        <v>-23.731200000000058</v>
      </c>
      <c r="H185" s="5">
        <f t="shared" si="86"/>
        <v>-22.781952000000047</v>
      </c>
      <c r="I185" s="5">
        <f t="shared" si="86"/>
        <v>-21.870673920000058</v>
      </c>
      <c r="J185" s="5">
        <f t="shared" si="86"/>
        <v>-20.995846963199995</v>
      </c>
    </row>
    <row r="186" spans="2:10">
      <c r="B186" s="160" t="s">
        <v>144</v>
      </c>
      <c r="D186" s="30">
        <f>D83</f>
        <v>658</v>
      </c>
      <c r="E186" s="30">
        <f>E83</f>
        <v>618</v>
      </c>
      <c r="F186" s="168">
        <f>E186*(1-0.04)</f>
        <v>593.28</v>
      </c>
      <c r="G186" s="168">
        <f t="shared" ref="G186:J186" si="87">F186*(1-0.04)</f>
        <v>569.54879999999991</v>
      </c>
      <c r="H186" s="168">
        <f t="shared" si="87"/>
        <v>546.76684799999987</v>
      </c>
      <c r="I186" s="168">
        <f t="shared" si="87"/>
        <v>524.89617407999981</v>
      </c>
      <c r="J186" s="168">
        <f t="shared" si="87"/>
        <v>503.90032711679982</v>
      </c>
    </row>
    <row r="187" spans="2:10">
      <c r="B187" s="150"/>
      <c r="E187" s="117"/>
    </row>
    <row r="188" spans="2:10">
      <c r="B188" s="159" t="s">
        <v>168</v>
      </c>
    </row>
    <row r="189" spans="2:10">
      <c r="B189" s="160" t="s">
        <v>142</v>
      </c>
      <c r="F189" s="30">
        <f>E191</f>
        <v>1489</v>
      </c>
      <c r="G189" s="30">
        <f t="shared" ref="G189:J189" si="88">F191</f>
        <v>1456.242</v>
      </c>
      <c r="H189" s="30">
        <f t="shared" si="88"/>
        <v>1424.2046759999998</v>
      </c>
      <c r="I189" s="30">
        <f t="shared" si="88"/>
        <v>1392.8721731279998</v>
      </c>
      <c r="J189" s="30">
        <f t="shared" si="88"/>
        <v>1362.2289853191837</v>
      </c>
    </row>
    <row r="190" spans="2:10">
      <c r="B190" s="161" t="s">
        <v>143</v>
      </c>
      <c r="F190" s="5">
        <f>F191-F189</f>
        <v>-32.758000000000038</v>
      </c>
      <c r="G190" s="5">
        <f t="shared" ref="G190:J190" si="89">G191-G189</f>
        <v>-32.037324000000126</v>
      </c>
      <c r="H190" s="5">
        <f t="shared" si="89"/>
        <v>-31.332502872000077</v>
      </c>
      <c r="I190" s="5">
        <f t="shared" si="89"/>
        <v>-30.643187808816037</v>
      </c>
      <c r="J190" s="5">
        <f t="shared" si="89"/>
        <v>-29.969037677022015</v>
      </c>
    </row>
    <row r="191" spans="2:10">
      <c r="B191" s="160" t="s">
        <v>144</v>
      </c>
      <c r="D191" s="30">
        <f>D90</f>
        <v>1524</v>
      </c>
      <c r="E191" s="30">
        <f>E90</f>
        <v>1489</v>
      </c>
      <c r="F191" s="30">
        <f>E191*(1-0.022)</f>
        <v>1456.242</v>
      </c>
      <c r="G191" s="30">
        <f t="shared" ref="G191:J191" si="90">F191*(1-0.022)</f>
        <v>1424.2046759999998</v>
      </c>
      <c r="H191" s="30">
        <f t="shared" si="90"/>
        <v>1392.8721731279998</v>
      </c>
      <c r="I191" s="30">
        <f t="shared" si="90"/>
        <v>1362.2289853191837</v>
      </c>
      <c r="J191" s="30">
        <f t="shared" si="90"/>
        <v>1332.2599476421617</v>
      </c>
    </row>
    <row r="192" spans="2:10">
      <c r="E192" s="34"/>
    </row>
    <row r="193" spans="1:10">
      <c r="A193" t="s">
        <v>112</v>
      </c>
      <c r="B193" s="62" t="s">
        <v>169</v>
      </c>
      <c r="C193" s="13"/>
      <c r="D193" s="14"/>
      <c r="E193" s="14"/>
      <c r="F193" s="14"/>
      <c r="G193" s="14"/>
      <c r="H193" s="14"/>
      <c r="I193" s="14"/>
      <c r="J193" s="14"/>
    </row>
    <row r="194" spans="1:10">
      <c r="B194" s="9" t="s">
        <v>11</v>
      </c>
      <c r="C194" s="15"/>
      <c r="D194" s="15">
        <f>E194-1</f>
        <v>2014</v>
      </c>
      <c r="E194" s="15">
        <f>YEAR($C$9)</f>
        <v>2015</v>
      </c>
      <c r="F194" s="16">
        <f>E194+1</f>
        <v>2016</v>
      </c>
      <c r="G194" s="16">
        <f>F194+1</f>
        <v>2017</v>
      </c>
      <c r="H194" s="16">
        <f>G194+1</f>
        <v>2018</v>
      </c>
      <c r="I194" s="16">
        <f>H194+1</f>
        <v>2019</v>
      </c>
      <c r="J194" s="16">
        <f>I194+1</f>
        <v>2020</v>
      </c>
    </row>
    <row r="195" spans="1:10">
      <c r="B195" s="17" t="s">
        <v>12</v>
      </c>
      <c r="C195" s="63"/>
      <c r="D195" s="63">
        <v>42004</v>
      </c>
      <c r="E195" s="19">
        <f>$C$9</f>
        <v>42369</v>
      </c>
      <c r="F195" s="19">
        <f>EOMONTH(E195,12)</f>
        <v>42735</v>
      </c>
      <c r="G195" s="19">
        <f>EOMONTH(F195,12)</f>
        <v>43100</v>
      </c>
      <c r="H195" s="19">
        <f>EOMONTH(G195,12)</f>
        <v>43465</v>
      </c>
      <c r="I195" s="19">
        <f>EOMONTH(H195,12)</f>
        <v>43830</v>
      </c>
      <c r="J195" s="19">
        <f>EOMONTH(I195,12)</f>
        <v>44196</v>
      </c>
    </row>
    <row r="196" spans="1:10">
      <c r="B196" s="150"/>
    </row>
    <row r="197" spans="1:10">
      <c r="B197" s="153" t="s">
        <v>170</v>
      </c>
    </row>
    <row r="198" spans="1:10">
      <c r="B198" s="160" t="s">
        <v>142</v>
      </c>
      <c r="F198" s="30">
        <f>E201</f>
        <v>3116</v>
      </c>
      <c r="G198" s="30">
        <f t="shared" ref="G198:J198" si="91">F201</f>
        <v>3169.9465624999998</v>
      </c>
      <c r="H198" s="30">
        <f t="shared" si="91"/>
        <v>3223.8931249999996</v>
      </c>
      <c r="I198" s="30">
        <f t="shared" si="91"/>
        <v>3261.7771874999994</v>
      </c>
      <c r="J198" s="30">
        <f t="shared" si="91"/>
        <v>3308.4112499999992</v>
      </c>
    </row>
    <row r="199" spans="1:10">
      <c r="B199" s="160" t="s">
        <v>171</v>
      </c>
      <c r="F199" s="109">
        <v>0</v>
      </c>
      <c r="G199" s="105">
        <v>0</v>
      </c>
      <c r="H199" s="105">
        <v>0</v>
      </c>
      <c r="I199" s="109">
        <v>0</v>
      </c>
      <c r="J199" s="109">
        <v>0</v>
      </c>
    </row>
    <row r="200" spans="1:10">
      <c r="B200" s="160" t="s">
        <v>172</v>
      </c>
      <c r="F200" s="30">
        <f>F203*F206</f>
        <v>53.946562499999999</v>
      </c>
      <c r="G200" s="30">
        <f t="shared" ref="G200:J200" si="92">G203*G206</f>
        <v>53.946562499999999</v>
      </c>
      <c r="H200" s="30">
        <f t="shared" si="92"/>
        <v>37.884062499999999</v>
      </c>
      <c r="I200" s="30">
        <f t="shared" si="92"/>
        <v>46.634062499999999</v>
      </c>
      <c r="J200" s="30">
        <f t="shared" si="92"/>
        <v>46.634062499999999</v>
      </c>
    </row>
    <row r="201" spans="1:10">
      <c r="B201" s="160" t="s">
        <v>144</v>
      </c>
      <c r="D201" s="30">
        <f>D89</f>
        <v>3120</v>
      </c>
      <c r="E201" s="30">
        <f>E89</f>
        <v>3116</v>
      </c>
      <c r="F201" s="30">
        <f>SUM(F198:F200)</f>
        <v>3169.9465624999998</v>
      </c>
      <c r="G201" s="30">
        <f t="shared" ref="G201:J201" si="93">SUM(G198:G200)</f>
        <v>3223.8931249999996</v>
      </c>
      <c r="H201" s="30">
        <f t="shared" si="93"/>
        <v>3261.7771874999994</v>
      </c>
      <c r="I201" s="30">
        <f t="shared" si="93"/>
        <v>3308.4112499999992</v>
      </c>
      <c r="J201" s="30">
        <f t="shared" si="93"/>
        <v>3355.045312499999</v>
      </c>
    </row>
    <row r="202" spans="1:10">
      <c r="B202" s="150"/>
    </row>
    <row r="203" spans="1:10">
      <c r="B203" s="160" t="s">
        <v>173</v>
      </c>
      <c r="D203" s="5"/>
      <c r="E203" s="5">
        <f>-E24</f>
        <v>214</v>
      </c>
      <c r="F203" s="30">
        <f>350*0.0665+400*0.075+275*0.06875+600*0.07375+500*0.07+450*0.065+490*0.062+70*0.0675</f>
        <v>215.78625</v>
      </c>
      <c r="G203" s="30">
        <f>350*0.0665+400*0.075+275*0.06875+600*0.07375+500*0.07+450*0.065+490*0.062+70*0.0675</f>
        <v>215.78625</v>
      </c>
      <c r="H203" s="30">
        <f>350*0.0665+400*0.075+275*0.06875+600*0.07375+490*0.062+70*0.0675</f>
        <v>151.53625</v>
      </c>
      <c r="I203" s="30">
        <f>350*0.0665+400*0.075+275*0.06875+600*0.07375+500*0.07+490*0.062+70*0.0675</f>
        <v>186.53625</v>
      </c>
      <c r="J203" s="30">
        <f>350*0.0665+400*0.075+275*0.06875+600*0.07375+500*0.07+490*0.062+70*0.0675</f>
        <v>186.53625</v>
      </c>
    </row>
    <row r="204" spans="1:10">
      <c r="B204" s="160" t="s">
        <v>174</v>
      </c>
      <c r="D204" s="35"/>
      <c r="E204" s="35">
        <f>E203/AVERAGE(E201, D201)</f>
        <v>6.8633739576651698E-2</v>
      </c>
      <c r="F204" s="35">
        <f t="shared" ref="F204:J204" si="94">F203/AVERAGE(F201, E201)</f>
        <v>6.8656724283121848E-2</v>
      </c>
      <c r="G204" s="35">
        <f t="shared" si="94"/>
        <v>6.7498173412718993E-2</v>
      </c>
      <c r="H204" s="35">
        <f t="shared" si="94"/>
        <v>4.6729556915016263E-2</v>
      </c>
      <c r="I204" s="35">
        <f t="shared" si="94"/>
        <v>5.6782617964296407E-2</v>
      </c>
      <c r="J204" s="35">
        <f t="shared" si="94"/>
        <v>5.5987834016889053E-2</v>
      </c>
    </row>
    <row r="205" spans="1:10">
      <c r="B205" s="160"/>
      <c r="D205" s="34"/>
      <c r="E205" s="34"/>
    </row>
    <row r="206" spans="1:10">
      <c r="B206" s="160" t="s">
        <v>175</v>
      </c>
      <c r="F206" s="108">
        <v>0.25</v>
      </c>
      <c r="G206" s="108">
        <v>0.25</v>
      </c>
      <c r="H206" s="108">
        <v>0.25</v>
      </c>
      <c r="I206" s="108">
        <v>0.25</v>
      </c>
      <c r="J206" s="108">
        <v>0.25</v>
      </c>
    </row>
    <row r="207" spans="1:10">
      <c r="B207" s="160" t="s">
        <v>176</v>
      </c>
      <c r="F207" s="108">
        <v>0.75</v>
      </c>
      <c r="G207" s="108">
        <v>0.75</v>
      </c>
      <c r="H207" s="108">
        <v>0.75</v>
      </c>
      <c r="I207" s="108">
        <v>0.75</v>
      </c>
      <c r="J207" s="108">
        <v>0.75</v>
      </c>
    </row>
    <row r="209" spans="1:10">
      <c r="A209" t="s">
        <v>112</v>
      </c>
      <c r="B209" s="62" t="s">
        <v>177</v>
      </c>
      <c r="C209" s="13"/>
      <c r="D209" s="14"/>
      <c r="E209" s="14"/>
      <c r="F209" s="14"/>
      <c r="G209" s="14"/>
      <c r="H209" s="14"/>
      <c r="I209" s="14"/>
      <c r="J209" s="14"/>
    </row>
    <row r="210" spans="1:10">
      <c r="B210" s="9" t="s">
        <v>11</v>
      </c>
      <c r="C210" s="15"/>
      <c r="D210" s="15">
        <f>E210-1</f>
        <v>2014</v>
      </c>
      <c r="E210" s="15">
        <f>YEAR($C$9)</f>
        <v>2015</v>
      </c>
      <c r="F210" s="16">
        <f>E210+1</f>
        <v>2016</v>
      </c>
      <c r="G210" s="16">
        <f>F210+1</f>
        <v>2017</v>
      </c>
      <c r="H210" s="16">
        <f>G210+1</f>
        <v>2018</v>
      </c>
      <c r="I210" s="16">
        <f>H210+1</f>
        <v>2019</v>
      </c>
      <c r="J210" s="16">
        <f>I210+1</f>
        <v>2020</v>
      </c>
    </row>
    <row r="211" spans="1:10">
      <c r="B211" s="17" t="s">
        <v>12</v>
      </c>
      <c r="C211" s="63"/>
      <c r="D211" s="63">
        <v>42004</v>
      </c>
      <c r="E211" s="19">
        <f>$C$9</f>
        <v>42369</v>
      </c>
      <c r="F211" s="19">
        <f>EOMONTH(E211,12)</f>
        <v>42735</v>
      </c>
      <c r="G211" s="19">
        <f>EOMONTH(F211,12)</f>
        <v>43100</v>
      </c>
      <c r="H211" s="19">
        <f>EOMONTH(G211,12)</f>
        <v>43465</v>
      </c>
      <c r="I211" s="19">
        <f>EOMONTH(H211,12)</f>
        <v>43830</v>
      </c>
      <c r="J211" s="19">
        <f>EOMONTH(I211,12)</f>
        <v>44196</v>
      </c>
    </row>
    <row r="212" spans="1:10">
      <c r="B212" s="150"/>
    </row>
    <row r="213" spans="1:10">
      <c r="B213" s="159" t="s">
        <v>178</v>
      </c>
    </row>
    <row r="214" spans="1:10">
      <c r="B214" s="160" t="s">
        <v>142</v>
      </c>
      <c r="F214" s="5">
        <f>E217</f>
        <v>3754</v>
      </c>
      <c r="G214" s="5">
        <f t="shared" ref="G214:J214" si="95">F217</f>
        <v>3793</v>
      </c>
      <c r="H214" s="5">
        <f t="shared" si="95"/>
        <v>3834</v>
      </c>
      <c r="I214" s="5">
        <f t="shared" si="95"/>
        <v>3877</v>
      </c>
      <c r="J214" s="5">
        <f t="shared" si="95"/>
        <v>3922</v>
      </c>
    </row>
    <row r="215" spans="1:10">
      <c r="B215" s="161" t="s">
        <v>179</v>
      </c>
      <c r="F215">
        <f>F219</f>
        <v>0</v>
      </c>
      <c r="G215">
        <f t="shared" ref="G215:J215" si="96">G219</f>
        <v>0</v>
      </c>
      <c r="H215">
        <f t="shared" si="96"/>
        <v>0</v>
      </c>
      <c r="I215">
        <f t="shared" si="96"/>
        <v>0</v>
      </c>
      <c r="J215">
        <f t="shared" si="96"/>
        <v>0</v>
      </c>
    </row>
    <row r="216" spans="1:10">
      <c r="B216" s="161" t="s">
        <v>180</v>
      </c>
      <c r="F216">
        <f>F220</f>
        <v>39</v>
      </c>
      <c r="G216">
        <f t="shared" ref="G216:J216" si="97">G220</f>
        <v>41</v>
      </c>
      <c r="H216">
        <f t="shared" si="97"/>
        <v>43</v>
      </c>
      <c r="I216">
        <f t="shared" si="97"/>
        <v>45</v>
      </c>
      <c r="J216">
        <f t="shared" si="97"/>
        <v>47</v>
      </c>
    </row>
    <row r="217" spans="1:10">
      <c r="B217" s="160" t="s">
        <v>144</v>
      </c>
      <c r="D217" s="5">
        <f>D93</f>
        <v>3774</v>
      </c>
      <c r="E217" s="5">
        <f>E93</f>
        <v>3754</v>
      </c>
      <c r="F217" s="5">
        <f>SUM(F214:F216)</f>
        <v>3793</v>
      </c>
      <c r="G217" s="5">
        <f t="shared" ref="G217:J217" si="98">SUM(G214:G216)</f>
        <v>3834</v>
      </c>
      <c r="H217" s="5">
        <f t="shared" si="98"/>
        <v>3877</v>
      </c>
      <c r="I217" s="5">
        <f t="shared" si="98"/>
        <v>3922</v>
      </c>
      <c r="J217" s="5">
        <f t="shared" si="98"/>
        <v>3969</v>
      </c>
    </row>
    <row r="218" spans="1:10">
      <c r="B218" s="160"/>
    </row>
    <row r="219" spans="1:10">
      <c r="B219" s="160" t="s">
        <v>181</v>
      </c>
      <c r="F219" s="109">
        <v>0</v>
      </c>
      <c r="G219" s="109">
        <v>0</v>
      </c>
      <c r="H219" s="109">
        <v>0</v>
      </c>
      <c r="I219" s="109">
        <v>0</v>
      </c>
      <c r="J219" s="109">
        <v>0</v>
      </c>
    </row>
    <row r="220" spans="1:10">
      <c r="B220" s="160" t="s">
        <v>35</v>
      </c>
      <c r="F220">
        <f>F46</f>
        <v>39</v>
      </c>
      <c r="G220">
        <f t="shared" ref="G220:J220" si="99">G46</f>
        <v>41</v>
      </c>
      <c r="H220">
        <f t="shared" si="99"/>
        <v>43</v>
      </c>
      <c r="I220">
        <f t="shared" si="99"/>
        <v>45</v>
      </c>
      <c r="J220">
        <f t="shared" si="99"/>
        <v>47</v>
      </c>
    </row>
    <row r="221" spans="1:10">
      <c r="B221" s="160" t="s">
        <v>182</v>
      </c>
      <c r="F221" s="34">
        <f ca="1">F220/-F20</f>
        <v>0.1268972833609818</v>
      </c>
      <c r="G221" s="34">
        <f t="shared" ref="G221:J221" ca="1" si="100">G220/-G20</f>
        <v>0.12021512604287687</v>
      </c>
      <c r="H221" s="34">
        <f t="shared" ca="1" si="100"/>
        <v>0.12254630587561061</v>
      </c>
      <c r="I221" s="34">
        <f t="shared" ca="1" si="100"/>
        <v>0.11077600088435564</v>
      </c>
      <c r="J221" s="34">
        <f t="shared" ca="1" si="100"/>
        <v>9.5561811004014716E-2</v>
      </c>
    </row>
    <row r="222" spans="1:10">
      <c r="B222" s="160"/>
    </row>
    <row r="223" spans="1:10">
      <c r="B223" s="159" t="s">
        <v>130</v>
      </c>
    </row>
    <row r="224" spans="1:10">
      <c r="B224" s="160" t="s">
        <v>142</v>
      </c>
      <c r="F224" s="5">
        <f>E226</f>
        <v>-339</v>
      </c>
      <c r="G224" s="5">
        <f t="shared" ref="G224:J224" si="101">F226</f>
        <v>-282</v>
      </c>
      <c r="H224" s="5">
        <f t="shared" si="101"/>
        <v>-253.5</v>
      </c>
      <c r="I224" s="5">
        <f t="shared" si="101"/>
        <v>-239.25</v>
      </c>
      <c r="J224" s="5">
        <f t="shared" si="101"/>
        <v>-232.125</v>
      </c>
    </row>
    <row r="225" spans="1:10">
      <c r="B225" s="161" t="s">
        <v>183</v>
      </c>
      <c r="F225">
        <f>F228</f>
        <v>57</v>
      </c>
      <c r="G225">
        <f t="shared" ref="G225:J225" si="102">G228</f>
        <v>28.5</v>
      </c>
      <c r="H225">
        <f t="shared" si="102"/>
        <v>14.25</v>
      </c>
      <c r="I225">
        <f t="shared" si="102"/>
        <v>7.125</v>
      </c>
      <c r="J225">
        <f t="shared" si="102"/>
        <v>3.5625</v>
      </c>
    </row>
    <row r="226" spans="1:10">
      <c r="B226" s="160" t="s">
        <v>144</v>
      </c>
      <c r="D226" s="5">
        <f>D94</f>
        <v>-396</v>
      </c>
      <c r="E226" s="5">
        <f>E94</f>
        <v>-339</v>
      </c>
      <c r="F226" s="5">
        <f>SUM(F224:F225)</f>
        <v>-282</v>
      </c>
      <c r="G226" s="5">
        <f t="shared" ref="G226:J226" si="103">SUM(G224:G225)</f>
        <v>-253.5</v>
      </c>
      <c r="H226" s="5">
        <f t="shared" si="103"/>
        <v>-239.25</v>
      </c>
      <c r="I226" s="5">
        <f t="shared" si="103"/>
        <v>-232.125</v>
      </c>
      <c r="J226" s="5">
        <f t="shared" si="103"/>
        <v>-228.5625</v>
      </c>
    </row>
    <row r="227" spans="1:10">
      <c r="B227" s="150"/>
      <c r="E227" s="5"/>
    </row>
    <row r="228" spans="1:10">
      <c r="B228" s="161" t="s">
        <v>184</v>
      </c>
      <c r="F228" s="109">
        <v>57</v>
      </c>
      <c r="G228" s="109">
        <f>57/2</f>
        <v>28.5</v>
      </c>
      <c r="H228" s="109">
        <f>G228/2</f>
        <v>14.25</v>
      </c>
      <c r="I228" s="109">
        <f>H228/2</f>
        <v>7.125</v>
      </c>
      <c r="J228" s="109">
        <f>I228/2</f>
        <v>3.5625</v>
      </c>
    </row>
    <row r="230" spans="1:10">
      <c r="A230" t="s">
        <v>112</v>
      </c>
      <c r="B230" s="62" t="s">
        <v>185</v>
      </c>
      <c r="C230" s="13"/>
      <c r="D230" s="14"/>
      <c r="E230" s="14"/>
      <c r="F230" s="14"/>
      <c r="G230" s="14"/>
      <c r="H230" s="14"/>
      <c r="I230" s="14"/>
      <c r="J230" s="14"/>
    </row>
    <row r="231" spans="1:10">
      <c r="B231" s="9" t="s">
        <v>11</v>
      </c>
      <c r="C231" s="15"/>
      <c r="D231" s="15">
        <f>E231-1</f>
        <v>2014</v>
      </c>
      <c r="E231" s="15">
        <f>YEAR($C$9)</f>
        <v>2015</v>
      </c>
      <c r="F231" s="16">
        <f>E231+1</f>
        <v>2016</v>
      </c>
      <c r="G231" s="16">
        <f>F231+1</f>
        <v>2017</v>
      </c>
      <c r="H231" s="16">
        <f>G231+1</f>
        <v>2018</v>
      </c>
      <c r="I231" s="16">
        <f>H231+1</f>
        <v>2019</v>
      </c>
      <c r="J231" s="16">
        <f>I231+1</f>
        <v>2020</v>
      </c>
    </row>
    <row r="232" spans="1:10">
      <c r="B232" s="17" t="s">
        <v>12</v>
      </c>
      <c r="C232" s="63"/>
      <c r="D232" s="63">
        <v>42004</v>
      </c>
      <c r="E232" s="19">
        <f>$C$9</f>
        <v>42369</v>
      </c>
      <c r="F232" s="19">
        <f>EOMONTH(E232,12)</f>
        <v>42735</v>
      </c>
      <c r="G232" s="19">
        <f>EOMONTH(F232,12)</f>
        <v>43100</v>
      </c>
      <c r="H232" s="19">
        <f>EOMONTH(G232,12)</f>
        <v>43465</v>
      </c>
      <c r="I232" s="19">
        <f>EOMONTH(H232,12)</f>
        <v>43830</v>
      </c>
      <c r="J232" s="19">
        <f>EOMONTH(I232,12)</f>
        <v>44196</v>
      </c>
    </row>
    <row r="233" spans="1:10">
      <c r="B233" s="150"/>
    </row>
    <row r="234" spans="1:10">
      <c r="B234" s="159" t="s">
        <v>186</v>
      </c>
    </row>
    <row r="235" spans="1:10">
      <c r="B235" s="160" t="s">
        <v>142</v>
      </c>
      <c r="F235" s="5">
        <f>E238</f>
        <v>190</v>
      </c>
      <c r="G235" s="5">
        <f t="shared" ref="G235:J235" ca="1" si="104">F238</f>
        <v>-240.22461618520282</v>
      </c>
      <c r="H235" s="5">
        <f t="shared" ca="1" si="104"/>
        <v>-194.09751680423057</v>
      </c>
      <c r="I235" s="5">
        <f t="shared" ca="1" si="104"/>
        <v>-34.048952927341645</v>
      </c>
      <c r="J235" s="5">
        <f t="shared" ca="1" si="104"/>
        <v>219.00878250696684</v>
      </c>
    </row>
    <row r="236" spans="1:10">
      <c r="B236" s="161" t="s">
        <v>187</v>
      </c>
      <c r="F236" s="5">
        <f ca="1">F240</f>
        <v>-459.22461618520282</v>
      </c>
      <c r="G236" s="5">
        <f t="shared" ref="G236:J236" ca="1" si="105">G240</f>
        <v>17.127099380972268</v>
      </c>
      <c r="H236" s="5">
        <f t="shared" ca="1" si="105"/>
        <v>131.04856387688892</v>
      </c>
      <c r="I236" s="5">
        <f t="shared" ca="1" si="105"/>
        <v>224.05773543430848</v>
      </c>
      <c r="J236" s="5">
        <f t="shared" ca="1" si="105"/>
        <v>264.71198569606884</v>
      </c>
    </row>
    <row r="237" spans="1:10">
      <c r="B237" s="161" t="s">
        <v>188</v>
      </c>
      <c r="F237" s="5">
        <f>-F242</f>
        <v>-29</v>
      </c>
      <c r="G237" s="5">
        <f t="shared" ref="G237:J237" si="106">-G242</f>
        <v>-29</v>
      </c>
      <c r="H237" s="5">
        <f t="shared" si="106"/>
        <v>-29</v>
      </c>
      <c r="I237" s="5">
        <f t="shared" si="106"/>
        <v>-29</v>
      </c>
      <c r="J237" s="5">
        <f t="shared" si="106"/>
        <v>-29</v>
      </c>
    </row>
    <row r="238" spans="1:10">
      <c r="B238" s="160" t="s">
        <v>144</v>
      </c>
      <c r="D238" s="5">
        <f>D95</f>
        <v>1862</v>
      </c>
      <c r="E238" s="5">
        <f>E95</f>
        <v>190</v>
      </c>
      <c r="F238" s="5">
        <f ca="1">SUM(F235:F236)-F237</f>
        <v>-240.22461618520282</v>
      </c>
      <c r="G238" s="5">
        <f t="shared" ref="G238:J238" ca="1" si="107">SUM(G235:G236)-G237</f>
        <v>-194.09751680423057</v>
      </c>
      <c r="H238" s="5">
        <f t="shared" ca="1" si="107"/>
        <v>-34.048952927341645</v>
      </c>
      <c r="I238" s="5">
        <f t="shared" ca="1" si="107"/>
        <v>219.00878250696684</v>
      </c>
      <c r="J238" s="5">
        <f t="shared" ca="1" si="107"/>
        <v>512.72076820303573</v>
      </c>
    </row>
    <row r="239" spans="1:10">
      <c r="B239" s="150"/>
    </row>
    <row r="240" spans="1:10">
      <c r="B240" s="162" t="s">
        <v>23</v>
      </c>
      <c r="F240" s="5">
        <f ca="1">F28</f>
        <v>-459.22461618520282</v>
      </c>
      <c r="G240" s="5">
        <f t="shared" ref="G240:J240" ca="1" si="108">G28</f>
        <v>17.127099380972268</v>
      </c>
      <c r="H240" s="5">
        <f t="shared" ca="1" si="108"/>
        <v>131.04856387688892</v>
      </c>
      <c r="I240" s="5">
        <f t="shared" ca="1" si="108"/>
        <v>224.05773543430848</v>
      </c>
      <c r="J240" s="5">
        <f t="shared" ca="1" si="108"/>
        <v>264.71198569606884</v>
      </c>
    </row>
    <row r="241" spans="1:10">
      <c r="B241" s="160" t="s">
        <v>189</v>
      </c>
      <c r="F241" s="172">
        <f>F242/F30</f>
        <v>0.1982499316379546</v>
      </c>
      <c r="G241" s="172">
        <f t="shared" ref="G241:J241" si="109">G242/G30</f>
        <v>0.1982499316379546</v>
      </c>
      <c r="H241" s="172">
        <f t="shared" si="109"/>
        <v>0.19822282980177716</v>
      </c>
      <c r="I241" s="172">
        <f t="shared" si="109"/>
        <v>0.19796573144924567</v>
      </c>
      <c r="J241" s="172">
        <f t="shared" si="109"/>
        <v>0.19770929915462229</v>
      </c>
    </row>
    <row r="242" spans="1:10">
      <c r="B242" s="162" t="s">
        <v>190</v>
      </c>
      <c r="F242" s="105">
        <v>29</v>
      </c>
      <c r="G242" s="105">
        <v>29</v>
      </c>
      <c r="H242" s="105">
        <v>29</v>
      </c>
      <c r="I242" s="105">
        <v>29</v>
      </c>
      <c r="J242" s="105">
        <v>29</v>
      </c>
    </row>
    <row r="243" spans="1:10">
      <c r="B243" s="150"/>
    </row>
    <row r="244" spans="1:10">
      <c r="B244" s="171" t="s">
        <v>132</v>
      </c>
    </row>
    <row r="245" spans="1:10">
      <c r="B245" s="160" t="s">
        <v>142</v>
      </c>
      <c r="F245" s="5">
        <f>E247</f>
        <v>-1168</v>
      </c>
      <c r="G245" s="5">
        <f t="shared" ref="G245:J245" si="110">F247</f>
        <v>-968</v>
      </c>
      <c r="H245" s="5">
        <f t="shared" si="110"/>
        <v>-968</v>
      </c>
      <c r="I245" s="5">
        <f t="shared" si="110"/>
        <v>-968</v>
      </c>
      <c r="J245" s="5">
        <f t="shared" si="110"/>
        <v>-968</v>
      </c>
    </row>
    <row r="246" spans="1:10">
      <c r="B246" s="161" t="s">
        <v>191</v>
      </c>
      <c r="F246" s="118">
        <v>200</v>
      </c>
      <c r="G246" s="118">
        <v>0</v>
      </c>
      <c r="H246" s="118">
        <v>0</v>
      </c>
      <c r="I246" s="118">
        <v>0</v>
      </c>
      <c r="J246" s="118">
        <v>0</v>
      </c>
    </row>
    <row r="247" spans="1:10">
      <c r="B247" s="160" t="s">
        <v>144</v>
      </c>
      <c r="D247" s="5">
        <f>D96</f>
        <v>-1440</v>
      </c>
      <c r="E247" s="5">
        <f>E96</f>
        <v>-1168</v>
      </c>
      <c r="F247" s="173">
        <f>SUM(F245:F246)</f>
        <v>-968</v>
      </c>
      <c r="G247" s="173">
        <f t="shared" ref="G247:J247" si="111">SUM(G245:G246)</f>
        <v>-968</v>
      </c>
      <c r="H247" s="173">
        <f t="shared" si="111"/>
        <v>-968</v>
      </c>
      <c r="I247" s="173">
        <f t="shared" si="111"/>
        <v>-968</v>
      </c>
      <c r="J247" s="173">
        <f t="shared" si="111"/>
        <v>-968</v>
      </c>
    </row>
    <row r="249" spans="1:10">
      <c r="A249" t="s">
        <v>112</v>
      </c>
      <c r="B249" s="62" t="s">
        <v>192</v>
      </c>
      <c r="C249" s="13"/>
      <c r="D249" s="14"/>
      <c r="E249" s="14"/>
      <c r="F249" s="14"/>
      <c r="G249" s="14"/>
      <c r="H249" s="14"/>
      <c r="I249" s="14"/>
      <c r="J249" s="14"/>
    </row>
    <row r="250" spans="1:10">
      <c r="B250" s="9" t="s">
        <v>11</v>
      </c>
      <c r="C250" s="15"/>
      <c r="D250" s="15">
        <f>E250-1</f>
        <v>2014</v>
      </c>
      <c r="E250" s="15">
        <f>YEAR($C$9)</f>
        <v>2015</v>
      </c>
      <c r="F250" s="16">
        <f>E250+1</f>
        <v>2016</v>
      </c>
      <c r="G250" s="16">
        <f>F250+1</f>
        <v>2017</v>
      </c>
      <c r="H250" s="16">
        <f>G250+1</f>
        <v>2018</v>
      </c>
      <c r="I250" s="16">
        <f>H250+1</f>
        <v>2019</v>
      </c>
      <c r="J250" s="16">
        <f>I250+1</f>
        <v>2020</v>
      </c>
    </row>
    <row r="251" spans="1:10">
      <c r="B251" s="17" t="s">
        <v>12</v>
      </c>
      <c r="C251" s="63"/>
      <c r="D251" s="63">
        <v>42004</v>
      </c>
      <c r="E251" s="19">
        <f>$C$9</f>
        <v>42369</v>
      </c>
      <c r="F251" s="19">
        <f>EOMONTH(E251,12)</f>
        <v>42735</v>
      </c>
      <c r="G251" s="19">
        <f>EOMONTH(F251,12)</f>
        <v>43100</v>
      </c>
      <c r="H251" s="19">
        <f>EOMONTH(G251,12)</f>
        <v>43465</v>
      </c>
      <c r="I251" s="19">
        <f>EOMONTH(H251,12)</f>
        <v>43830</v>
      </c>
      <c r="J251" s="19">
        <f>EOMONTH(I251,12)</f>
        <v>44196</v>
      </c>
    </row>
    <row r="252" spans="1:10">
      <c r="B252" s="64"/>
    </row>
    <row r="253" spans="1:10">
      <c r="B253" s="150" t="s">
        <v>23</v>
      </c>
      <c r="F253" s="5">
        <f ca="1">F28</f>
        <v>-459.22461618520282</v>
      </c>
      <c r="G253" s="5">
        <f t="shared" ref="G253:J253" ca="1" si="112">G28</f>
        <v>17.127099380972268</v>
      </c>
      <c r="H253" s="5">
        <f t="shared" ca="1" si="112"/>
        <v>131.04856387688892</v>
      </c>
      <c r="I253" s="5">
        <f t="shared" ca="1" si="112"/>
        <v>224.05773543430848</v>
      </c>
      <c r="J253" s="5">
        <f t="shared" ca="1" si="112"/>
        <v>264.71198569606884</v>
      </c>
    </row>
    <row r="254" spans="1:10">
      <c r="B254" s="150" t="s">
        <v>193</v>
      </c>
      <c r="F254" s="5">
        <f>-F161</f>
        <v>503.31</v>
      </c>
      <c r="G254" s="5">
        <f t="shared" ref="G254:J254" si="113">-G161</f>
        <v>508.78</v>
      </c>
      <c r="H254" s="5">
        <f t="shared" si="113"/>
        <v>530.07000000000005</v>
      </c>
      <c r="I254" s="5">
        <f t="shared" si="113"/>
        <v>559.02666666666676</v>
      </c>
      <c r="J254" s="5">
        <f t="shared" si="113"/>
        <v>538.19777777777779</v>
      </c>
    </row>
    <row r="255" spans="1:10">
      <c r="B255" s="150" t="s">
        <v>35</v>
      </c>
      <c r="F255">
        <f>F216</f>
        <v>39</v>
      </c>
      <c r="G255">
        <f t="shared" ref="G255:J255" si="114">G216</f>
        <v>41</v>
      </c>
      <c r="H255">
        <f t="shared" si="114"/>
        <v>43</v>
      </c>
      <c r="I255">
        <f t="shared" si="114"/>
        <v>45</v>
      </c>
      <c r="J255">
        <f t="shared" si="114"/>
        <v>47</v>
      </c>
    </row>
    <row r="256" spans="1:10">
      <c r="B256" s="150" t="s">
        <v>115</v>
      </c>
      <c r="F256" s="5">
        <f ca="1">-F114</f>
        <v>164.39022184812393</v>
      </c>
      <c r="G256" s="5">
        <f t="shared" ref="G256:J256" ca="1" si="115">-G114</f>
        <v>-347.34741351768389</v>
      </c>
      <c r="H256" s="5">
        <f t="shared" ca="1" si="115"/>
        <v>-183.07518365579654</v>
      </c>
      <c r="I256" s="5">
        <f t="shared" ca="1" si="115"/>
        <v>-352.4400590951052</v>
      </c>
      <c r="J256" s="5">
        <f t="shared" ca="1" si="115"/>
        <v>-214.31917137963114</v>
      </c>
    </row>
    <row r="257" spans="2:10">
      <c r="B257" s="150" t="s">
        <v>116</v>
      </c>
      <c r="F257" s="5">
        <f ca="1">-F122</f>
        <v>427.35570655526658</v>
      </c>
      <c r="G257" s="5">
        <f t="shared" ref="G257:J257" ca="1" si="116">-G122</f>
        <v>-3.956542170806415</v>
      </c>
      <c r="H257" s="5">
        <f t="shared" ca="1" si="116"/>
        <v>-45.239757171847714</v>
      </c>
      <c r="I257" s="5">
        <f t="shared" ca="1" si="116"/>
        <v>-256.47758329277781</v>
      </c>
      <c r="J257" s="5">
        <f t="shared" ca="1" si="116"/>
        <v>-248.6133235453899</v>
      </c>
    </row>
    <row r="258" spans="2:10">
      <c r="B258" s="150" t="s">
        <v>123</v>
      </c>
      <c r="F258" s="5">
        <f ca="1">F130</f>
        <v>-317.50373040773729</v>
      </c>
      <c r="G258" s="5">
        <f t="shared" ref="G258:J258" ca="1" si="117">G130</f>
        <v>158.74581622464802</v>
      </c>
      <c r="H258" s="5">
        <f t="shared" ca="1" si="117"/>
        <v>192.70675757570416</v>
      </c>
      <c r="I258" s="5">
        <f t="shared" ca="1" si="117"/>
        <v>361.06377596313951</v>
      </c>
      <c r="J258" s="5">
        <f t="shared" ca="1" si="117"/>
        <v>263.59353644959265</v>
      </c>
    </row>
    <row r="259" spans="2:10">
      <c r="B259" s="150" t="s">
        <v>152</v>
      </c>
      <c r="F259" s="5">
        <f ca="1">F138</f>
        <v>23.095051633167117</v>
      </c>
      <c r="G259" s="5">
        <f t="shared" ref="G259:J259" ca="1" si="118">G138</f>
        <v>71.67031649248392</v>
      </c>
      <c r="H259" s="5">
        <f t="shared" ca="1" si="118"/>
        <v>63.122401952434529</v>
      </c>
      <c r="I259" s="5">
        <f t="shared" ca="1" si="118"/>
        <v>82.419079932770956</v>
      </c>
      <c r="J259" s="5">
        <f t="shared" ca="1" si="118"/>
        <v>27.782151307346396</v>
      </c>
    </row>
    <row r="260" spans="2:10">
      <c r="B260" s="150" t="s">
        <v>118</v>
      </c>
      <c r="F260" s="5">
        <f>-F175</f>
        <v>-115</v>
      </c>
      <c r="G260" s="5">
        <f t="shared" ref="G260:J260" si="119">-G175</f>
        <v>-112</v>
      </c>
      <c r="H260" s="5">
        <f t="shared" si="119"/>
        <v>-81</v>
      </c>
      <c r="I260" s="5">
        <f t="shared" si="119"/>
        <v>-83</v>
      </c>
      <c r="J260" s="5">
        <f t="shared" si="119"/>
        <v>-79</v>
      </c>
    </row>
    <row r="261" spans="2:10">
      <c r="B261" s="151" t="s">
        <v>167</v>
      </c>
      <c r="F261" s="5">
        <f>-F180</f>
        <v>-125</v>
      </c>
      <c r="G261" s="5">
        <f t="shared" ref="G261:J261" si="120">-G180</f>
        <v>0</v>
      </c>
      <c r="H261" s="5">
        <f t="shared" si="120"/>
        <v>0</v>
      </c>
      <c r="I261" s="5">
        <f t="shared" si="120"/>
        <v>0</v>
      </c>
      <c r="J261" s="5">
        <f t="shared" si="120"/>
        <v>0</v>
      </c>
    </row>
    <row r="262" spans="2:10">
      <c r="B262" s="151" t="s">
        <v>121</v>
      </c>
      <c r="F262" s="5">
        <f>-F185</f>
        <v>24.720000000000027</v>
      </c>
      <c r="G262" s="5">
        <f t="shared" ref="G262:J262" si="121">-G185</f>
        <v>23.731200000000058</v>
      </c>
      <c r="H262" s="5">
        <f t="shared" si="121"/>
        <v>22.781952000000047</v>
      </c>
      <c r="I262" s="5">
        <f t="shared" si="121"/>
        <v>21.870673920000058</v>
      </c>
      <c r="J262" s="5">
        <f t="shared" si="121"/>
        <v>20.995846963199995</v>
      </c>
    </row>
    <row r="263" spans="2:10">
      <c r="B263" s="150" t="s">
        <v>168</v>
      </c>
      <c r="F263" s="5">
        <f>F190</f>
        <v>-32.758000000000038</v>
      </c>
      <c r="G263" s="5">
        <f t="shared" ref="G263:J263" si="122">G190</f>
        <v>-32.037324000000126</v>
      </c>
      <c r="H263" s="5">
        <f t="shared" si="122"/>
        <v>-31.332502872000077</v>
      </c>
      <c r="I263" s="5">
        <f t="shared" si="122"/>
        <v>-30.643187808816037</v>
      </c>
      <c r="J263" s="5">
        <f t="shared" si="122"/>
        <v>-29.969037677022015</v>
      </c>
    </row>
    <row r="264" spans="2:10">
      <c r="B264" s="150" t="s">
        <v>194</v>
      </c>
      <c r="F264" s="5">
        <f>-F200</f>
        <v>-53.946562499999999</v>
      </c>
      <c r="G264" s="5">
        <f t="shared" ref="G264:J264" si="123">-G200</f>
        <v>-53.946562499999999</v>
      </c>
      <c r="H264" s="5">
        <f t="shared" si="123"/>
        <v>-37.884062499999999</v>
      </c>
      <c r="I264" s="5">
        <f t="shared" si="123"/>
        <v>-46.634062499999999</v>
      </c>
      <c r="J264" s="5">
        <f t="shared" si="123"/>
        <v>-46.634062499999999</v>
      </c>
    </row>
    <row r="265" spans="2:10">
      <c r="B265" s="159" t="s">
        <v>195</v>
      </c>
      <c r="F265" s="23">
        <f ca="1">SUM(F253:F264)</f>
        <v>78.438070943617532</v>
      </c>
      <c r="G265" s="23">
        <f t="shared" ref="G265:J265" ca="1" si="124">SUM(G253:G264)</f>
        <v>271.7665899096138</v>
      </c>
      <c r="H265" s="23">
        <f t="shared" ca="1" si="124"/>
        <v>604.19816920538335</v>
      </c>
      <c r="I265" s="23">
        <f t="shared" ca="1" si="124"/>
        <v>524.24303922018669</v>
      </c>
      <c r="J265" s="23">
        <f t="shared" ca="1" si="124"/>
        <v>543.74570309194246</v>
      </c>
    </row>
    <row r="266" spans="2:10">
      <c r="B266" s="150"/>
    </row>
    <row r="267" spans="2:10">
      <c r="B267" s="150" t="s">
        <v>196</v>
      </c>
      <c r="F267" s="5">
        <f ca="1">-F164</f>
        <v>-355.35630713009704</v>
      </c>
      <c r="G267" s="5">
        <f t="shared" ref="G267:J267" ca="1" si="125">-G164</f>
        <v>-373.02918090362169</v>
      </c>
      <c r="H267" s="5">
        <f t="shared" ca="1" si="125"/>
        <v>-374.28028808329128</v>
      </c>
      <c r="I267" s="5">
        <f t="shared" ca="1" si="125"/>
        <v>-406.22517188517799</v>
      </c>
      <c r="J267" s="5">
        <f t="shared" ca="1" si="125"/>
        <v>-414.98010118638263</v>
      </c>
    </row>
    <row r="268" spans="2:10">
      <c r="B268" s="150" t="s">
        <v>197</v>
      </c>
      <c r="F268">
        <f>F152</f>
        <v>0</v>
      </c>
      <c r="G268">
        <f t="shared" ref="G268:J268" si="126">G152</f>
        <v>0</v>
      </c>
      <c r="H268">
        <f t="shared" si="126"/>
        <v>0</v>
      </c>
      <c r="I268">
        <f t="shared" si="126"/>
        <v>0</v>
      </c>
      <c r="J268">
        <f t="shared" si="126"/>
        <v>0</v>
      </c>
    </row>
    <row r="269" spans="2:10">
      <c r="B269" s="159" t="s">
        <v>198</v>
      </c>
      <c r="F269" s="23">
        <f ca="1">SUM(F267:F268)</f>
        <v>-355.35630713009704</v>
      </c>
      <c r="G269" s="23">
        <f t="shared" ref="G269:J269" ca="1" si="127">SUM(G267:G268)</f>
        <v>-373.02918090362169</v>
      </c>
      <c r="H269" s="23">
        <f t="shared" ca="1" si="127"/>
        <v>-374.28028808329128</v>
      </c>
      <c r="I269" s="23">
        <f t="shared" ca="1" si="127"/>
        <v>-406.22517188517799</v>
      </c>
      <c r="J269" s="23">
        <f t="shared" ca="1" si="127"/>
        <v>-414.98010118638263</v>
      </c>
    </row>
    <row r="270" spans="2:10">
      <c r="B270" s="150"/>
    </row>
    <row r="271" spans="2:10">
      <c r="B271" s="150" t="s">
        <v>126</v>
      </c>
      <c r="F271" s="5">
        <f>F199</f>
        <v>0</v>
      </c>
      <c r="G271" s="5">
        <f t="shared" ref="G271:J271" si="128">G199</f>
        <v>0</v>
      </c>
      <c r="H271" s="5">
        <f t="shared" si="128"/>
        <v>0</v>
      </c>
      <c r="I271" s="5">
        <f t="shared" si="128"/>
        <v>0</v>
      </c>
      <c r="J271" s="5">
        <f t="shared" si="128"/>
        <v>0</v>
      </c>
    </row>
    <row r="272" spans="2:10">
      <c r="B272" s="150" t="s">
        <v>190</v>
      </c>
      <c r="F272" s="5">
        <f>F237</f>
        <v>-29</v>
      </c>
      <c r="G272" s="5">
        <f t="shared" ref="G272:J272" si="129">G237</f>
        <v>-29</v>
      </c>
      <c r="H272" s="5">
        <f t="shared" si="129"/>
        <v>-29</v>
      </c>
      <c r="I272" s="5">
        <f t="shared" si="129"/>
        <v>-29</v>
      </c>
      <c r="J272" s="5">
        <f t="shared" si="129"/>
        <v>-29</v>
      </c>
    </row>
    <row r="273" spans="1:10">
      <c r="B273" s="151" t="s">
        <v>199</v>
      </c>
      <c r="F273">
        <f>F215</f>
        <v>0</v>
      </c>
      <c r="G273">
        <f t="shared" ref="G273:J273" si="130">G215</f>
        <v>0</v>
      </c>
      <c r="H273">
        <f t="shared" si="130"/>
        <v>0</v>
      </c>
      <c r="I273">
        <f t="shared" si="130"/>
        <v>0</v>
      </c>
      <c r="J273">
        <f t="shared" si="130"/>
        <v>0</v>
      </c>
    </row>
    <row r="274" spans="1:10">
      <c r="B274" s="151" t="s">
        <v>200</v>
      </c>
      <c r="F274" s="5">
        <f>-F228</f>
        <v>-57</v>
      </c>
      <c r="G274" s="5">
        <f t="shared" ref="G274:J274" si="131">-G228</f>
        <v>-28.5</v>
      </c>
      <c r="H274" s="5">
        <f t="shared" si="131"/>
        <v>-14.25</v>
      </c>
      <c r="I274" s="5">
        <f t="shared" si="131"/>
        <v>-7.125</v>
      </c>
      <c r="J274" s="5">
        <f t="shared" si="131"/>
        <v>-3.5625</v>
      </c>
    </row>
    <row r="275" spans="1:10">
      <c r="B275" s="151" t="s">
        <v>132</v>
      </c>
      <c r="F275" s="30">
        <f>F246</f>
        <v>200</v>
      </c>
      <c r="G275" s="30">
        <f t="shared" ref="G275:J275" si="132">G246</f>
        <v>0</v>
      </c>
      <c r="H275" s="30">
        <f t="shared" si="132"/>
        <v>0</v>
      </c>
      <c r="I275" s="30">
        <f t="shared" si="132"/>
        <v>0</v>
      </c>
      <c r="J275" s="30">
        <f t="shared" si="132"/>
        <v>0</v>
      </c>
    </row>
    <row r="276" spans="1:10">
      <c r="B276" s="150" t="s">
        <v>125</v>
      </c>
    </row>
    <row r="277" spans="1:10">
      <c r="B277" s="159" t="s">
        <v>201</v>
      </c>
      <c r="F277" s="23">
        <f>SUM(F271:F276)</f>
        <v>114</v>
      </c>
      <c r="G277" s="23">
        <f t="shared" ref="G277:J277" si="133">SUM(G271:G276)</f>
        <v>-57.5</v>
      </c>
      <c r="H277" s="23">
        <f t="shared" si="133"/>
        <v>-43.25</v>
      </c>
      <c r="I277" s="23">
        <f t="shared" si="133"/>
        <v>-36.125</v>
      </c>
      <c r="J277" s="23">
        <f t="shared" si="133"/>
        <v>-32.5625</v>
      </c>
    </row>
    <row r="278" spans="1:10">
      <c r="B278" s="64"/>
    </row>
    <row r="279" spans="1:10">
      <c r="B279" s="31" t="s">
        <v>202</v>
      </c>
      <c r="F279" s="23">
        <f ca="1">SUM(F265,F269,F277)</f>
        <v>-162.91823618647948</v>
      </c>
      <c r="G279" s="23">
        <f t="shared" ref="G279:J279" ca="1" si="134">SUM(G265,G269,G277)</f>
        <v>-158.76259099400789</v>
      </c>
      <c r="H279" s="23">
        <f t="shared" ca="1" si="134"/>
        <v>186.66788112209207</v>
      </c>
      <c r="I279" s="23">
        <f t="shared" ca="1" si="134"/>
        <v>81.892867335008702</v>
      </c>
      <c r="J279" s="23">
        <f t="shared" ca="1" si="134"/>
        <v>96.203101905559834</v>
      </c>
    </row>
    <row r="281" spans="1:10">
      <c r="A281" t="s">
        <v>112</v>
      </c>
      <c r="B281" s="62" t="s">
        <v>203</v>
      </c>
      <c r="C281" s="13"/>
      <c r="D281" s="14"/>
      <c r="E281" s="14"/>
      <c r="F281" s="14"/>
      <c r="G281" s="14"/>
      <c r="H281" s="14"/>
      <c r="I281" s="14"/>
      <c r="J281" s="14"/>
    </row>
    <row r="282" spans="1:10">
      <c r="B282" s="9" t="s">
        <v>11</v>
      </c>
      <c r="C282" s="15"/>
      <c r="D282" s="15">
        <f>E282-1</f>
        <v>2014</v>
      </c>
      <c r="E282" s="15">
        <f>YEAR($C$9)</f>
        <v>2015</v>
      </c>
      <c r="F282" s="16">
        <f>E282+1</f>
        <v>2016</v>
      </c>
      <c r="G282" s="16">
        <f>F282+1</f>
        <v>2017</v>
      </c>
      <c r="H282" s="16">
        <f>G282+1</f>
        <v>2018</v>
      </c>
      <c r="I282" s="16">
        <f>H282+1</f>
        <v>2019</v>
      </c>
      <c r="J282" s="16">
        <f>I282+1</f>
        <v>2020</v>
      </c>
    </row>
    <row r="283" spans="1:10">
      <c r="B283" s="17" t="s">
        <v>12</v>
      </c>
      <c r="C283" s="63"/>
      <c r="D283" s="63">
        <v>42004</v>
      </c>
      <c r="E283" s="19">
        <f>$C$9</f>
        <v>42369</v>
      </c>
      <c r="F283" s="19">
        <f>EOMONTH(E283,12)</f>
        <v>42735</v>
      </c>
      <c r="G283" s="19">
        <f>EOMONTH(F283,12)</f>
        <v>43100</v>
      </c>
      <c r="H283" s="19">
        <f>EOMONTH(G283,12)</f>
        <v>43465</v>
      </c>
      <c r="I283" s="19">
        <f>EOMONTH(H283,12)</f>
        <v>43830</v>
      </c>
      <c r="J283" s="19">
        <f>EOMONTH(I283,12)</f>
        <v>44196</v>
      </c>
    </row>
    <row r="284" spans="1:10">
      <c r="B284" s="159"/>
    </row>
    <row r="285" spans="1:10">
      <c r="B285" s="159" t="s">
        <v>125</v>
      </c>
    </row>
    <row r="286" spans="1:10">
      <c r="B286" s="160" t="s">
        <v>142</v>
      </c>
      <c r="F286" s="30">
        <f>E288</f>
        <v>0</v>
      </c>
      <c r="G286" s="30">
        <f t="shared" ref="G286:J286" ca="1" si="135">F288</f>
        <v>0</v>
      </c>
      <c r="H286" s="30">
        <f t="shared" ca="1" si="135"/>
        <v>0</v>
      </c>
      <c r="I286" s="30">
        <f t="shared" ca="1" si="135"/>
        <v>0</v>
      </c>
      <c r="J286" s="30">
        <f t="shared" ca="1" si="135"/>
        <v>0</v>
      </c>
    </row>
    <row r="287" spans="1:10">
      <c r="B287" s="161" t="s">
        <v>143</v>
      </c>
      <c r="F287" s="5">
        <f ca="1">-MIN(F298,F286)</f>
        <v>0</v>
      </c>
      <c r="G287" s="5">
        <f t="shared" ref="G287:J287" ca="1" si="136">-MIN(G298,G286)</f>
        <v>0</v>
      </c>
      <c r="H287" s="5">
        <f t="shared" ca="1" si="136"/>
        <v>0</v>
      </c>
      <c r="I287" s="5">
        <f t="shared" ca="1" si="136"/>
        <v>0</v>
      </c>
      <c r="J287" s="5">
        <f t="shared" ca="1" si="136"/>
        <v>0</v>
      </c>
    </row>
    <row r="288" spans="1:10">
      <c r="B288" s="160" t="s">
        <v>144</v>
      </c>
      <c r="D288" s="30">
        <f>D88</f>
        <v>0</v>
      </c>
      <c r="E288" s="30">
        <f>E88</f>
        <v>0</v>
      </c>
      <c r="F288" s="30">
        <f ca="1">SUM(F286:F287)</f>
        <v>0</v>
      </c>
      <c r="G288" s="30">
        <f t="shared" ref="G288:J288" ca="1" si="137">SUM(G286:G287)</f>
        <v>0</v>
      </c>
      <c r="H288" s="30">
        <f t="shared" ca="1" si="137"/>
        <v>0</v>
      </c>
      <c r="I288" s="30">
        <f t="shared" ca="1" si="137"/>
        <v>0</v>
      </c>
      <c r="J288" s="30">
        <f t="shared" ca="1" si="137"/>
        <v>0</v>
      </c>
    </row>
    <row r="289" spans="2:10">
      <c r="B289" s="160"/>
    </row>
    <row r="290" spans="2:10">
      <c r="B290" s="160" t="s">
        <v>204</v>
      </c>
      <c r="F290" s="30">
        <f ca="1">F77+F78</f>
        <v>2578.2540715966097</v>
      </c>
      <c r="G290" s="30">
        <f t="shared" ref="G290:J290" ca="1" si="138">G77+G78</f>
        <v>2929.5580272850998</v>
      </c>
      <c r="H290" s="30">
        <f t="shared" ca="1" si="138"/>
        <v>3157.8729681127443</v>
      </c>
      <c r="I290" s="30">
        <f t="shared" ca="1" si="138"/>
        <v>3766.7906105006268</v>
      </c>
      <c r="J290" s="30">
        <f t="shared" ca="1" si="138"/>
        <v>4229.7231054256481</v>
      </c>
    </row>
    <row r="291" spans="2:10">
      <c r="B291" s="160" t="s">
        <v>205</v>
      </c>
      <c r="F291" t="str">
        <f ca="1">IF(F288&gt;F290, "OVERDRAWN", "OK")</f>
        <v>OK</v>
      </c>
      <c r="G291" t="str">
        <f t="shared" ref="G291:J291" ca="1" si="139">IF(G288&gt;G290, "OVERDRAWN", "OK")</f>
        <v>OK</v>
      </c>
      <c r="H291" t="str">
        <f t="shared" ca="1" si="139"/>
        <v>OK</v>
      </c>
      <c r="I291" t="str">
        <f t="shared" ca="1" si="139"/>
        <v>OK</v>
      </c>
      <c r="J291" t="str">
        <f t="shared" ca="1" si="139"/>
        <v>OK</v>
      </c>
    </row>
    <row r="292" spans="2:10">
      <c r="B292" s="150"/>
    </row>
    <row r="293" spans="2:10">
      <c r="B293" s="174" t="s">
        <v>206</v>
      </c>
    </row>
    <row r="294" spans="2:10">
      <c r="B294" s="160" t="s">
        <v>142</v>
      </c>
      <c r="F294" s="5">
        <f>E76</f>
        <v>755</v>
      </c>
      <c r="G294" s="5">
        <f t="shared" ref="G294:J294" ca="1" si="140">F76</f>
        <v>592.08176381352052</v>
      </c>
      <c r="H294" s="5">
        <f t="shared" ca="1" si="140"/>
        <v>433.31917281951263</v>
      </c>
      <c r="I294" s="5">
        <f t="shared" ca="1" si="140"/>
        <v>619.9870539416047</v>
      </c>
      <c r="J294" s="5">
        <f t="shared" ca="1" si="140"/>
        <v>701.87992127661346</v>
      </c>
    </row>
    <row r="295" spans="2:10">
      <c r="B295" s="160" t="s">
        <v>207</v>
      </c>
      <c r="F295" s="105">
        <v>-100</v>
      </c>
      <c r="G295" s="105">
        <v>-100</v>
      </c>
      <c r="H295" s="105">
        <v>-100</v>
      </c>
      <c r="I295" s="105">
        <v>-100</v>
      </c>
      <c r="J295" s="105">
        <v>-100</v>
      </c>
    </row>
    <row r="296" spans="2:10">
      <c r="B296" s="160" t="s">
        <v>208</v>
      </c>
      <c r="F296" s="5">
        <f>SUM(F294:F295)</f>
        <v>655</v>
      </c>
      <c r="G296" s="5">
        <f t="shared" ref="G296:J296" ca="1" si="141">SUM(G294:G295)</f>
        <v>492.08176381352052</v>
      </c>
      <c r="H296" s="5">
        <f t="shared" ca="1" si="141"/>
        <v>333.31917281951263</v>
      </c>
      <c r="I296" s="5">
        <f t="shared" ca="1" si="141"/>
        <v>519.9870539416047</v>
      </c>
      <c r="J296" s="5">
        <f t="shared" ca="1" si="141"/>
        <v>601.87992127661346</v>
      </c>
    </row>
    <row r="297" spans="2:10">
      <c r="B297" s="160" t="s">
        <v>209</v>
      </c>
      <c r="F297" s="5">
        <f ca="1">SUM(F265,F269,F271:F275)</f>
        <v>-162.91823618647948</v>
      </c>
      <c r="G297" s="5">
        <f t="shared" ref="G297:J297" ca="1" si="142">SUM(G265,G269,G271:G275)</f>
        <v>-158.76259099400789</v>
      </c>
      <c r="H297" s="5">
        <f t="shared" ca="1" si="142"/>
        <v>186.66788112209207</v>
      </c>
      <c r="I297" s="5">
        <f t="shared" ca="1" si="142"/>
        <v>81.892867335008702</v>
      </c>
      <c r="J297" s="5">
        <f t="shared" ca="1" si="142"/>
        <v>96.203101905559834</v>
      </c>
    </row>
    <row r="298" spans="2:10">
      <c r="B298" s="175" t="s">
        <v>210</v>
      </c>
      <c r="F298" s="5">
        <f ca="1">SUM(F296:F297)</f>
        <v>492.08176381352052</v>
      </c>
      <c r="G298" s="5">
        <f t="shared" ref="G298:J298" ca="1" si="143">SUM(G296:G297)</f>
        <v>333.31917281951263</v>
      </c>
      <c r="H298" s="5">
        <f t="shared" ca="1" si="143"/>
        <v>519.9870539416047</v>
      </c>
      <c r="I298" s="5">
        <f t="shared" ca="1" si="143"/>
        <v>601.87992127661346</v>
      </c>
      <c r="J298" s="5">
        <f t="shared" ca="1" si="143"/>
        <v>698.08302318217329</v>
      </c>
    </row>
    <row r="299" spans="2:10">
      <c r="B299" s="150"/>
    </row>
    <row r="300" spans="2:10">
      <c r="B300" s="160" t="s">
        <v>211</v>
      </c>
      <c r="F300" s="140">
        <v>2.24E-2</v>
      </c>
      <c r="G300" s="140">
        <v>2.24E-2</v>
      </c>
      <c r="H300" s="140">
        <v>2.24E-2</v>
      </c>
      <c r="I300" s="140">
        <v>2.24E-2</v>
      </c>
      <c r="J300" s="140">
        <v>2.24E-2</v>
      </c>
    </row>
    <row r="301" spans="2:10">
      <c r="B301" s="160" t="s">
        <v>212</v>
      </c>
      <c r="F301" s="30">
        <f ca="1">F300*F288</f>
        <v>0</v>
      </c>
      <c r="G301" s="30">
        <f t="shared" ref="G301:J301" ca="1" si="144">G300*G288</f>
        <v>0</v>
      </c>
      <c r="H301" s="30">
        <f t="shared" ca="1" si="144"/>
        <v>0</v>
      </c>
      <c r="I301" s="30">
        <f t="shared" ca="1" si="144"/>
        <v>0</v>
      </c>
      <c r="J301" s="30">
        <f t="shared" ca="1" si="144"/>
        <v>0</v>
      </c>
    </row>
    <row r="302" spans="2:10">
      <c r="B302" s="64"/>
    </row>
    <row r="303" spans="2:10">
      <c r="B303" s="153" t="s">
        <v>213</v>
      </c>
    </row>
    <row r="304" spans="2:10">
      <c r="B304" s="160" t="s">
        <v>142</v>
      </c>
      <c r="F304" s="30">
        <f>E306</f>
        <v>755</v>
      </c>
      <c r="G304" s="30">
        <f t="shared" ref="G304:J304" ca="1" si="145">F306</f>
        <v>592.08176381352052</v>
      </c>
      <c r="H304" s="30">
        <f t="shared" ca="1" si="145"/>
        <v>433.31917281951263</v>
      </c>
      <c r="I304" s="30">
        <f t="shared" ca="1" si="145"/>
        <v>619.9870539416047</v>
      </c>
      <c r="J304" s="30">
        <f t="shared" ca="1" si="145"/>
        <v>701.87992127661346</v>
      </c>
    </row>
    <row r="305" spans="1:10">
      <c r="B305" s="176" t="s">
        <v>214</v>
      </c>
      <c r="F305" s="5">
        <f ca="1">F279</f>
        <v>-162.91823618647948</v>
      </c>
      <c r="G305" s="5">
        <f t="shared" ref="G305:J305" ca="1" si="146">G279</f>
        <v>-158.76259099400789</v>
      </c>
      <c r="H305" s="5">
        <f t="shared" ca="1" si="146"/>
        <v>186.66788112209207</v>
      </c>
      <c r="I305" s="5">
        <f t="shared" ca="1" si="146"/>
        <v>81.892867335008702</v>
      </c>
      <c r="J305" s="5">
        <f t="shared" ca="1" si="146"/>
        <v>96.203101905559834</v>
      </c>
    </row>
    <row r="306" spans="1:10">
      <c r="B306" s="160" t="s">
        <v>144</v>
      </c>
      <c r="D306" s="30">
        <f>D76</f>
        <v>1354</v>
      </c>
      <c r="E306" s="30">
        <f>E76</f>
        <v>755</v>
      </c>
      <c r="F306" s="30">
        <f ca="1">SUM(F304:F305)</f>
        <v>592.08176381352052</v>
      </c>
      <c r="G306" s="30">
        <f t="shared" ref="G306:J306" ca="1" si="147">SUM(G304:G305)</f>
        <v>433.31917281951263</v>
      </c>
      <c r="H306" s="30">
        <f t="shared" ca="1" si="147"/>
        <v>619.9870539416047</v>
      </c>
      <c r="I306" s="30">
        <f t="shared" ca="1" si="147"/>
        <v>701.87992127661346</v>
      </c>
      <c r="J306" s="30">
        <f t="shared" ca="1" si="147"/>
        <v>798.08302318217329</v>
      </c>
    </row>
    <row r="307" spans="1:10">
      <c r="B307" s="160"/>
    </row>
    <row r="308" spans="1:10">
      <c r="B308" s="160" t="s">
        <v>215</v>
      </c>
      <c r="F308" s="118">
        <v>4</v>
      </c>
      <c r="G308" s="118">
        <v>4</v>
      </c>
      <c r="H308" s="118">
        <v>6</v>
      </c>
      <c r="I308" s="118">
        <v>7</v>
      </c>
      <c r="J308" s="118">
        <v>10</v>
      </c>
    </row>
    <row r="309" spans="1:10">
      <c r="B309" s="160" t="s">
        <v>18</v>
      </c>
      <c r="D309" s="136"/>
      <c r="E309" s="136"/>
      <c r="F309" s="140">
        <v>5.0000000000000001E-3</v>
      </c>
      <c r="G309" s="140">
        <v>5.0000000000000001E-3</v>
      </c>
      <c r="H309" s="140">
        <v>5.0000000000000001E-3</v>
      </c>
      <c r="I309" s="140">
        <v>5.0000000000000001E-3</v>
      </c>
      <c r="J309" s="140">
        <v>5.0000000000000001E-3</v>
      </c>
    </row>
    <row r="311" spans="1:10">
      <c r="A311" t="s">
        <v>112</v>
      </c>
      <c r="B311" s="62" t="s">
        <v>216</v>
      </c>
      <c r="C311" s="13"/>
      <c r="D311" s="14"/>
      <c r="E311" s="14"/>
      <c r="F311" s="14"/>
      <c r="G311" s="14"/>
      <c r="H311" s="14"/>
      <c r="I311" s="14"/>
      <c r="J311" s="14"/>
    </row>
    <row r="312" spans="1:10">
      <c r="B312" s="9" t="s">
        <v>11</v>
      </c>
      <c r="C312" s="15"/>
      <c r="D312" s="15">
        <f>E312-1</f>
        <v>2014</v>
      </c>
      <c r="E312" s="15">
        <f>YEAR($C$9)</f>
        <v>2015</v>
      </c>
      <c r="F312" s="16">
        <f>E312+1</f>
        <v>2016</v>
      </c>
      <c r="G312" s="16">
        <f>F312+1</f>
        <v>2017</v>
      </c>
      <c r="H312" s="16">
        <f>G312+1</f>
        <v>2018</v>
      </c>
      <c r="I312" s="16">
        <f>H312+1</f>
        <v>2019</v>
      </c>
      <c r="J312" s="16">
        <f>I312+1</f>
        <v>2020</v>
      </c>
    </row>
    <row r="313" spans="1:10">
      <c r="B313" s="17" t="s">
        <v>12</v>
      </c>
      <c r="C313" s="63"/>
      <c r="D313" s="63">
        <v>42004</v>
      </c>
      <c r="E313" s="19">
        <f>$C$9</f>
        <v>42369</v>
      </c>
      <c r="F313" s="19">
        <f>EOMONTH(E313,12)</f>
        <v>42735</v>
      </c>
      <c r="G313" s="19">
        <f>EOMONTH(F313,12)</f>
        <v>43100</v>
      </c>
      <c r="H313" s="19">
        <f>EOMONTH(G313,12)</f>
        <v>43465</v>
      </c>
      <c r="I313" s="19">
        <f>EOMONTH(H313,12)</f>
        <v>43830</v>
      </c>
      <c r="J313" s="19">
        <f>EOMONTH(I313,12)</f>
        <v>44196</v>
      </c>
    </row>
    <row r="314" spans="1:10">
      <c r="B314" s="64"/>
    </row>
    <row r="315" spans="1:10">
      <c r="B315" s="159" t="s">
        <v>24</v>
      </c>
    </row>
    <row r="316" spans="1:10">
      <c r="B316" s="150" t="s">
        <v>142</v>
      </c>
      <c r="F316">
        <f>E319</f>
        <v>146.09</v>
      </c>
      <c r="G316">
        <f t="shared" ref="G316:J316" si="148">F319</f>
        <v>146.28</v>
      </c>
      <c r="H316">
        <f t="shared" si="148"/>
        <v>146.28</v>
      </c>
      <c r="I316">
        <f t="shared" si="148"/>
        <v>146.30000000000001</v>
      </c>
      <c r="J316">
        <f t="shared" si="148"/>
        <v>146.49</v>
      </c>
    </row>
    <row r="317" spans="1:10">
      <c r="B317" s="176" t="s">
        <v>217</v>
      </c>
      <c r="F317">
        <f>F215</f>
        <v>0</v>
      </c>
      <c r="G317">
        <f t="shared" ref="G317:J317" si="149">G215</f>
        <v>0</v>
      </c>
      <c r="H317">
        <f t="shared" si="149"/>
        <v>0</v>
      </c>
      <c r="I317">
        <f t="shared" si="149"/>
        <v>0</v>
      </c>
      <c r="J317">
        <f t="shared" si="149"/>
        <v>0</v>
      </c>
    </row>
    <row r="318" spans="1:10">
      <c r="B318" s="176" t="s">
        <v>218</v>
      </c>
      <c r="F318" s="109">
        <v>0.19</v>
      </c>
      <c r="G318" s="109">
        <v>0</v>
      </c>
      <c r="H318" s="109">
        <v>0.02</v>
      </c>
      <c r="I318" s="109">
        <v>0.19</v>
      </c>
      <c r="J318" s="109">
        <v>0.19</v>
      </c>
    </row>
    <row r="319" spans="1:10">
      <c r="B319" s="150" t="s">
        <v>144</v>
      </c>
      <c r="D319">
        <f>D30</f>
        <v>152.1</v>
      </c>
      <c r="E319">
        <f>E30</f>
        <v>146.09</v>
      </c>
      <c r="F319">
        <f>SUM(F316:F318)</f>
        <v>146.28</v>
      </c>
      <c r="G319">
        <f t="shared" ref="G319:H319" si="150">SUM(G316:G318)</f>
        <v>146.28</v>
      </c>
      <c r="H319" s="167">
        <f t="shared" si="150"/>
        <v>146.30000000000001</v>
      </c>
      <c r="I319">
        <f t="shared" ref="I319" si="151">SUM(I316:I318)</f>
        <v>146.49</v>
      </c>
      <c r="J319">
        <f t="shared" ref="J319" si="152">SUM(J316:J318)</f>
        <v>146.68</v>
      </c>
    </row>
    <row r="320" spans="1:10">
      <c r="B320" s="159"/>
    </row>
    <row r="321" spans="2:2">
      <c r="B321" s="160" t="s">
        <v>219</v>
      </c>
    </row>
    <row r="322" spans="2:2">
      <c r="B322" s="160" t="s">
        <v>220</v>
      </c>
    </row>
    <row r="323" spans="2:2">
      <c r="B323" s="160" t="s">
        <v>221</v>
      </c>
    </row>
  </sheetData>
  <dataValidations count="2">
    <dataValidation type="list" allowBlank="1" showInputMessage="1" showErrorMessage="1" sqref="B3">
      <formula1>"$ bns except per share, $ mm except per share,$ in thousands except per share"</formula1>
    </dataValidation>
    <dataValidation type="list" allowBlank="1" showInputMessage="1" showErrorMessage="1" sqref="C10">
      <formula1>"ON,OFF"</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75"/>
  <sheetViews>
    <sheetView topLeftCell="A35" workbookViewId="0">
      <selection activeCell="I57" sqref="I57"/>
    </sheetView>
  </sheetViews>
  <sheetFormatPr defaultRowHeight="14.4"/>
  <cols>
    <col min="1" max="1" width="2.109375" customWidth="1"/>
    <col min="2" max="2" width="48.5546875" customWidth="1"/>
    <col min="3" max="3" width="18.5546875" customWidth="1"/>
    <col min="8" max="8" width="12.5546875" customWidth="1"/>
    <col min="10" max="10" width="8.88671875" customWidth="1"/>
  </cols>
  <sheetData>
    <row r="1" spans="2:10" ht="9" customHeight="1" thickBot="1"/>
    <row r="2" spans="2:10" ht="26.4" thickBot="1">
      <c r="B2" s="178" t="s">
        <v>229</v>
      </c>
      <c r="C2" s="179"/>
      <c r="D2" s="179"/>
      <c r="E2" s="179"/>
      <c r="F2" s="179"/>
      <c r="G2" s="179"/>
      <c r="H2" s="179"/>
      <c r="I2" s="179"/>
      <c r="J2" s="179"/>
    </row>
    <row r="3" spans="2:10">
      <c r="B3" s="64"/>
      <c r="C3" s="64"/>
      <c r="D3" s="64"/>
      <c r="E3" s="64"/>
      <c r="F3" s="64"/>
      <c r="G3" s="64"/>
      <c r="H3" s="64"/>
      <c r="I3" s="64"/>
      <c r="J3" s="64"/>
    </row>
    <row r="4" spans="2:10" ht="15" thickBot="1">
      <c r="B4" s="180" t="s">
        <v>222</v>
      </c>
      <c r="C4" s="181"/>
      <c r="D4" s="64"/>
      <c r="E4" s="64"/>
      <c r="F4" s="64"/>
      <c r="G4" s="64"/>
      <c r="H4" s="64"/>
      <c r="I4" s="64"/>
      <c r="J4" s="64"/>
    </row>
    <row r="5" spans="2:10">
      <c r="B5" s="150" t="s">
        <v>2</v>
      </c>
      <c r="C5" s="182">
        <f>Sheet1!C7</f>
        <v>16.100000000000001</v>
      </c>
      <c r="D5" s="64"/>
      <c r="E5" s="64"/>
      <c r="F5" s="64"/>
      <c r="G5" s="64"/>
      <c r="H5" s="64"/>
      <c r="I5" s="64"/>
      <c r="J5" s="64"/>
    </row>
    <row r="6" spans="2:10">
      <c r="B6" s="183" t="s">
        <v>3</v>
      </c>
      <c r="C6" s="184">
        <f>Sheet1!C8</f>
        <v>42500</v>
      </c>
      <c r="D6" s="64"/>
      <c r="E6" s="64"/>
      <c r="F6" s="64"/>
      <c r="G6" s="64"/>
      <c r="H6" s="64"/>
      <c r="I6" s="64"/>
      <c r="J6" s="64"/>
    </row>
    <row r="7" spans="2:10">
      <c r="B7" s="183" t="s">
        <v>223</v>
      </c>
      <c r="C7" s="185">
        <v>146.09</v>
      </c>
      <c r="D7" s="64"/>
      <c r="E7" s="64"/>
      <c r="F7" s="64"/>
      <c r="G7" s="64"/>
      <c r="H7" s="64"/>
      <c r="I7" s="64"/>
      <c r="J7" s="64"/>
    </row>
    <row r="8" spans="2:10">
      <c r="B8" s="183" t="s">
        <v>224</v>
      </c>
      <c r="C8" s="186">
        <f>J75</f>
        <v>9.086244710165331E-2</v>
      </c>
      <c r="D8" s="64"/>
      <c r="E8" s="64"/>
      <c r="F8" s="64"/>
      <c r="G8" s="64"/>
      <c r="H8" s="64"/>
      <c r="I8" s="64"/>
      <c r="J8" s="64"/>
    </row>
    <row r="9" spans="2:10">
      <c r="B9" s="64"/>
      <c r="C9" s="64"/>
      <c r="D9" s="64"/>
      <c r="E9" s="64"/>
      <c r="F9" s="64"/>
      <c r="G9" s="64"/>
      <c r="H9" s="64"/>
      <c r="I9" s="64"/>
      <c r="J9" s="64"/>
    </row>
    <row r="10" spans="2:10" ht="15" thickBot="1">
      <c r="B10" s="187" t="s">
        <v>225</v>
      </c>
      <c r="C10" s="181"/>
      <c r="D10" s="181"/>
      <c r="E10" s="181"/>
      <c r="F10" s="181"/>
      <c r="G10" s="181"/>
      <c r="H10" s="181"/>
      <c r="I10" s="181"/>
      <c r="J10" s="181"/>
    </row>
    <row r="11" spans="2:10">
      <c r="B11" s="150" t="s">
        <v>11</v>
      </c>
      <c r="C11" s="188">
        <f>D11-1</f>
        <v>2013</v>
      </c>
      <c r="D11" s="188">
        <f>E11-1</f>
        <v>2014</v>
      </c>
      <c r="E11" s="188">
        <f>YEAR(Sheet1!C9)</f>
        <v>2015</v>
      </c>
      <c r="F11" s="189">
        <f>E11+1</f>
        <v>2016</v>
      </c>
      <c r="G11" s="189">
        <f>F11+1</f>
        <v>2017</v>
      </c>
      <c r="H11" s="189">
        <f>G11+1</f>
        <v>2018</v>
      </c>
      <c r="I11" s="189">
        <f>H11+1</f>
        <v>2019</v>
      </c>
      <c r="J11" s="189">
        <f>I11+1</f>
        <v>2020</v>
      </c>
    </row>
    <row r="12" spans="2:10">
      <c r="B12" s="190" t="s">
        <v>12</v>
      </c>
      <c r="C12" s="191">
        <f>'[1]Financial Statement Model'!C14</f>
        <v>40810</v>
      </c>
      <c r="D12" s="191">
        <f>'[1]Financial Statement Model'!D14</f>
        <v>41181</v>
      </c>
      <c r="E12" s="191">
        <f>'[1]Financial Statement Model'!E14</f>
        <v>41545</v>
      </c>
      <c r="F12" s="191">
        <f>'[1]Financial Statement Model'!F14</f>
        <v>41912</v>
      </c>
      <c r="G12" s="191">
        <f>'[1]Financial Statement Model'!G14</f>
        <v>42277</v>
      </c>
      <c r="H12" s="191">
        <f>'[1]Financial Statement Model'!H14</f>
        <v>42643</v>
      </c>
      <c r="I12" s="191">
        <f>'[1]Financial Statement Model'!I14</f>
        <v>43008</v>
      </c>
      <c r="J12" s="191">
        <f>'[1]Financial Statement Model'!J14</f>
        <v>43373</v>
      </c>
    </row>
    <row r="13" spans="2:10">
      <c r="B13" s="123"/>
      <c r="C13" s="64"/>
      <c r="D13" s="64"/>
      <c r="E13" s="64"/>
      <c r="F13" s="192"/>
      <c r="G13" s="192"/>
      <c r="H13" s="192"/>
      <c r="I13" s="192"/>
      <c r="J13" s="192"/>
    </row>
    <row r="14" spans="2:10">
      <c r="B14" s="150" t="s">
        <v>36</v>
      </c>
      <c r="C14" s="193">
        <f>Sheet1!C47</f>
        <v>864</v>
      </c>
      <c r="D14" s="193">
        <f>Sheet1!D47</f>
        <v>1517</v>
      </c>
      <c r="E14" s="193">
        <f>Sheet1!E47</f>
        <v>28</v>
      </c>
      <c r="F14" s="193">
        <f ca="1">Sheet1!F47</f>
        <v>187.86548001395954</v>
      </c>
      <c r="G14" s="193">
        <f ca="1">Sheet1!G47</f>
        <v>648.50466604304097</v>
      </c>
      <c r="H14" s="193">
        <f ca="1">Sheet1!H47</f>
        <v>920.21942519521372</v>
      </c>
      <c r="I14" s="193">
        <f ca="1">Sheet1!I47</f>
        <v>1128.2671250271414</v>
      </c>
      <c r="J14" s="193">
        <f ca="1">Sheet1!J47</f>
        <v>1168.9832365409607</v>
      </c>
    </row>
    <row r="15" spans="2:10">
      <c r="B15" s="150" t="s">
        <v>226</v>
      </c>
      <c r="C15" s="193">
        <f>Sheet1!C22</f>
        <v>147</v>
      </c>
      <c r="D15" s="193">
        <f>Sheet1!D22</f>
        <v>878</v>
      </c>
      <c r="E15" s="193">
        <f>Sheet1!E22</f>
        <v>-533</v>
      </c>
      <c r="F15" s="193">
        <f ca="1">Sheet1!F22</f>
        <v>-354.4445199860404</v>
      </c>
      <c r="G15" s="193">
        <f ca="1">Sheet1!G22</f>
        <v>98.724666043041054</v>
      </c>
      <c r="H15" s="193">
        <f ca="1">Sheet1!H22</f>
        <v>347.14942519521372</v>
      </c>
      <c r="I15" s="193">
        <f ca="1">Sheet1!I22</f>
        <v>524.24045836047458</v>
      </c>
      <c r="J15" s="193">
        <f ca="1">Sheet1!J22</f>
        <v>583.78545876318276</v>
      </c>
    </row>
    <row r="16" spans="2:10">
      <c r="B16" s="150" t="s">
        <v>227</v>
      </c>
      <c r="C16" s="194">
        <f>Sheet1!C42</f>
        <v>2.9791666666666665</v>
      </c>
      <c r="D16" s="194">
        <f>Sheet1!D42</f>
        <v>6.8441064638783272E-2</v>
      </c>
      <c r="E16" s="194">
        <f>Sheet1!E42</f>
        <v>0.86244841815680884</v>
      </c>
      <c r="F16" s="194">
        <f>Sheet1!F42</f>
        <v>0.06</v>
      </c>
      <c r="G16" s="194">
        <f>Sheet1!G42</f>
        <v>0.14099999999999999</v>
      </c>
      <c r="H16" s="194">
        <f>Sheet1!H42</f>
        <v>0.35</v>
      </c>
      <c r="I16" s="194">
        <f>Sheet1!I42</f>
        <v>0.35</v>
      </c>
      <c r="J16" s="194">
        <f>Sheet1!J42</f>
        <v>0.35</v>
      </c>
    </row>
    <row r="17" spans="2:10">
      <c r="B17" s="159" t="s">
        <v>228</v>
      </c>
      <c r="C17" s="195">
        <f>C15*(1-C16)</f>
        <v>-290.9375</v>
      </c>
      <c r="D17" s="195">
        <f t="shared" ref="D17:J17" si="0">D15*(1-D16)</f>
        <v>817.90874524714832</v>
      </c>
      <c r="E17" s="195">
        <f t="shared" si="0"/>
        <v>-73.314993122420887</v>
      </c>
      <c r="F17" s="195">
        <f t="shared" ca="1" si="0"/>
        <v>-333.17784878687797</v>
      </c>
      <c r="G17" s="195">
        <f t="shared" ca="1" si="0"/>
        <v>84.80448813097226</v>
      </c>
      <c r="H17" s="195">
        <f t="shared" ca="1" si="0"/>
        <v>225.64712637688893</v>
      </c>
      <c r="I17" s="195">
        <f t="shared" ca="1" si="0"/>
        <v>340.75629793430846</v>
      </c>
      <c r="J17" s="195">
        <f t="shared" ca="1" si="0"/>
        <v>379.46054819606883</v>
      </c>
    </row>
    <row r="19" spans="2:10">
      <c r="B19" s="160" t="s">
        <v>193</v>
      </c>
      <c r="C19" s="64"/>
      <c r="D19" s="64"/>
      <c r="E19" s="64"/>
      <c r="F19" s="193">
        <f>Sheet1!F254</f>
        <v>503.31</v>
      </c>
      <c r="G19" s="193">
        <f>Sheet1!G254</f>
        <v>508.78</v>
      </c>
      <c r="H19" s="193">
        <f>Sheet1!H254</f>
        <v>530.07000000000005</v>
      </c>
      <c r="I19" s="193">
        <f>Sheet1!I254</f>
        <v>559.02666666666676</v>
      </c>
      <c r="J19" s="193">
        <f>Sheet1!J254</f>
        <v>538.19777777777779</v>
      </c>
    </row>
    <row r="20" spans="2:10">
      <c r="B20" s="160" t="s">
        <v>35</v>
      </c>
      <c r="C20" s="64"/>
      <c r="D20" s="64"/>
      <c r="E20" s="64"/>
      <c r="F20" s="193">
        <f>Sheet1!F255</f>
        <v>39</v>
      </c>
      <c r="G20" s="193">
        <f>Sheet1!G255</f>
        <v>41</v>
      </c>
      <c r="H20" s="193">
        <f>Sheet1!H255</f>
        <v>43</v>
      </c>
      <c r="I20" s="193">
        <f>Sheet1!I255</f>
        <v>45</v>
      </c>
      <c r="J20" s="193">
        <f>Sheet1!J255</f>
        <v>47</v>
      </c>
    </row>
    <row r="21" spans="2:10">
      <c r="B21" s="160" t="s">
        <v>115</v>
      </c>
      <c r="C21" s="64"/>
      <c r="D21" s="64"/>
      <c r="E21" s="64"/>
      <c r="F21" s="193">
        <f ca="1">Sheet1!F256</f>
        <v>164.39022184812393</v>
      </c>
      <c r="G21" s="193">
        <f ca="1">Sheet1!G256</f>
        <v>-347.34741351768389</v>
      </c>
      <c r="H21" s="193">
        <f ca="1">Sheet1!H256</f>
        <v>-183.07518365579654</v>
      </c>
      <c r="I21" s="193">
        <f ca="1">Sheet1!I256</f>
        <v>-352.4400590951052</v>
      </c>
      <c r="J21" s="193">
        <f ca="1">Sheet1!J256</f>
        <v>-214.31917137963114</v>
      </c>
    </row>
    <row r="22" spans="2:10">
      <c r="B22" s="160" t="s">
        <v>116</v>
      </c>
      <c r="C22" s="64"/>
      <c r="D22" s="64"/>
      <c r="E22" s="64"/>
      <c r="F22" s="193">
        <f ca="1">Sheet1!F257</f>
        <v>427.35570655526658</v>
      </c>
      <c r="G22" s="193">
        <f ca="1">Sheet1!G257</f>
        <v>-3.956542170806415</v>
      </c>
      <c r="H22" s="193">
        <f ca="1">Sheet1!H257</f>
        <v>-45.239757171847714</v>
      </c>
      <c r="I22" s="193">
        <f ca="1">Sheet1!I257</f>
        <v>-256.47758329277781</v>
      </c>
      <c r="J22" s="193">
        <f ca="1">Sheet1!J257</f>
        <v>-248.6133235453899</v>
      </c>
    </row>
    <row r="23" spans="2:10">
      <c r="B23" s="160" t="s">
        <v>123</v>
      </c>
      <c r="C23" s="64"/>
      <c r="D23" s="64"/>
      <c r="E23" s="64"/>
      <c r="F23" s="193">
        <f ca="1">Sheet1!F258</f>
        <v>-317.50373040773729</v>
      </c>
      <c r="G23" s="193">
        <f ca="1">Sheet1!G258</f>
        <v>158.74581622464802</v>
      </c>
      <c r="H23" s="193">
        <f ca="1">Sheet1!H258</f>
        <v>192.70675757570416</v>
      </c>
      <c r="I23" s="193">
        <f ca="1">Sheet1!I258</f>
        <v>361.06377596313951</v>
      </c>
      <c r="J23" s="193">
        <f ca="1">Sheet1!J258</f>
        <v>263.59353644959265</v>
      </c>
    </row>
    <row r="24" spans="2:10">
      <c r="B24" s="160" t="s">
        <v>152</v>
      </c>
      <c r="C24" s="64"/>
      <c r="D24" s="64"/>
      <c r="E24" s="64"/>
      <c r="F24" s="193">
        <f ca="1">Sheet1!F259</f>
        <v>23.095051633167117</v>
      </c>
      <c r="G24" s="193">
        <f ca="1">Sheet1!G259</f>
        <v>71.67031649248392</v>
      </c>
      <c r="H24" s="193">
        <f ca="1">Sheet1!H259</f>
        <v>63.122401952434529</v>
      </c>
      <c r="I24" s="193">
        <f ca="1">Sheet1!I259</f>
        <v>82.419079932770956</v>
      </c>
      <c r="J24" s="193">
        <f ca="1">Sheet1!J259</f>
        <v>27.782151307346396</v>
      </c>
    </row>
    <row r="25" spans="2:10">
      <c r="B25" s="160" t="s">
        <v>118</v>
      </c>
      <c r="C25" s="64"/>
      <c r="D25" s="64"/>
      <c r="E25" s="64"/>
      <c r="F25" s="193">
        <f>Sheet1!F260</f>
        <v>-115</v>
      </c>
      <c r="G25" s="193">
        <f>Sheet1!G260</f>
        <v>-112</v>
      </c>
      <c r="H25" s="193">
        <f>Sheet1!H260</f>
        <v>-81</v>
      </c>
      <c r="I25" s="193">
        <f>Sheet1!I260</f>
        <v>-83</v>
      </c>
      <c r="J25" s="193">
        <f>Sheet1!J260</f>
        <v>-79</v>
      </c>
    </row>
    <row r="26" spans="2:10">
      <c r="B26" s="162" t="s">
        <v>167</v>
      </c>
      <c r="C26" s="64"/>
      <c r="D26" s="64"/>
      <c r="E26" s="64"/>
      <c r="F26" s="193">
        <f>Sheet1!F261</f>
        <v>-125</v>
      </c>
      <c r="G26" s="193">
        <f>Sheet1!G261</f>
        <v>0</v>
      </c>
      <c r="H26" s="193">
        <f>Sheet1!H261</f>
        <v>0</v>
      </c>
      <c r="I26" s="193">
        <f>Sheet1!I261</f>
        <v>0</v>
      </c>
      <c r="J26" s="193">
        <f>Sheet1!J261</f>
        <v>0</v>
      </c>
    </row>
    <row r="27" spans="2:10">
      <c r="B27" s="162" t="s">
        <v>121</v>
      </c>
      <c r="C27" s="64"/>
      <c r="D27" s="64"/>
      <c r="E27" s="64"/>
      <c r="F27" s="193">
        <f>Sheet1!F262</f>
        <v>24.720000000000027</v>
      </c>
      <c r="G27" s="193">
        <f>Sheet1!G262</f>
        <v>23.731200000000058</v>
      </c>
      <c r="H27" s="193">
        <f>Sheet1!H262</f>
        <v>22.781952000000047</v>
      </c>
      <c r="I27" s="193">
        <f>Sheet1!I262</f>
        <v>21.870673920000058</v>
      </c>
      <c r="J27" s="193">
        <f>Sheet1!J262</f>
        <v>20.995846963199995</v>
      </c>
    </row>
    <row r="28" spans="2:10">
      <c r="B28" s="160" t="s">
        <v>168</v>
      </c>
      <c r="C28" s="64"/>
      <c r="D28" s="64"/>
      <c r="E28" s="64"/>
      <c r="F28" s="193">
        <f>Sheet1!F263</f>
        <v>-32.758000000000038</v>
      </c>
      <c r="G28" s="193">
        <f>Sheet1!G263</f>
        <v>-32.037324000000126</v>
      </c>
      <c r="H28" s="193">
        <f>Sheet1!H263</f>
        <v>-31.332502872000077</v>
      </c>
      <c r="I28" s="193">
        <f>Sheet1!I263</f>
        <v>-30.643187808816037</v>
      </c>
      <c r="J28" s="193">
        <f>Sheet1!J263</f>
        <v>-29.969037677022015</v>
      </c>
    </row>
    <row r="29" spans="2:10">
      <c r="B29" s="159" t="s">
        <v>230</v>
      </c>
      <c r="F29" s="23">
        <f ca="1">F17+SUM(F19:F28)</f>
        <v>258.43140084194232</v>
      </c>
      <c r="G29" s="23">
        <f t="shared" ref="G29:J29" ca="1" si="1">G17+SUM(G19:G28)</f>
        <v>393.3905411596138</v>
      </c>
      <c r="H29" s="23">
        <f t="shared" ca="1" si="1"/>
        <v>736.68079420538334</v>
      </c>
      <c r="I29" s="23">
        <f t="shared" ca="1" si="1"/>
        <v>687.5756642201867</v>
      </c>
      <c r="J29" s="23">
        <f t="shared" ca="1" si="1"/>
        <v>705.12832809194265</v>
      </c>
    </row>
    <row r="30" spans="2:10">
      <c r="B30" s="28" t="s">
        <v>231</v>
      </c>
      <c r="F30" s="193">
        <f ca="1">Sheet1!F267</f>
        <v>-355.35630713009704</v>
      </c>
      <c r="G30" s="193">
        <f ca="1">Sheet1!G267</f>
        <v>-373.02918090362169</v>
      </c>
      <c r="H30" s="193">
        <f ca="1">Sheet1!H267</f>
        <v>-374.28028808329128</v>
      </c>
      <c r="I30" s="193">
        <f ca="1">Sheet1!I267</f>
        <v>-406.22517188517799</v>
      </c>
      <c r="J30" s="193">
        <f ca="1">Sheet1!J267</f>
        <v>-414.98010118638263</v>
      </c>
    </row>
    <row r="31" spans="2:10">
      <c r="B31" s="160" t="s">
        <v>232</v>
      </c>
      <c r="F31" s="193">
        <f>Sheet1!F268</f>
        <v>0</v>
      </c>
      <c r="G31" s="193">
        <f>Sheet1!G268</f>
        <v>0</v>
      </c>
      <c r="H31" s="193">
        <f>Sheet1!H268</f>
        <v>0</v>
      </c>
      <c r="I31" s="193">
        <f>Sheet1!I268</f>
        <v>0</v>
      </c>
      <c r="J31" s="193">
        <f>Sheet1!J268</f>
        <v>0</v>
      </c>
    </row>
    <row r="32" spans="2:10">
      <c r="B32" s="31" t="s">
        <v>233</v>
      </c>
      <c r="F32" s="23">
        <f ca="1">SUM(F29:F31)</f>
        <v>-96.924906288154716</v>
      </c>
      <c r="G32" s="23">
        <f t="shared" ref="G32:J32" ca="1" si="2">SUM(G29:G31)</f>
        <v>20.361360255992111</v>
      </c>
      <c r="H32" s="23">
        <f t="shared" ca="1" si="2"/>
        <v>362.40050612209205</v>
      </c>
      <c r="I32" s="23">
        <f t="shared" ca="1" si="2"/>
        <v>281.35049233500871</v>
      </c>
      <c r="J32" s="23">
        <f t="shared" ca="1" si="2"/>
        <v>290.14822690556002</v>
      </c>
    </row>
    <row r="33" spans="2:12">
      <c r="B33" s="66" t="s">
        <v>55</v>
      </c>
      <c r="G33" s="197">
        <f ca="1">G32/F32-1</f>
        <v>-1.210073561437949</v>
      </c>
      <c r="H33" s="197">
        <f t="shared" ref="H33:J33" ca="1" si="3">H32/G32-1</f>
        <v>16.798442813536578</v>
      </c>
      <c r="I33" s="197">
        <f t="shared" ca="1" si="3"/>
        <v>-0.22364762857085452</v>
      </c>
      <c r="J33" s="197">
        <f t="shared" ca="1" si="3"/>
        <v>3.1269661188563669E-2</v>
      </c>
    </row>
    <row r="35" spans="2:12">
      <c r="B35" s="198" t="s">
        <v>234</v>
      </c>
      <c r="F35" s="199">
        <f>YEARFRAC($C$6,F12)</f>
        <v>1.6111111111111112</v>
      </c>
      <c r="G35" s="199">
        <f>YEARFRAC($C$6,G12)</f>
        <v>0.61111111111111116</v>
      </c>
      <c r="H35" s="199">
        <f>YEARFRAC($C$6,H12)</f>
        <v>0.3888888888888889</v>
      </c>
      <c r="I35" s="199">
        <f>YEARFRAC($C$6,I12)</f>
        <v>1.3888888888888888</v>
      </c>
      <c r="J35" s="199">
        <f>YEARFRAC($C$6,J12)</f>
        <v>2.3888888888888888</v>
      </c>
    </row>
    <row r="36" spans="2:12">
      <c r="B36" s="150" t="s">
        <v>235</v>
      </c>
      <c r="C36" s="200" t="s">
        <v>236</v>
      </c>
      <c r="D36" s="64"/>
      <c r="F36" s="64"/>
      <c r="G36" s="64"/>
      <c r="H36" s="64"/>
      <c r="I36" s="64"/>
      <c r="J36" s="64"/>
    </row>
    <row r="37" spans="2:12">
      <c r="B37" s="64" t="s">
        <v>237</v>
      </c>
      <c r="C37" s="201">
        <f>IF(C36="Middle of period",(1+C8)^0.5,1)</f>
        <v>1.0444436064726774</v>
      </c>
      <c r="D37" s="64"/>
      <c r="E37" s="64"/>
      <c r="F37" s="202">
        <f>F35-E35</f>
        <v>1.6111111111111112</v>
      </c>
      <c r="G37" s="203">
        <f>G35-F35</f>
        <v>-1</v>
      </c>
      <c r="H37" s="203">
        <f>H35-G35</f>
        <v>-0.22222222222222227</v>
      </c>
      <c r="I37" s="203">
        <f>I35-H35</f>
        <v>1</v>
      </c>
      <c r="J37" s="203">
        <f>J35-I35</f>
        <v>1</v>
      </c>
    </row>
    <row r="38" spans="2:12">
      <c r="B38" s="198" t="s">
        <v>238</v>
      </c>
      <c r="C38" s="64"/>
      <c r="F38" s="204">
        <f ca="1">IF($C$36="End of period",F32/(1+$C$8)^F35,F32/(1+$C$8)^(F35-0.5*F37))</f>
        <v>-90.366937267657917</v>
      </c>
      <c r="G38" s="204">
        <f t="shared" ref="G38:J38" ca="1" si="4">IF($C$36="End of period",G32/(1+$C$8)^G35,G32/(1+$C$8)^(G35-0.5*G37))</f>
        <v>18.485880056840035</v>
      </c>
      <c r="H38" s="204">
        <f t="shared" ca="1" si="4"/>
        <v>346.97948637552645</v>
      </c>
      <c r="I38" s="204">
        <f t="shared" ca="1" si="4"/>
        <v>260.42001149606153</v>
      </c>
      <c r="J38" s="204">
        <f t="shared" ca="1" si="4"/>
        <v>246.19351205628118</v>
      </c>
    </row>
    <row r="40" spans="2:12" ht="15" thickBot="1">
      <c r="B40" s="205" t="s">
        <v>239</v>
      </c>
      <c r="C40" s="181"/>
      <c r="E40" s="205" t="s">
        <v>240</v>
      </c>
      <c r="F40" s="181"/>
      <c r="G40" s="181"/>
      <c r="H40" s="181"/>
      <c r="I40" s="181"/>
      <c r="J40" s="181"/>
      <c r="K40" s="64"/>
      <c r="L40" s="64"/>
    </row>
    <row r="41" spans="2:12">
      <c r="B41" s="64" t="s">
        <v>241</v>
      </c>
      <c r="C41" s="22">
        <f ca="1">J17+SUM(J20:J27)</f>
        <v>196.89958799118682</v>
      </c>
      <c r="E41" s="64" t="s">
        <v>242</v>
      </c>
      <c r="F41" s="64"/>
      <c r="G41" s="64"/>
      <c r="H41" s="64"/>
      <c r="I41" s="64"/>
      <c r="J41" s="5">
        <f ca="1">J14</f>
        <v>1168.9832365409607</v>
      </c>
      <c r="K41" s="64"/>
      <c r="L41" s="64"/>
    </row>
    <row r="42" spans="2:12" ht="16.2">
      <c r="B42" s="64" t="s">
        <v>243</v>
      </c>
      <c r="C42" s="206">
        <f ca="1">C41*(1+C43)</f>
        <v>204.77557151083431</v>
      </c>
      <c r="E42" s="64" t="s">
        <v>244</v>
      </c>
      <c r="F42" s="64"/>
      <c r="G42" s="64"/>
      <c r="H42" s="64"/>
      <c r="I42" s="64"/>
      <c r="J42" s="207">
        <v>9.25</v>
      </c>
      <c r="K42" s="208"/>
      <c r="L42" s="64"/>
    </row>
    <row r="43" spans="2:12">
      <c r="B43" s="64" t="s">
        <v>245</v>
      </c>
      <c r="C43" s="209">
        <v>0.04</v>
      </c>
      <c r="E43" s="64" t="s">
        <v>246</v>
      </c>
      <c r="F43" s="64"/>
      <c r="G43" s="64"/>
      <c r="H43" s="64"/>
      <c r="I43" s="64"/>
      <c r="J43" s="22">
        <f ca="1">J41*J42</f>
        <v>10813.094938003886</v>
      </c>
      <c r="K43" s="64"/>
      <c r="L43" s="64"/>
    </row>
    <row r="44" spans="2:12">
      <c r="B44" s="64" t="s">
        <v>246</v>
      </c>
      <c r="C44" s="22">
        <f ca="1">C37*C42/(C8-C43)</f>
        <v>4204.998945466139</v>
      </c>
      <c r="E44" s="150" t="s">
        <v>247</v>
      </c>
      <c r="F44" s="64"/>
      <c r="G44" s="64"/>
      <c r="H44" s="64"/>
      <c r="I44" s="64"/>
      <c r="J44" s="22">
        <f ca="1">J43/(1+C8)^J35</f>
        <v>8784.5941780407138</v>
      </c>
      <c r="K44" s="64"/>
      <c r="L44" s="64"/>
    </row>
    <row r="45" spans="2:12">
      <c r="B45" s="150" t="s">
        <v>247</v>
      </c>
      <c r="C45" s="22">
        <f ca="1">C44/(1+C8)^J35</f>
        <v>3416.1550848112888</v>
      </c>
      <c r="E45" s="151" t="s">
        <v>248</v>
      </c>
      <c r="F45" s="64"/>
      <c r="G45" s="64"/>
      <c r="H45" s="64"/>
      <c r="I45" s="64"/>
      <c r="J45" s="5">
        <f ca="1">C46</f>
        <v>781.7119527170513</v>
      </c>
      <c r="K45" s="64"/>
      <c r="L45" s="64"/>
    </row>
    <row r="46" spans="2:12">
      <c r="B46" s="151" t="s">
        <v>248</v>
      </c>
      <c r="C46" s="5">
        <f ca="1">SUM(F38:J38)</f>
        <v>781.7119527170513</v>
      </c>
      <c r="E46" s="159" t="s">
        <v>249</v>
      </c>
      <c r="F46" s="64"/>
      <c r="G46" s="64"/>
      <c r="H46" s="64"/>
      <c r="I46" s="64"/>
      <c r="J46" s="23">
        <f ca="1">SUM(J44:J45)</f>
        <v>9566.3061307577645</v>
      </c>
      <c r="K46" s="64"/>
      <c r="L46" s="64"/>
    </row>
    <row r="47" spans="2:12">
      <c r="B47" s="159" t="s">
        <v>249</v>
      </c>
      <c r="C47" s="23">
        <f ca="1">SUM(C45:C46)</f>
        <v>4197.86703752834</v>
      </c>
      <c r="D47" s="64"/>
      <c r="E47" s="210" t="s">
        <v>250</v>
      </c>
      <c r="F47" s="124"/>
      <c r="G47" s="124"/>
      <c r="H47" s="124"/>
      <c r="I47" s="124"/>
      <c r="J47" s="211">
        <f ca="1">(C8-(C41*(1+C8)^0.5)/J43)/(1+(C41*(1+C8)^0.5)/J43)</f>
        <v>7.0502921977132746E-2</v>
      </c>
      <c r="K47" s="64"/>
      <c r="L47" s="64"/>
    </row>
    <row r="48" spans="2:12">
      <c r="B48" s="210" t="s">
        <v>251</v>
      </c>
      <c r="C48" s="212">
        <f ca="1">C44/J41</f>
        <v>3.5971422121576313</v>
      </c>
      <c r="D48" s="64"/>
      <c r="E48" s="151"/>
      <c r="F48" s="64"/>
      <c r="G48" s="64"/>
      <c r="H48" s="64"/>
      <c r="I48" s="64"/>
      <c r="J48" s="197"/>
      <c r="K48" s="64"/>
      <c r="L48" s="64"/>
    </row>
    <row r="49" spans="2:12">
      <c r="B49" s="210"/>
      <c r="C49" s="213"/>
      <c r="D49" s="64"/>
      <c r="E49" s="151"/>
      <c r="F49" s="64"/>
      <c r="G49" s="64"/>
      <c r="H49" s="64"/>
      <c r="I49" s="64"/>
      <c r="J49" s="197"/>
      <c r="K49" s="64"/>
      <c r="L49" s="64"/>
    </row>
    <row r="50" spans="2:12" ht="15" thickBot="1">
      <c r="B50" s="205" t="s">
        <v>252</v>
      </c>
      <c r="C50" s="214"/>
      <c r="E50" s="205" t="s">
        <v>253</v>
      </c>
      <c r="F50" s="214"/>
      <c r="G50" s="214"/>
      <c r="H50" s="214"/>
      <c r="I50" s="214"/>
      <c r="J50" s="214"/>
      <c r="K50" s="64"/>
      <c r="L50" s="64"/>
    </row>
    <row r="51" spans="2:12" ht="16.2">
      <c r="B51" s="64" t="s">
        <v>114</v>
      </c>
      <c r="C51" s="105">
        <v>755</v>
      </c>
      <c r="H51" s="64"/>
      <c r="I51" s="215" t="s">
        <v>254</v>
      </c>
      <c r="J51" s="215" t="s">
        <v>36</v>
      </c>
      <c r="K51" s="64"/>
      <c r="L51" s="64"/>
    </row>
    <row r="52" spans="2:12">
      <c r="B52" s="151" t="s">
        <v>170</v>
      </c>
      <c r="C52" s="105">
        <v>3116</v>
      </c>
      <c r="E52" t="s">
        <v>255</v>
      </c>
      <c r="H52" s="64"/>
      <c r="I52" s="5">
        <f ca="1">C47</f>
        <v>4197.86703752834</v>
      </c>
      <c r="J52" s="5">
        <f ca="1">J46</f>
        <v>9566.3061307577645</v>
      </c>
      <c r="K52" s="64"/>
      <c r="L52" s="64"/>
    </row>
    <row r="53" spans="2:12">
      <c r="B53" s="166" t="s">
        <v>136</v>
      </c>
      <c r="C53" s="195">
        <f>C52-C51</f>
        <v>2361</v>
      </c>
      <c r="E53" t="s">
        <v>256</v>
      </c>
      <c r="H53" s="64"/>
      <c r="I53" s="5">
        <f>-C53</f>
        <v>-2361</v>
      </c>
      <c r="J53" s="5">
        <f>-C53</f>
        <v>-2361</v>
      </c>
      <c r="K53" s="64"/>
      <c r="L53" s="64"/>
    </row>
    <row r="54" spans="2:12">
      <c r="B54" s="151" t="s">
        <v>257</v>
      </c>
      <c r="C54" s="105">
        <v>0</v>
      </c>
      <c r="E54" t="s">
        <v>258</v>
      </c>
      <c r="H54" s="64"/>
      <c r="I54" s="5">
        <f>-$C$54</f>
        <v>0</v>
      </c>
      <c r="J54" s="5">
        <f>-$C$54</f>
        <v>0</v>
      </c>
      <c r="K54" s="64"/>
      <c r="L54" s="64"/>
    </row>
    <row r="55" spans="2:12">
      <c r="B55" s="64"/>
      <c r="C55" s="64"/>
      <c r="E55" s="31" t="s">
        <v>259</v>
      </c>
      <c r="F55" s="31"/>
      <c r="G55" s="31"/>
      <c r="H55" s="64"/>
      <c r="I55" s="23">
        <f ca="1">I52+I53+I54</f>
        <v>1836.86703752834</v>
      </c>
      <c r="J55" s="23">
        <f ca="1">J52+J53+J54</f>
        <v>7205.3061307577645</v>
      </c>
      <c r="K55" s="64"/>
      <c r="L55" s="64"/>
    </row>
    <row r="56" spans="2:12" ht="15" thickBot="1">
      <c r="B56" s="205" t="s">
        <v>260</v>
      </c>
      <c r="C56" s="181"/>
      <c r="D56" s="150"/>
      <c r="E56" s="151" t="s">
        <v>261</v>
      </c>
      <c r="F56" s="64"/>
      <c r="G56" s="64"/>
      <c r="H56" s="64"/>
      <c r="I56" s="216">
        <f>$C$65</f>
        <v>146.09</v>
      </c>
      <c r="J56" s="216">
        <f>$C$65</f>
        <v>146.09</v>
      </c>
      <c r="K56" s="64"/>
      <c r="L56" s="64"/>
    </row>
    <row r="57" spans="2:12">
      <c r="B57" s="124" t="s">
        <v>24</v>
      </c>
      <c r="C57" s="216">
        <f>C7</f>
        <v>146.09</v>
      </c>
      <c r="D57" s="150"/>
      <c r="E57" s="31" t="s">
        <v>262</v>
      </c>
      <c r="F57" s="64"/>
      <c r="G57" s="64"/>
      <c r="H57" s="64"/>
      <c r="I57" s="217">
        <f ca="1">I55/I56</f>
        <v>12.573530272628791</v>
      </c>
      <c r="J57" s="217">
        <f t="shared" ref="J57" ca="1" si="5">J55/J56</f>
        <v>49.321008493105374</v>
      </c>
      <c r="K57" s="64"/>
      <c r="L57" s="64"/>
    </row>
    <row r="58" spans="2:12">
      <c r="B58" s="152" t="s">
        <v>263</v>
      </c>
      <c r="C58" s="218">
        <v>2.4</v>
      </c>
      <c r="D58" s="150"/>
      <c r="E58" s="124" t="s">
        <v>264</v>
      </c>
      <c r="F58" s="64"/>
      <c r="G58" s="64"/>
      <c r="H58" s="64"/>
      <c r="I58" s="197">
        <f ca="1">$C$5/I57-1</f>
        <v>0.28046774858831425</v>
      </c>
      <c r="J58" s="197">
        <f t="shared" ref="J58" ca="1" si="6">$C$5/J57-1</f>
        <v>-0.67356709662068992</v>
      </c>
      <c r="K58" s="64"/>
      <c r="L58" s="64"/>
    </row>
    <row r="59" spans="2:12">
      <c r="B59" s="152" t="s">
        <v>265</v>
      </c>
      <c r="C59">
        <v>157.93</v>
      </c>
      <c r="K59" s="64"/>
      <c r="L59" s="64"/>
    </row>
    <row r="60" spans="2:12" ht="15" thickBot="1">
      <c r="B60" s="64" t="s">
        <v>266</v>
      </c>
      <c r="C60" s="218">
        <f>IF(C59&lt;C5,C58,0)</f>
        <v>0</v>
      </c>
      <c r="E60" s="205" t="s">
        <v>267</v>
      </c>
      <c r="F60" s="181"/>
      <c r="G60" s="181"/>
      <c r="H60" s="181"/>
      <c r="I60" s="181"/>
      <c r="J60" s="181"/>
      <c r="K60" s="64"/>
      <c r="L60" s="64"/>
    </row>
    <row r="61" spans="2:12">
      <c r="B61" s="154" t="s">
        <v>268</v>
      </c>
      <c r="C61" s="22">
        <f>C60*C59</f>
        <v>0</v>
      </c>
      <c r="E61" s="219" t="s">
        <v>269</v>
      </c>
      <c r="F61" s="64"/>
      <c r="G61" s="64"/>
      <c r="H61" s="64"/>
      <c r="I61" s="64"/>
      <c r="J61" s="220">
        <v>6.9000000000000006E-2</v>
      </c>
      <c r="K61" s="64"/>
      <c r="L61" s="64"/>
    </row>
    <row r="62" spans="2:12">
      <c r="B62" s="154" t="s">
        <v>270</v>
      </c>
      <c r="C62" s="218">
        <f>C61/C5</f>
        <v>0</v>
      </c>
      <c r="E62" s="150" t="s">
        <v>33</v>
      </c>
      <c r="F62" s="64"/>
      <c r="G62" s="64"/>
      <c r="H62" s="64"/>
      <c r="I62" s="64"/>
      <c r="J62" s="197">
        <f>J16</f>
        <v>0.35</v>
      </c>
      <c r="K62" s="64"/>
      <c r="L62" s="64"/>
    </row>
    <row r="63" spans="2:12">
      <c r="B63" s="154" t="s">
        <v>271</v>
      </c>
      <c r="C63" s="221">
        <f>C60-C62</f>
        <v>0</v>
      </c>
      <c r="E63" s="64" t="s">
        <v>272</v>
      </c>
      <c r="F63" s="64"/>
      <c r="G63" s="64"/>
      <c r="H63" s="64"/>
      <c r="I63" s="64"/>
      <c r="J63" s="192">
        <f>J61*(1-J62)</f>
        <v>4.4850000000000008E-2</v>
      </c>
      <c r="K63" s="64"/>
      <c r="L63" s="64"/>
    </row>
    <row r="64" spans="2:12">
      <c r="B64" s="154" t="s">
        <v>273</v>
      </c>
      <c r="C64" s="105">
        <v>0</v>
      </c>
      <c r="D64" s="64"/>
      <c r="E64" s="64"/>
      <c r="F64" s="64"/>
      <c r="G64" s="64"/>
      <c r="H64" s="64"/>
      <c r="I64" s="64"/>
      <c r="J64" s="64"/>
      <c r="K64" s="64"/>
      <c r="L64" s="64"/>
    </row>
    <row r="65" spans="2:12">
      <c r="B65" s="153" t="s">
        <v>274</v>
      </c>
      <c r="C65" s="222">
        <f>C57+C63+C64</f>
        <v>146.09</v>
      </c>
      <c r="D65" s="64"/>
      <c r="E65" s="64" t="s">
        <v>275</v>
      </c>
      <c r="F65" s="64"/>
      <c r="G65" s="64"/>
      <c r="H65" s="64"/>
      <c r="I65" s="64"/>
      <c r="J65" s="220">
        <v>2.5000000000000001E-2</v>
      </c>
      <c r="K65" s="223" t="s">
        <v>276</v>
      </c>
      <c r="L65" s="223" t="s">
        <v>277</v>
      </c>
    </row>
    <row r="66" spans="2:12">
      <c r="B66" s="64"/>
      <c r="C66" s="64"/>
      <c r="D66" s="64"/>
      <c r="E66" s="64" t="s">
        <v>278</v>
      </c>
      <c r="F66" s="64"/>
      <c r="G66" s="64"/>
      <c r="H66" s="64"/>
      <c r="I66" s="64"/>
      <c r="J66" s="224">
        <f>IF(L66="Observed",K66,C86)</f>
        <v>2.7</v>
      </c>
      <c r="K66" s="225">
        <v>2.7</v>
      </c>
      <c r="L66" s="226" t="s">
        <v>279</v>
      </c>
    </row>
    <row r="67" spans="2:12">
      <c r="B67" s="64"/>
      <c r="C67" s="64"/>
      <c r="D67" s="64"/>
      <c r="E67" s="150" t="s">
        <v>280</v>
      </c>
      <c r="F67" s="64"/>
      <c r="G67" s="64"/>
      <c r="H67" s="64"/>
      <c r="I67" s="64"/>
      <c r="J67" s="227">
        <v>4.1500000000000002E-2</v>
      </c>
      <c r="K67" s="64"/>
      <c r="L67" s="64"/>
    </row>
    <row r="68" spans="2:12">
      <c r="B68" s="64"/>
      <c r="C68" s="64"/>
      <c r="D68" s="64"/>
      <c r="E68" s="151" t="s">
        <v>281</v>
      </c>
      <c r="F68" s="64"/>
      <c r="G68" s="64"/>
      <c r="H68" s="64"/>
      <c r="I68" s="64"/>
      <c r="J68" s="228">
        <f>J65+J66*J67</f>
        <v>0.13705000000000001</v>
      </c>
      <c r="K68" s="64"/>
      <c r="L68" s="64"/>
    </row>
    <row r="69" spans="2:12">
      <c r="B69" s="64"/>
      <c r="C69" s="64"/>
      <c r="D69" s="64"/>
      <c r="E69" s="64"/>
      <c r="F69" s="64"/>
      <c r="G69" s="64"/>
      <c r="H69" s="64"/>
      <c r="I69" s="64"/>
      <c r="J69" s="64"/>
      <c r="K69" s="64"/>
      <c r="L69" s="64"/>
    </row>
    <row r="70" spans="2:12">
      <c r="B70" s="64"/>
      <c r="C70" s="64"/>
      <c r="D70" s="64"/>
      <c r="E70" s="149" t="s">
        <v>282</v>
      </c>
      <c r="F70" s="149"/>
      <c r="G70" s="149"/>
      <c r="H70" s="149"/>
      <c r="I70" s="149"/>
      <c r="J70" s="149"/>
      <c r="K70" s="64"/>
      <c r="L70" s="64"/>
    </row>
    <row r="71" spans="2:12" ht="16.2">
      <c r="B71" s="64"/>
      <c r="C71" s="64"/>
      <c r="D71" s="64"/>
      <c r="E71" s="64"/>
      <c r="F71" s="64"/>
      <c r="G71" s="64"/>
      <c r="H71" s="64"/>
      <c r="I71" s="229" t="s">
        <v>283</v>
      </c>
      <c r="J71" s="230" t="s">
        <v>284</v>
      </c>
      <c r="K71" s="64"/>
      <c r="L71" s="64"/>
    </row>
    <row r="72" spans="2:12">
      <c r="B72" s="64"/>
      <c r="C72" s="64"/>
      <c r="D72" s="64"/>
      <c r="E72" s="151" t="s">
        <v>285</v>
      </c>
      <c r="F72" s="64"/>
      <c r="G72" s="64"/>
      <c r="H72" s="64"/>
      <c r="I72" s="203">
        <f>C65*C5</f>
        <v>2352.0490000000004</v>
      </c>
      <c r="J72" s="192">
        <f>I72/(I72+I73)</f>
        <v>0.49905040240404885</v>
      </c>
      <c r="K72" s="64"/>
      <c r="L72" s="64"/>
    </row>
    <row r="73" spans="2:12">
      <c r="B73" s="64"/>
      <c r="C73" s="64"/>
      <c r="D73" s="64"/>
      <c r="E73" s="151" t="s">
        <v>136</v>
      </c>
      <c r="F73" s="64"/>
      <c r="G73" s="64"/>
      <c r="H73" s="64"/>
      <c r="I73" s="203">
        <f>C53</f>
        <v>2361</v>
      </c>
      <c r="J73" s="192">
        <f>1-J72</f>
        <v>0.50094959759595115</v>
      </c>
      <c r="K73" s="64"/>
      <c r="L73" s="64"/>
    </row>
    <row r="74" spans="2:12">
      <c r="B74" s="64"/>
      <c r="C74" s="64"/>
      <c r="D74" s="64"/>
      <c r="E74" s="64"/>
      <c r="F74" s="64"/>
      <c r="G74" s="64"/>
      <c r="H74" s="64"/>
      <c r="I74" s="64"/>
      <c r="J74" s="64"/>
      <c r="K74" s="64"/>
      <c r="L74" s="64"/>
    </row>
    <row r="75" spans="2:12">
      <c r="B75" s="64"/>
      <c r="C75" s="64"/>
      <c r="D75" s="64"/>
      <c r="E75" s="231" t="s">
        <v>286</v>
      </c>
      <c r="F75" s="232"/>
      <c r="G75" s="232"/>
      <c r="H75" s="232"/>
      <c r="I75" s="232"/>
      <c r="J75" s="233">
        <f>J63*J73+J68*J72</f>
        <v>9.086244710165331E-2</v>
      </c>
      <c r="K75" s="64"/>
      <c r="L75" s="64"/>
    </row>
  </sheetData>
  <dataValidations count="2">
    <dataValidation type="list" allowBlank="1" showInputMessage="1" showErrorMessage="1" sqref="C36">
      <formula1>"End of period,Middle of period"</formula1>
    </dataValidation>
    <dataValidation type="list" allowBlank="1" showInputMessage="1" showErrorMessage="1" sqref="L66">
      <formula1>"Industry, Observed"</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69"/>
  <sheetViews>
    <sheetView topLeftCell="A44" workbookViewId="0">
      <selection activeCell="O69" sqref="O69"/>
    </sheetView>
  </sheetViews>
  <sheetFormatPr defaultRowHeight="14.4"/>
  <cols>
    <col min="1" max="1" width="2.109375" customWidth="1"/>
    <col min="2" max="2" width="47.44140625" customWidth="1"/>
    <col min="7" max="7" width="29" customWidth="1"/>
    <col min="11" max="15" width="9.33203125" bestFit="1" customWidth="1"/>
  </cols>
  <sheetData>
    <row r="1" spans="2:15" ht="10.8" customHeight="1"/>
    <row r="2" spans="2:15" ht="22.8" customHeight="1" thickBot="1">
      <c r="B2" s="67" t="s">
        <v>74</v>
      </c>
      <c r="C2" s="68"/>
      <c r="D2" s="68"/>
      <c r="E2" s="68"/>
      <c r="F2" s="68"/>
      <c r="G2" s="68"/>
      <c r="H2" s="68"/>
      <c r="I2" s="68"/>
      <c r="J2" s="68"/>
    </row>
    <row r="3" spans="2:15">
      <c r="B3" s="46"/>
      <c r="C3" s="46"/>
      <c r="D3" s="46"/>
      <c r="E3" s="46"/>
      <c r="F3" s="46"/>
      <c r="G3" s="46"/>
      <c r="H3" s="69"/>
      <c r="I3" s="70"/>
      <c r="J3" s="46"/>
    </row>
    <row r="4" spans="2:15">
      <c r="B4" s="71" t="s">
        <v>59</v>
      </c>
      <c r="C4" s="72">
        <v>365</v>
      </c>
      <c r="D4" s="46"/>
      <c r="E4" s="46"/>
      <c r="F4" s="46"/>
      <c r="G4" s="46"/>
      <c r="H4" s="46"/>
      <c r="I4" s="46"/>
      <c r="J4" s="46"/>
    </row>
    <row r="5" spans="2:15">
      <c r="B5" s="46"/>
      <c r="C5" s="46"/>
      <c r="D5" s="46"/>
      <c r="E5" s="46"/>
      <c r="F5" s="46"/>
      <c r="G5" s="46"/>
      <c r="H5" s="46"/>
      <c r="I5" s="46"/>
      <c r="J5" s="46"/>
    </row>
    <row r="6" spans="2:15" ht="15" thickBot="1">
      <c r="B6" s="73" t="s">
        <v>75</v>
      </c>
      <c r="C6" s="74"/>
      <c r="D6" s="74"/>
      <c r="E6" s="74"/>
      <c r="F6" s="46"/>
      <c r="G6" s="75" t="s">
        <v>85</v>
      </c>
      <c r="H6" s="68"/>
      <c r="I6" s="68"/>
      <c r="J6" s="68"/>
      <c r="K6" s="68"/>
      <c r="L6" s="68"/>
      <c r="M6" s="68"/>
      <c r="N6" s="68"/>
      <c r="O6" s="68"/>
    </row>
    <row r="7" spans="2:15">
      <c r="B7" s="46"/>
      <c r="C7" s="46"/>
      <c r="D7" s="46"/>
      <c r="E7" s="46"/>
      <c r="F7" s="46"/>
      <c r="G7" s="46"/>
      <c r="H7" s="69"/>
      <c r="I7" s="70"/>
      <c r="J7" s="46"/>
    </row>
    <row r="8" spans="2:15">
      <c r="B8" s="76" t="s">
        <v>77</v>
      </c>
      <c r="C8" s="76" t="s">
        <v>61</v>
      </c>
      <c r="D8" s="76" t="s">
        <v>62</v>
      </c>
      <c r="E8" s="76" t="s">
        <v>76</v>
      </c>
      <c r="F8" s="46"/>
      <c r="G8" s="77"/>
      <c r="H8" s="76" t="str">
        <f>C8</f>
        <v>FY13</v>
      </c>
      <c r="I8" s="76" t="str">
        <f t="shared" ref="I8:J8" si="0">D8</f>
        <v>FY14</v>
      </c>
      <c r="J8" s="76" t="str">
        <f t="shared" si="0"/>
        <v>FY15</v>
      </c>
      <c r="K8" s="76" t="s">
        <v>105</v>
      </c>
      <c r="L8" s="76" t="s">
        <v>106</v>
      </c>
      <c r="M8" s="76" t="s">
        <v>107</v>
      </c>
      <c r="N8" s="76" t="s">
        <v>108</v>
      </c>
      <c r="O8" s="76" t="s">
        <v>109</v>
      </c>
    </row>
    <row r="9" spans="2:15">
      <c r="B9" s="49" t="s">
        <v>63</v>
      </c>
      <c r="C9" s="105">
        <v>12830</v>
      </c>
      <c r="D9" s="105">
        <v>12895</v>
      </c>
      <c r="E9" s="105">
        <v>8561</v>
      </c>
      <c r="F9" s="78"/>
      <c r="G9" s="79"/>
      <c r="H9" s="69"/>
      <c r="I9" s="70"/>
      <c r="J9" s="46"/>
    </row>
    <row r="10" spans="2:15">
      <c r="B10" s="49" t="s">
        <v>64</v>
      </c>
      <c r="C10" s="80"/>
      <c r="D10" s="80"/>
      <c r="E10" s="80"/>
      <c r="F10" s="78"/>
      <c r="G10" s="81" t="s">
        <v>60</v>
      </c>
      <c r="H10" s="82" t="s">
        <v>65</v>
      </c>
      <c r="I10" s="82" t="s">
        <v>65</v>
      </c>
      <c r="J10" s="82" t="s">
        <v>65</v>
      </c>
    </row>
    <row r="11" spans="2:15">
      <c r="B11" s="83" t="s">
        <v>66</v>
      </c>
      <c r="C11" s="84">
        <f>0.74*-Sheet1!C17</f>
        <v>11844.44</v>
      </c>
      <c r="D11" s="84">
        <f>0.74*-Sheet1!D17</f>
        <v>11427.82</v>
      </c>
      <c r="E11" s="84">
        <f>0.74*-Sheet1!E17</f>
        <v>8233.98</v>
      </c>
      <c r="F11" s="78"/>
      <c r="G11" s="85" t="s">
        <v>89</v>
      </c>
      <c r="H11" s="82" t="s">
        <v>65</v>
      </c>
      <c r="I11" s="82" t="s">
        <v>65</v>
      </c>
      <c r="J11" s="82" t="s">
        <v>65</v>
      </c>
    </row>
    <row r="12" spans="2:15">
      <c r="B12" s="83" t="s">
        <v>67</v>
      </c>
      <c r="C12" s="84">
        <v>368.56</v>
      </c>
      <c r="D12" s="84">
        <v>505.16</v>
      </c>
      <c r="E12" s="84">
        <v>172</v>
      </c>
      <c r="F12" s="78"/>
      <c r="G12" s="86" t="s">
        <v>84</v>
      </c>
      <c r="H12" s="97">
        <f>6396</f>
        <v>6396</v>
      </c>
      <c r="I12" s="97">
        <v>5936</v>
      </c>
      <c r="J12" s="97">
        <v>5172</v>
      </c>
      <c r="K12" s="126">
        <f>K13*K34</f>
        <v>5400</v>
      </c>
      <c r="L12" s="126">
        <f t="shared" ref="L12:O12" si="1">L13*L34</f>
        <v>5437.5</v>
      </c>
      <c r="M12" s="126">
        <f t="shared" si="1"/>
        <v>5625</v>
      </c>
      <c r="N12" s="126">
        <f t="shared" si="1"/>
        <v>6000</v>
      </c>
      <c r="O12" s="126">
        <f t="shared" si="1"/>
        <v>6375</v>
      </c>
    </row>
    <row r="13" spans="2:15">
      <c r="B13" s="83" t="s">
        <v>68</v>
      </c>
      <c r="C13" s="84">
        <v>512</v>
      </c>
      <c r="D13" s="84">
        <v>457</v>
      </c>
      <c r="E13" s="84">
        <v>392</v>
      </c>
      <c r="F13" s="78"/>
      <c r="G13" s="122" t="s">
        <v>102</v>
      </c>
      <c r="H13" s="110">
        <f>H12/H34</f>
        <v>0.8528</v>
      </c>
      <c r="I13" s="110">
        <f>I12/I34</f>
        <v>0.79146666666666665</v>
      </c>
      <c r="J13" s="110">
        <f>J12/J34</f>
        <v>0.68959999999999999</v>
      </c>
      <c r="K13" s="133">
        <v>0.72</v>
      </c>
      <c r="L13" s="133">
        <v>0.72499999999999998</v>
      </c>
      <c r="M13" s="133">
        <v>0.75</v>
      </c>
      <c r="N13" s="133">
        <v>0.8</v>
      </c>
      <c r="O13" s="133">
        <v>0.85</v>
      </c>
    </row>
    <row r="14" spans="2:15">
      <c r="B14" s="106" t="s">
        <v>69</v>
      </c>
      <c r="C14" s="107">
        <f t="shared" ref="C14:E14" si="2">C9-SUM(C11:C13)</f>
        <v>105</v>
      </c>
      <c r="D14" s="107">
        <f t="shared" si="2"/>
        <v>505.02000000000044</v>
      </c>
      <c r="E14" s="107">
        <f t="shared" si="2"/>
        <v>-236.97999999999956</v>
      </c>
      <c r="F14" s="78"/>
      <c r="G14" s="112" t="s">
        <v>86</v>
      </c>
      <c r="H14" s="113">
        <v>2883</v>
      </c>
      <c r="I14" s="113">
        <v>2442</v>
      </c>
      <c r="J14" s="113">
        <v>2257</v>
      </c>
      <c r="K14" s="30">
        <f>K15*K35</f>
        <v>2280</v>
      </c>
      <c r="L14" s="30">
        <f t="shared" ref="L14:O14" si="3">L15*L35</f>
        <v>2375</v>
      </c>
      <c r="M14" s="30">
        <f t="shared" si="3"/>
        <v>2432</v>
      </c>
      <c r="N14" s="30">
        <f t="shared" si="3"/>
        <v>2736</v>
      </c>
      <c r="O14" s="30">
        <f t="shared" si="3"/>
        <v>2774</v>
      </c>
    </row>
    <row r="15" spans="2:15">
      <c r="B15" s="93" t="s">
        <v>70</v>
      </c>
      <c r="C15" s="94">
        <f>0.35*C14</f>
        <v>36.75</v>
      </c>
      <c r="D15" s="94">
        <f t="shared" ref="D15:E15" si="4">0.35*D14</f>
        <v>176.75700000000015</v>
      </c>
      <c r="E15" s="94">
        <f t="shared" si="4"/>
        <v>-82.942999999999842</v>
      </c>
      <c r="F15" s="78"/>
      <c r="G15" s="122" t="s">
        <v>102</v>
      </c>
      <c r="H15" s="110">
        <f>H14/H35</f>
        <v>0.75868421052631574</v>
      </c>
      <c r="I15" s="110">
        <f>I14/I35</f>
        <v>0.64263157894736844</v>
      </c>
      <c r="J15" s="110">
        <f>J14/J35</f>
        <v>0.59394736842105267</v>
      </c>
      <c r="K15" s="133">
        <v>0.6</v>
      </c>
      <c r="L15" s="133">
        <v>0.625</v>
      </c>
      <c r="M15" s="133">
        <v>0.64</v>
      </c>
      <c r="N15" s="133">
        <v>0.72</v>
      </c>
      <c r="O15" s="133">
        <v>0.73</v>
      </c>
    </row>
    <row r="16" spans="2:15">
      <c r="B16" s="60" t="s">
        <v>23</v>
      </c>
      <c r="C16" s="95">
        <f>C14-C15</f>
        <v>68.25</v>
      </c>
      <c r="D16" s="95">
        <f>D14-D15</f>
        <v>328.26300000000026</v>
      </c>
      <c r="E16" s="95">
        <f>E14-E15</f>
        <v>-154.03699999999972</v>
      </c>
      <c r="F16" s="78"/>
      <c r="G16" s="65" t="s">
        <v>87</v>
      </c>
      <c r="H16" s="113">
        <v>2918</v>
      </c>
      <c r="I16" s="113">
        <v>2563</v>
      </c>
      <c r="J16" s="113">
        <v>2266</v>
      </c>
      <c r="K16" s="30">
        <f>K17*K36</f>
        <v>2029.9999999999998</v>
      </c>
      <c r="L16" s="30">
        <f t="shared" ref="L16:O16" si="5">L17*L36</f>
        <v>2102.5</v>
      </c>
      <c r="M16" s="30">
        <f t="shared" si="5"/>
        <v>2247.5</v>
      </c>
      <c r="N16" s="30">
        <f t="shared" si="5"/>
        <v>2392.5</v>
      </c>
      <c r="O16" s="30">
        <f t="shared" si="5"/>
        <v>2755</v>
      </c>
    </row>
    <row r="17" spans="2:15">
      <c r="B17" s="49"/>
      <c r="C17" s="96"/>
      <c r="D17" s="96"/>
      <c r="E17" s="96"/>
      <c r="F17" s="78"/>
      <c r="G17" s="122" t="s">
        <v>102</v>
      </c>
      <c r="H17" s="110">
        <f>H16/H36</f>
        <v>1.0062068965517241</v>
      </c>
      <c r="I17" s="110">
        <f>I16/I36</f>
        <v>0.88379310344827589</v>
      </c>
      <c r="J17" s="110">
        <f>J16/J36</f>
        <v>0.78137931034482755</v>
      </c>
      <c r="K17" s="133">
        <v>0.7</v>
      </c>
      <c r="L17" s="133">
        <v>0.72499999999999998</v>
      </c>
      <c r="M17" s="133">
        <v>0.77500000000000002</v>
      </c>
      <c r="N17" s="133">
        <v>0.82499999999999996</v>
      </c>
      <c r="O17" s="133">
        <v>0.95</v>
      </c>
    </row>
    <row r="18" spans="2:15">
      <c r="B18" s="76" t="s">
        <v>78</v>
      </c>
      <c r="C18" s="76" t="str">
        <f>C8</f>
        <v>FY13</v>
      </c>
      <c r="D18" s="76" t="str">
        <f>D8</f>
        <v>FY14</v>
      </c>
      <c r="E18" s="76" t="str">
        <f>E8</f>
        <v>FY15</v>
      </c>
      <c r="F18" s="78"/>
      <c r="G18" s="65" t="s">
        <v>92</v>
      </c>
      <c r="H18" s="113">
        <v>2538</v>
      </c>
      <c r="I18" s="113">
        <v>2285</v>
      </c>
      <c r="J18" s="113">
        <v>1162</v>
      </c>
      <c r="K18" s="126">
        <f>K19*K37</f>
        <v>280</v>
      </c>
      <c r="L18" s="126">
        <f t="shared" ref="L18:O18" si="6">L19*L37</f>
        <v>700</v>
      </c>
      <c r="M18" s="126">
        <f t="shared" si="6"/>
        <v>1400</v>
      </c>
      <c r="N18" s="126">
        <f t="shared" si="6"/>
        <v>1820</v>
      </c>
      <c r="O18" s="126">
        <f t="shared" si="6"/>
        <v>2100</v>
      </c>
    </row>
    <row r="19" spans="2:15">
      <c r="B19" s="49" t="s">
        <v>71</v>
      </c>
      <c r="C19" s="105">
        <v>2944</v>
      </c>
      <c r="D19" s="105">
        <v>2936</v>
      </c>
      <c r="E19" s="105">
        <v>2326</v>
      </c>
      <c r="F19" s="78"/>
      <c r="G19" s="122" t="s">
        <v>102</v>
      </c>
      <c r="H19" s="110">
        <f>H18/H37</f>
        <v>0.90642857142857147</v>
      </c>
      <c r="I19" s="110">
        <f>I18/I37</f>
        <v>0.81607142857142856</v>
      </c>
      <c r="J19" s="110">
        <f>J18/J37</f>
        <v>0.41499999999999998</v>
      </c>
      <c r="K19" s="133">
        <v>0.1</v>
      </c>
      <c r="L19" s="133">
        <v>0.25</v>
      </c>
      <c r="M19" s="133">
        <v>0.5</v>
      </c>
      <c r="N19" s="133">
        <v>0.65</v>
      </c>
      <c r="O19" s="133">
        <v>0.75</v>
      </c>
    </row>
    <row r="20" spans="2:15">
      <c r="B20" s="49" t="s">
        <v>64</v>
      </c>
      <c r="C20" s="80"/>
      <c r="D20" s="80"/>
      <c r="E20" s="80"/>
      <c r="F20" s="78"/>
      <c r="G20" s="65" t="s">
        <v>88</v>
      </c>
      <c r="H20" s="113">
        <v>1943</v>
      </c>
      <c r="I20" s="113">
        <v>1992</v>
      </c>
      <c r="J20" s="113">
        <v>480</v>
      </c>
      <c r="K20" s="113">
        <v>0</v>
      </c>
      <c r="L20" s="113">
        <v>0</v>
      </c>
      <c r="M20" s="113">
        <v>0</v>
      </c>
      <c r="N20" s="113">
        <v>0</v>
      </c>
      <c r="O20" s="113">
        <v>0</v>
      </c>
    </row>
    <row r="21" spans="2:15">
      <c r="B21" s="83" t="s">
        <v>66</v>
      </c>
      <c r="C21" s="84">
        <f>0.17*-Sheet1!C17</f>
        <v>2721.02</v>
      </c>
      <c r="D21" s="84">
        <f>0.17*-Sheet1!D17</f>
        <v>2625.3100000000004</v>
      </c>
      <c r="E21" s="84">
        <f>0.2*-Sheet1!E17</f>
        <v>2225.4</v>
      </c>
      <c r="F21" s="78"/>
      <c r="G21" s="122" t="s">
        <v>102</v>
      </c>
      <c r="H21" s="110">
        <f>H20/H22</f>
        <v>0.11650077946996043</v>
      </c>
      <c r="I21" s="110">
        <f t="shared" ref="I21:J21" si="7">I20/I22</f>
        <v>0.13089762123800763</v>
      </c>
      <c r="J21" s="110">
        <f t="shared" si="7"/>
        <v>4.2339243186028053E-2</v>
      </c>
      <c r="K21" s="110">
        <f t="shared" ref="K21" si="8">K20/K22</f>
        <v>0</v>
      </c>
      <c r="L21" s="110">
        <f t="shared" ref="L21" si="9">L20/L22</f>
        <v>0</v>
      </c>
      <c r="M21" s="110">
        <f t="shared" ref="M21" si="10">M20/M22</f>
        <v>0</v>
      </c>
      <c r="N21" s="110">
        <f t="shared" ref="N21" si="11">N20/N22</f>
        <v>0</v>
      </c>
      <c r="O21" s="110">
        <f t="shared" ref="O21" si="12">O20/O22</f>
        <v>0</v>
      </c>
    </row>
    <row r="22" spans="2:15">
      <c r="B22" s="83" t="s">
        <v>67</v>
      </c>
      <c r="C22" s="84">
        <v>100</v>
      </c>
      <c r="D22" s="84">
        <v>21</v>
      </c>
      <c r="E22" s="84">
        <v>-2</v>
      </c>
      <c r="F22" s="78"/>
      <c r="G22" s="115" t="s">
        <v>54</v>
      </c>
      <c r="H22" s="120">
        <f>SUM(H12,H14,H16,H18,H20)</f>
        <v>16678</v>
      </c>
      <c r="I22" s="120">
        <f t="shared" ref="I22:O22" si="13">SUM(I12,I14,I16,I18,I20)</f>
        <v>15218</v>
      </c>
      <c r="J22" s="120">
        <f t="shared" si="13"/>
        <v>11337</v>
      </c>
      <c r="K22" s="120">
        <f t="shared" si="13"/>
        <v>9990</v>
      </c>
      <c r="L22" s="120">
        <f t="shared" si="13"/>
        <v>10615</v>
      </c>
      <c r="M22" s="120">
        <f t="shared" si="13"/>
        <v>11704.5</v>
      </c>
      <c r="N22" s="120">
        <f t="shared" si="13"/>
        <v>12948.5</v>
      </c>
      <c r="O22" s="120">
        <f t="shared" si="13"/>
        <v>14004</v>
      </c>
    </row>
    <row r="23" spans="2:15">
      <c r="B23" s="83" t="s">
        <v>68</v>
      </c>
      <c r="C23" s="84">
        <v>95</v>
      </c>
      <c r="D23" s="84">
        <v>95</v>
      </c>
      <c r="E23" s="84">
        <v>81</v>
      </c>
      <c r="F23" s="78"/>
    </row>
    <row r="24" spans="2:15">
      <c r="B24" s="89"/>
      <c r="C24" s="90"/>
      <c r="D24" s="90"/>
      <c r="E24" s="90"/>
      <c r="F24" s="78"/>
      <c r="G24" s="114" t="s">
        <v>78</v>
      </c>
      <c r="H24" s="78"/>
      <c r="I24" s="78"/>
      <c r="J24" s="78"/>
    </row>
    <row r="25" spans="2:15">
      <c r="B25" s="49" t="s">
        <v>72</v>
      </c>
      <c r="C25" s="92">
        <f>C19-SUM(C21:C23)</f>
        <v>27.980000000000018</v>
      </c>
      <c r="D25" s="92">
        <v>133</v>
      </c>
      <c r="E25" s="92">
        <v>81</v>
      </c>
      <c r="F25" s="78"/>
      <c r="G25" s="85" t="s">
        <v>89</v>
      </c>
      <c r="H25" s="91" t="s">
        <v>65</v>
      </c>
      <c r="I25" s="91" t="s">
        <v>65</v>
      </c>
      <c r="J25" s="91" t="s">
        <v>65</v>
      </c>
    </row>
    <row r="26" spans="2:15">
      <c r="B26" s="93" t="s">
        <v>70</v>
      </c>
      <c r="C26" s="94">
        <f>0.35*C25</f>
        <v>9.7930000000000064</v>
      </c>
      <c r="D26" s="94">
        <f t="shared" ref="D26:E26" si="14">0.35*D25</f>
        <v>46.55</v>
      </c>
      <c r="E26" s="94">
        <f t="shared" si="14"/>
        <v>28.349999999999998</v>
      </c>
      <c r="F26" s="78"/>
      <c r="G26" s="86" t="s">
        <v>90</v>
      </c>
      <c r="H26" s="97">
        <v>4598</v>
      </c>
      <c r="I26" s="97">
        <v>4788</v>
      </c>
      <c r="J26" s="97">
        <v>4669</v>
      </c>
      <c r="K26" s="139">
        <f>K39*K27</f>
        <v>4570</v>
      </c>
      <c r="L26" s="139">
        <f t="shared" ref="L26:O26" si="15">L39*L27</f>
        <v>4600</v>
      </c>
      <c r="M26" s="139">
        <f t="shared" si="15"/>
        <v>4635</v>
      </c>
      <c r="N26" s="139">
        <f t="shared" si="15"/>
        <v>4720</v>
      </c>
      <c r="O26" s="139">
        <f t="shared" si="15"/>
        <v>4800</v>
      </c>
    </row>
    <row r="27" spans="2:15">
      <c r="B27" s="60" t="s">
        <v>23</v>
      </c>
      <c r="C27" s="95">
        <f t="shared" ref="C27:E27" si="16">C25-C26</f>
        <v>18.187000000000012</v>
      </c>
      <c r="D27" s="95">
        <f t="shared" si="16"/>
        <v>86.45</v>
      </c>
      <c r="E27" s="95">
        <f t="shared" si="16"/>
        <v>52.650000000000006</v>
      </c>
      <c r="F27" s="78"/>
      <c r="G27" s="132" t="s">
        <v>102</v>
      </c>
      <c r="H27" s="134">
        <f>H26/H39</f>
        <v>0.91959999999999997</v>
      </c>
      <c r="I27" s="134">
        <f t="shared" ref="I27:J27" si="17">I26/I39</f>
        <v>0.95760000000000001</v>
      </c>
      <c r="J27" s="134">
        <f t="shared" si="17"/>
        <v>0.93379999999999996</v>
      </c>
      <c r="K27" s="135">
        <v>0.91400000000000003</v>
      </c>
      <c r="L27" s="133">
        <v>0.92</v>
      </c>
      <c r="M27" s="138">
        <v>0.92700000000000005</v>
      </c>
      <c r="N27" s="138">
        <v>0.94399999999999995</v>
      </c>
      <c r="O27" s="138">
        <v>0.96</v>
      </c>
    </row>
    <row r="28" spans="2:15">
      <c r="B28" s="49"/>
      <c r="C28" s="96"/>
      <c r="D28" s="96"/>
      <c r="E28" s="96"/>
      <c r="F28" s="78"/>
      <c r="G28" s="87" t="s">
        <v>54</v>
      </c>
      <c r="H28" s="119">
        <f t="shared" ref="H28:O28" si="18">SUM(H26:H27)</f>
        <v>4598.9196000000002</v>
      </c>
      <c r="I28" s="119">
        <f t="shared" si="18"/>
        <v>4788.9575999999997</v>
      </c>
      <c r="J28" s="120">
        <f t="shared" si="18"/>
        <v>4669.9337999999998</v>
      </c>
      <c r="K28" s="120">
        <f t="shared" si="18"/>
        <v>4570.9139999999998</v>
      </c>
      <c r="L28" s="120">
        <f t="shared" si="18"/>
        <v>4600.92</v>
      </c>
      <c r="M28" s="120">
        <f t="shared" si="18"/>
        <v>4635.9269999999997</v>
      </c>
      <c r="N28" s="120">
        <f t="shared" si="18"/>
        <v>4720.9440000000004</v>
      </c>
      <c r="O28" s="120">
        <f t="shared" si="18"/>
        <v>4800.96</v>
      </c>
    </row>
    <row r="29" spans="2:15">
      <c r="B29" s="76" t="s">
        <v>79</v>
      </c>
      <c r="C29" s="76" t="str">
        <f>C18</f>
        <v>FY13</v>
      </c>
      <c r="D29" s="76" t="str">
        <f>D18</f>
        <v>FY14</v>
      </c>
      <c r="E29" s="76" t="str">
        <f>E18</f>
        <v>FY15</v>
      </c>
      <c r="F29" s="78"/>
    </row>
    <row r="30" spans="2:15">
      <c r="B30" s="49" t="s">
        <v>63</v>
      </c>
      <c r="C30" s="105">
        <v>2777</v>
      </c>
      <c r="D30" s="105">
        <v>2774</v>
      </c>
      <c r="E30" s="105">
        <v>898</v>
      </c>
      <c r="F30" s="98"/>
    </row>
    <row r="31" spans="2:15">
      <c r="B31" s="49" t="s">
        <v>64</v>
      </c>
      <c r="C31" s="80"/>
      <c r="D31" s="80"/>
      <c r="E31" s="80"/>
      <c r="F31" s="99"/>
      <c r="G31" s="31" t="s">
        <v>96</v>
      </c>
    </row>
    <row r="32" spans="2:15">
      <c r="B32" s="83" t="s">
        <v>66</v>
      </c>
      <c r="C32" s="84">
        <f>0.16*-Sheet1!C17</f>
        <v>2560.96</v>
      </c>
      <c r="D32" s="84">
        <f>0.16*-Sheet1!D17</f>
        <v>2470.88</v>
      </c>
      <c r="E32" s="84">
        <f>0.08*-Sheet1!E17</f>
        <v>890.16</v>
      </c>
      <c r="F32" s="99"/>
      <c r="G32" s="85" t="s">
        <v>89</v>
      </c>
    </row>
    <row r="33" spans="2:15">
      <c r="B33" s="83" t="s">
        <v>67</v>
      </c>
      <c r="C33" s="84">
        <v>-36</v>
      </c>
      <c r="D33" s="84">
        <v>-24</v>
      </c>
      <c r="E33" s="84">
        <v>123</v>
      </c>
      <c r="F33" s="99"/>
      <c r="G33" s="65" t="s">
        <v>91</v>
      </c>
      <c r="H33" s="118">
        <f>24300-1606</f>
        <v>22694</v>
      </c>
      <c r="I33" s="118">
        <f>19400-2180</f>
        <v>17220</v>
      </c>
      <c r="J33" s="118">
        <v>17000</v>
      </c>
      <c r="K33" s="118">
        <f>J33-2800</f>
        <v>14200</v>
      </c>
      <c r="L33" s="118">
        <f>K33</f>
        <v>14200</v>
      </c>
      <c r="M33" s="118">
        <f>L33+1200</f>
        <v>15400</v>
      </c>
      <c r="N33" s="118">
        <f>M33+1200</f>
        <v>16600</v>
      </c>
      <c r="O33" s="118">
        <v>17000</v>
      </c>
    </row>
    <row r="34" spans="2:15">
      <c r="B34" s="83" t="s">
        <v>68</v>
      </c>
      <c r="C34" s="84">
        <v>62</v>
      </c>
      <c r="D34" s="84">
        <v>66</v>
      </c>
      <c r="E34" s="84">
        <v>64</v>
      </c>
      <c r="F34" s="78"/>
      <c r="G34" s="130" t="s">
        <v>103</v>
      </c>
      <c r="H34" s="131">
        <v>7500</v>
      </c>
      <c r="I34" s="131">
        <v>7500</v>
      </c>
      <c r="J34" s="131">
        <v>7500</v>
      </c>
      <c r="K34" s="131">
        <v>7500</v>
      </c>
      <c r="L34" s="131">
        <v>7500</v>
      </c>
      <c r="M34" s="131">
        <v>7500</v>
      </c>
      <c r="N34" s="131">
        <v>7500</v>
      </c>
      <c r="O34" s="131">
        <v>7500</v>
      </c>
    </row>
    <row r="35" spans="2:15">
      <c r="B35" s="89"/>
      <c r="C35" s="90"/>
      <c r="D35" s="90"/>
      <c r="E35" s="90"/>
      <c r="F35" s="78"/>
      <c r="G35" s="130" t="s">
        <v>86</v>
      </c>
      <c r="H35" s="131">
        <v>3800</v>
      </c>
      <c r="I35" s="131">
        <v>3800</v>
      </c>
      <c r="J35" s="131">
        <v>3800</v>
      </c>
      <c r="K35" s="131">
        <v>3800</v>
      </c>
      <c r="L35" s="131">
        <v>3800</v>
      </c>
      <c r="M35" s="131">
        <v>3800</v>
      </c>
      <c r="N35" s="131">
        <v>3800</v>
      </c>
      <c r="O35" s="131">
        <v>3800</v>
      </c>
    </row>
    <row r="36" spans="2:15">
      <c r="B36" s="49" t="s">
        <v>72</v>
      </c>
      <c r="C36" s="92">
        <f>C30-SUM(C32:C34)</f>
        <v>190.03999999999996</v>
      </c>
      <c r="D36" s="92">
        <f t="shared" ref="D36:E36" si="19">D30-SUM(D32:D34)</f>
        <v>261.11999999999989</v>
      </c>
      <c r="E36" s="92">
        <f t="shared" si="19"/>
        <v>-179.15999999999985</v>
      </c>
      <c r="F36" s="78"/>
      <c r="G36" s="130" t="s">
        <v>87</v>
      </c>
      <c r="H36" s="131">
        <v>2900</v>
      </c>
      <c r="I36" s="131">
        <v>2900</v>
      </c>
      <c r="J36" s="131">
        <v>2900</v>
      </c>
      <c r="K36" s="131">
        <v>2900</v>
      </c>
      <c r="L36" s="131">
        <v>2900</v>
      </c>
      <c r="M36" s="131">
        <v>2900</v>
      </c>
      <c r="N36" s="131">
        <v>2900</v>
      </c>
      <c r="O36" s="131">
        <v>2900</v>
      </c>
    </row>
    <row r="37" spans="2:15">
      <c r="B37" s="93" t="s">
        <v>70</v>
      </c>
      <c r="C37" s="94">
        <f>0.35*C36</f>
        <v>66.513999999999982</v>
      </c>
      <c r="D37" s="94">
        <f t="shared" ref="D37:E37" si="20">0.35*D36</f>
        <v>91.391999999999953</v>
      </c>
      <c r="E37" s="94">
        <f t="shared" si="20"/>
        <v>-62.705999999999946</v>
      </c>
      <c r="F37" s="78"/>
      <c r="G37" s="130" t="s">
        <v>92</v>
      </c>
      <c r="H37" s="131">
        <v>2800</v>
      </c>
      <c r="I37" s="131">
        <v>2800</v>
      </c>
      <c r="J37" s="131">
        <v>2800</v>
      </c>
      <c r="K37" s="131">
        <v>2800</v>
      </c>
      <c r="L37" s="131">
        <v>2800</v>
      </c>
      <c r="M37" s="131">
        <v>2800</v>
      </c>
      <c r="N37" s="131">
        <v>2800</v>
      </c>
      <c r="O37" s="131">
        <v>2800</v>
      </c>
    </row>
    <row r="38" spans="2:15">
      <c r="B38" s="60" t="s">
        <v>23</v>
      </c>
      <c r="C38" s="95">
        <f>C36-C37</f>
        <v>123.52599999999998</v>
      </c>
      <c r="D38" s="95">
        <f>D36-D37</f>
        <v>169.72799999999995</v>
      </c>
      <c r="E38" s="95">
        <f>E36-E37</f>
        <v>-116.45399999999991</v>
      </c>
      <c r="F38" s="78"/>
      <c r="G38" s="65" t="s">
        <v>51</v>
      </c>
      <c r="H38" s="118">
        <v>5000</v>
      </c>
      <c r="I38" s="118">
        <v>5000</v>
      </c>
      <c r="J38" s="118">
        <v>5000</v>
      </c>
      <c r="K38" s="118">
        <v>5000</v>
      </c>
      <c r="L38" s="118">
        <v>5000</v>
      </c>
      <c r="M38" s="118">
        <v>5000</v>
      </c>
      <c r="N38" s="118">
        <v>5000</v>
      </c>
      <c r="O38" s="118">
        <v>5000</v>
      </c>
    </row>
    <row r="39" spans="2:15">
      <c r="F39" s="78"/>
      <c r="G39" s="130" t="s">
        <v>104</v>
      </c>
      <c r="H39" s="131">
        <v>5000</v>
      </c>
      <c r="I39" s="131">
        <v>5000</v>
      </c>
      <c r="J39" s="131">
        <v>5000</v>
      </c>
      <c r="K39" s="131">
        <v>5000</v>
      </c>
      <c r="L39" s="131">
        <v>5000</v>
      </c>
      <c r="M39" s="131">
        <v>5000</v>
      </c>
      <c r="N39" s="131">
        <v>5000</v>
      </c>
      <c r="O39" s="131">
        <v>5000</v>
      </c>
    </row>
    <row r="40" spans="2:15">
      <c r="B40" s="76" t="s">
        <v>73</v>
      </c>
      <c r="C40" s="76" t="str">
        <f>C29</f>
        <v>FY13</v>
      </c>
      <c r="D40" s="76" t="str">
        <f>D29</f>
        <v>FY14</v>
      </c>
      <c r="E40" s="76" t="str">
        <f>E29</f>
        <v>FY15</v>
      </c>
      <c r="F40" s="78"/>
      <c r="G40" s="115" t="s">
        <v>54</v>
      </c>
      <c r="H40" s="120">
        <f>SUM(H33,H38)</f>
        <v>27694</v>
      </c>
      <c r="I40" s="120">
        <f t="shared" ref="I40:O40" si="21">SUM(I33,I38)</f>
        <v>22220</v>
      </c>
      <c r="J40" s="120">
        <f t="shared" si="21"/>
        <v>22000</v>
      </c>
      <c r="K40" s="120">
        <f t="shared" si="21"/>
        <v>19200</v>
      </c>
      <c r="L40" s="120">
        <f t="shared" si="21"/>
        <v>19200</v>
      </c>
      <c r="M40" s="120">
        <f t="shared" si="21"/>
        <v>20400</v>
      </c>
      <c r="N40" s="120">
        <f t="shared" si="21"/>
        <v>21600</v>
      </c>
      <c r="O40" s="120">
        <f t="shared" si="21"/>
        <v>22000</v>
      </c>
    </row>
    <row r="41" spans="2:15">
      <c r="B41" s="49" t="s">
        <v>71</v>
      </c>
      <c r="C41" s="101">
        <f>C9+C19+C30</f>
        <v>18551</v>
      </c>
      <c r="D41" s="101">
        <f>D9+D19+D30</f>
        <v>18605</v>
      </c>
      <c r="E41" s="101">
        <f>E9+E19+E30</f>
        <v>11785</v>
      </c>
      <c r="F41" s="78"/>
      <c r="G41" s="116"/>
      <c r="H41" s="78"/>
      <c r="I41" s="78"/>
      <c r="J41" s="78"/>
    </row>
    <row r="42" spans="2:15">
      <c r="B42" s="49" t="s">
        <v>64</v>
      </c>
      <c r="C42" s="102"/>
      <c r="D42" s="102"/>
      <c r="E42" s="102"/>
      <c r="F42" s="78"/>
    </row>
    <row r="43" spans="2:15">
      <c r="B43" s="83" t="s">
        <v>66</v>
      </c>
      <c r="C43" s="103">
        <f t="shared" ref="C43:E45" si="22">C11+C21+C32</f>
        <v>17126.420000000002</v>
      </c>
      <c r="D43" s="103">
        <f t="shared" si="22"/>
        <v>16524.010000000002</v>
      </c>
      <c r="E43" s="103">
        <f t="shared" si="22"/>
        <v>11349.539999999999</v>
      </c>
      <c r="F43" s="78"/>
      <c r="G43" s="114" t="s">
        <v>97</v>
      </c>
    </row>
    <row r="44" spans="2:15">
      <c r="B44" s="83" t="s">
        <v>67</v>
      </c>
      <c r="C44" s="103">
        <f t="shared" si="22"/>
        <v>432.56</v>
      </c>
      <c r="D44" s="103">
        <f t="shared" si="22"/>
        <v>502.16000000000008</v>
      </c>
      <c r="E44" s="103">
        <f t="shared" si="22"/>
        <v>293</v>
      </c>
      <c r="F44" s="78"/>
      <c r="G44" t="s">
        <v>91</v>
      </c>
      <c r="H44" s="34">
        <f>H22/H33</f>
        <v>0.7349079051731735</v>
      </c>
      <c r="I44" s="34">
        <f>I22/I33</f>
        <v>0.88373983739837403</v>
      </c>
      <c r="J44" s="34">
        <f>J22/J33</f>
        <v>0.66688235294117648</v>
      </c>
      <c r="K44" s="34">
        <f t="shared" ref="K44:O44" si="23">K22/K33</f>
        <v>0.70352112676056333</v>
      </c>
      <c r="L44" s="34">
        <f t="shared" si="23"/>
        <v>0.74753521126760558</v>
      </c>
      <c r="M44" s="34">
        <f t="shared" si="23"/>
        <v>0.76003246753246756</v>
      </c>
      <c r="N44" s="34">
        <f t="shared" si="23"/>
        <v>0.78003012048192766</v>
      </c>
      <c r="O44" s="34">
        <f t="shared" si="23"/>
        <v>0.82376470588235295</v>
      </c>
    </row>
    <row r="45" spans="2:15">
      <c r="B45" s="83" t="s">
        <v>68</v>
      </c>
      <c r="C45" s="103">
        <f t="shared" si="22"/>
        <v>669</v>
      </c>
      <c r="D45" s="103">
        <f t="shared" si="22"/>
        <v>618</v>
      </c>
      <c r="E45" s="103">
        <f t="shared" si="22"/>
        <v>537</v>
      </c>
      <c r="F45" s="78"/>
      <c r="G45" t="s">
        <v>51</v>
      </c>
      <c r="H45" s="34">
        <f>H28/H38</f>
        <v>0.91978392000000009</v>
      </c>
      <c r="I45" s="34">
        <f>I28/I38</f>
        <v>0.9577915199999999</v>
      </c>
      <c r="J45" s="34">
        <f>J28/J38</f>
        <v>0.93398675999999992</v>
      </c>
      <c r="K45" s="34">
        <f t="shared" ref="K45:O45" si="24">K28/K38</f>
        <v>0.91418279999999996</v>
      </c>
      <c r="L45" s="34">
        <f t="shared" si="24"/>
        <v>0.920184</v>
      </c>
      <c r="M45" s="34">
        <f t="shared" si="24"/>
        <v>0.92718539999999994</v>
      </c>
      <c r="N45" s="34">
        <f t="shared" si="24"/>
        <v>0.94418880000000005</v>
      </c>
      <c r="O45" s="34">
        <f t="shared" si="24"/>
        <v>0.96019200000000005</v>
      </c>
    </row>
    <row r="46" spans="2:15">
      <c r="B46" s="89"/>
      <c r="C46" s="104"/>
      <c r="D46" s="104"/>
      <c r="E46" s="104"/>
      <c r="F46" s="78"/>
      <c r="G46" s="115" t="s">
        <v>54</v>
      </c>
      <c r="H46" s="121">
        <f t="shared" ref="H46:O46" si="25">SUM(H22,H28)/H40</f>
        <v>0.7682862569509642</v>
      </c>
      <c r="I46" s="121">
        <f t="shared" si="25"/>
        <v>0.90040313231323144</v>
      </c>
      <c r="J46" s="121">
        <f t="shared" si="25"/>
        <v>0.72758789999999995</v>
      </c>
      <c r="K46" s="121">
        <f t="shared" si="25"/>
        <v>0.75838093750000002</v>
      </c>
      <c r="L46" s="121">
        <f t="shared" si="25"/>
        <v>0.79249583333333329</v>
      </c>
      <c r="M46" s="121">
        <f t="shared" si="25"/>
        <v>0.80100132352941178</v>
      </c>
      <c r="N46" s="121">
        <f t="shared" si="25"/>
        <v>0.81802981481481474</v>
      </c>
      <c r="O46" s="121">
        <f t="shared" si="25"/>
        <v>0.85477090909090903</v>
      </c>
    </row>
    <row r="47" spans="2:15">
      <c r="B47" s="49" t="s">
        <v>72</v>
      </c>
      <c r="C47" s="92">
        <f>C41-SUM(C43:C46)</f>
        <v>323.0199999999968</v>
      </c>
      <c r="D47" s="92">
        <f>D41-SUM(D43:D46)</f>
        <v>960.82999999999811</v>
      </c>
      <c r="E47" s="92">
        <f>E41-SUM(E43:E46)</f>
        <v>-394.53999999999905</v>
      </c>
      <c r="F47" s="78"/>
    </row>
    <row r="48" spans="2:15">
      <c r="B48" s="93" t="s">
        <v>70</v>
      </c>
      <c r="C48" s="104">
        <f>C15+C26+C37</f>
        <v>113.05699999999999</v>
      </c>
      <c r="D48" s="104">
        <f>D15+D26+D37</f>
        <v>314.69900000000007</v>
      </c>
      <c r="E48" s="104">
        <f>E15+E26+E37</f>
        <v>-117.29899999999979</v>
      </c>
      <c r="F48" s="78"/>
      <c r="G48" s="31" t="s">
        <v>98</v>
      </c>
    </row>
    <row r="49" spans="2:17">
      <c r="B49" s="60" t="s">
        <v>23</v>
      </c>
      <c r="C49" s="95">
        <f t="shared" ref="C49:E49" si="26">C47-C48</f>
        <v>209.96299999999681</v>
      </c>
      <c r="D49" s="95">
        <f t="shared" si="26"/>
        <v>646.13099999999804</v>
      </c>
      <c r="E49" s="95">
        <f t="shared" si="26"/>
        <v>-277.24099999999925</v>
      </c>
      <c r="F49" s="78"/>
      <c r="G49" s="85" t="s">
        <v>93</v>
      </c>
      <c r="H49" s="91" t="s">
        <v>65</v>
      </c>
      <c r="I49" s="91" t="s">
        <v>65</v>
      </c>
      <c r="J49" s="91" t="s">
        <v>65</v>
      </c>
    </row>
    <row r="50" spans="2:17">
      <c r="F50" s="78"/>
      <c r="G50" s="28" t="s">
        <v>94</v>
      </c>
      <c r="H50" s="118">
        <v>24151</v>
      </c>
      <c r="I50" s="118">
        <v>24959</v>
      </c>
      <c r="J50" s="118">
        <v>17422</v>
      </c>
      <c r="K50" s="118">
        <v>17422</v>
      </c>
      <c r="L50" s="118">
        <v>17422</v>
      </c>
      <c r="M50" s="118">
        <v>17422</v>
      </c>
      <c r="N50" s="118">
        <v>17422</v>
      </c>
      <c r="O50" s="118">
        <v>17422</v>
      </c>
    </row>
    <row r="51" spans="2:17">
      <c r="F51" s="78"/>
      <c r="G51" s="115" t="s">
        <v>54</v>
      </c>
      <c r="H51" s="120">
        <f>H50</f>
        <v>24151</v>
      </c>
      <c r="I51" s="120">
        <f t="shared" ref="I51:J51" si="27">I50</f>
        <v>24959</v>
      </c>
      <c r="J51" s="120">
        <f t="shared" si="27"/>
        <v>17422</v>
      </c>
      <c r="K51" s="120">
        <f t="shared" ref="K51" si="28">K50</f>
        <v>17422</v>
      </c>
      <c r="L51" s="120">
        <f t="shared" ref="L51" si="29">L50</f>
        <v>17422</v>
      </c>
      <c r="M51" s="120">
        <f t="shared" ref="M51" si="30">M50</f>
        <v>17422</v>
      </c>
      <c r="N51" s="120">
        <f t="shared" ref="N51" si="31">N50</f>
        <v>17422</v>
      </c>
      <c r="O51" s="120">
        <f t="shared" ref="O51" si="32">O50</f>
        <v>17422</v>
      </c>
    </row>
    <row r="52" spans="2:17">
      <c r="F52" s="78"/>
    </row>
    <row r="53" spans="2:17">
      <c r="G53" s="31" t="s">
        <v>99</v>
      </c>
    </row>
    <row r="54" spans="2:17">
      <c r="G54" s="124" t="s">
        <v>95</v>
      </c>
    </row>
    <row r="55" spans="2:17">
      <c r="G55" s="100" t="s">
        <v>91</v>
      </c>
      <c r="H55" s="97">
        <v>6494</v>
      </c>
      <c r="I55" s="97">
        <v>5406</v>
      </c>
      <c r="J55" s="97">
        <v>3957</v>
      </c>
      <c r="K55" s="97">
        <v>3957</v>
      </c>
      <c r="L55" s="97">
        <v>3957</v>
      </c>
      <c r="M55" s="97">
        <v>3957</v>
      </c>
      <c r="N55" s="97">
        <v>3957</v>
      </c>
      <c r="O55" s="97">
        <v>3957</v>
      </c>
    </row>
    <row r="56" spans="2:17">
      <c r="G56" s="86" t="s">
        <v>51</v>
      </c>
      <c r="H56" s="97">
        <v>1508</v>
      </c>
      <c r="I56" s="97">
        <v>1539</v>
      </c>
      <c r="J56" s="97">
        <v>1600</v>
      </c>
      <c r="K56" s="97">
        <v>1600</v>
      </c>
      <c r="L56" s="97">
        <v>1600</v>
      </c>
      <c r="M56" s="97">
        <v>1600</v>
      </c>
      <c r="N56" s="97">
        <v>1600</v>
      </c>
      <c r="O56" s="97">
        <v>1600</v>
      </c>
    </row>
    <row r="57" spans="2:17">
      <c r="G57" s="125" t="s">
        <v>54</v>
      </c>
      <c r="H57" s="120">
        <f>SUM(H55:H56)</f>
        <v>8002</v>
      </c>
      <c r="I57" s="120">
        <f t="shared" ref="I57:J57" si="33">SUM(I55:I56)</f>
        <v>6945</v>
      </c>
      <c r="J57" s="120">
        <f t="shared" si="33"/>
        <v>5557</v>
      </c>
      <c r="K57" s="120">
        <f t="shared" ref="K57" si="34">SUM(K55:K56)</f>
        <v>5557</v>
      </c>
      <c r="L57" s="120">
        <f t="shared" ref="L57" si="35">SUM(L55:L56)</f>
        <v>5557</v>
      </c>
      <c r="M57" s="120">
        <f t="shared" ref="M57" si="36">SUM(M55:M56)</f>
        <v>5557</v>
      </c>
      <c r="N57" s="120">
        <f t="shared" ref="N57" si="37">SUM(N55:N56)</f>
        <v>5557</v>
      </c>
      <c r="O57" s="120">
        <f t="shared" ref="O57" si="38">SUM(O55:O56)</f>
        <v>5557</v>
      </c>
    </row>
    <row r="58" spans="2:17">
      <c r="G58" s="86"/>
      <c r="H58" s="97"/>
      <c r="I58" s="97"/>
      <c r="J58" s="97"/>
    </row>
    <row r="59" spans="2:17">
      <c r="G59" s="87"/>
      <c r="H59" s="88"/>
      <c r="I59" s="88"/>
      <c r="J59" s="88"/>
    </row>
    <row r="60" spans="2:17">
      <c r="G60" s="114" t="s">
        <v>100</v>
      </c>
      <c r="H60" s="78"/>
      <c r="I60" s="78"/>
      <c r="J60" s="78"/>
    </row>
    <row r="61" spans="2:17">
      <c r="G61" s="85" t="s">
        <v>83</v>
      </c>
      <c r="H61" s="91" t="s">
        <v>65</v>
      </c>
      <c r="I61" s="91" t="s">
        <v>65</v>
      </c>
      <c r="J61" s="91" t="s">
        <v>65</v>
      </c>
    </row>
    <row r="62" spans="2:17">
      <c r="G62" s="86" t="s">
        <v>91</v>
      </c>
      <c r="H62" s="97">
        <v>14644</v>
      </c>
      <c r="I62" s="97">
        <v>13908</v>
      </c>
      <c r="J62" s="97">
        <v>10595</v>
      </c>
      <c r="K62" s="30">
        <f>K63*K68</f>
        <v>9570.3838933750776</v>
      </c>
      <c r="L62" s="30">
        <f t="shared" ref="L62:O62" si="39">L63*L68</f>
        <v>10126.345895865965</v>
      </c>
      <c r="M62" s="30">
        <f t="shared" si="39"/>
        <v>10911.48353352</v>
      </c>
      <c r="N62" s="30">
        <f t="shared" si="39"/>
        <v>11510.22921048</v>
      </c>
      <c r="O62" s="30">
        <f t="shared" si="39"/>
        <v>11542.484448000001</v>
      </c>
    </row>
    <row r="63" spans="2:17">
      <c r="G63" s="122" t="s">
        <v>101</v>
      </c>
      <c r="H63" s="110">
        <f>H62/H68</f>
        <v>0.71780795059065727</v>
      </c>
      <c r="I63" s="110">
        <f t="shared" ref="I63:J63" si="40">I62/I68</f>
        <v>0.70132620644445565</v>
      </c>
      <c r="J63" s="110">
        <f t="shared" si="40"/>
        <v>0.68156963653908009</v>
      </c>
      <c r="K63" s="133">
        <v>0.67500000000000004</v>
      </c>
      <c r="L63" s="108">
        <v>0.68</v>
      </c>
      <c r="M63" s="108">
        <v>0.68</v>
      </c>
      <c r="N63" s="108">
        <v>0.66</v>
      </c>
      <c r="O63" s="108">
        <v>0.62</v>
      </c>
      <c r="P63" s="34"/>
    </row>
    <row r="64" spans="2:17">
      <c r="G64" s="112" t="s">
        <v>51</v>
      </c>
      <c r="H64" s="113">
        <v>4000</v>
      </c>
      <c r="I64" s="113">
        <v>4179</v>
      </c>
      <c r="J64" s="113">
        <v>4357</v>
      </c>
      <c r="K64" s="30">
        <f>K65*K68</f>
        <v>3969.9370224370696</v>
      </c>
      <c r="L64" s="30">
        <f t="shared" ref="L64:O64" si="41">L65*L68</f>
        <v>3871.8381366546337</v>
      </c>
      <c r="M64" s="30">
        <f t="shared" si="41"/>
        <v>3851.11183536</v>
      </c>
      <c r="N64" s="30">
        <f t="shared" si="41"/>
        <v>3836.7430701599997</v>
      </c>
      <c r="O64" s="30">
        <f t="shared" si="41"/>
        <v>3909.5511839999999</v>
      </c>
      <c r="P64" s="34"/>
      <c r="Q64" s="34"/>
    </row>
    <row r="65" spans="7:17">
      <c r="G65" s="122" t="s">
        <v>101</v>
      </c>
      <c r="H65" s="110">
        <f>H64/H68</f>
        <v>0.19606882015587471</v>
      </c>
      <c r="I65" s="110">
        <f t="shared" ref="I65:J65" si="42">I64/I68</f>
        <v>0.21073067419696434</v>
      </c>
      <c r="J65" s="110">
        <f t="shared" si="42"/>
        <v>0.28028304921196528</v>
      </c>
      <c r="K65" s="133">
        <v>0.28000000000000003</v>
      </c>
      <c r="L65" s="133">
        <v>0.26</v>
      </c>
      <c r="M65" s="133">
        <v>0.24</v>
      </c>
      <c r="N65" s="133">
        <v>0.22</v>
      </c>
      <c r="O65" s="133">
        <v>0.21</v>
      </c>
      <c r="Q65" s="34"/>
    </row>
    <row r="66" spans="7:17">
      <c r="G66" s="127" t="s">
        <v>52</v>
      </c>
      <c r="H66" s="113">
        <v>1757</v>
      </c>
      <c r="I66" s="113">
        <v>1744</v>
      </c>
      <c r="J66" s="113">
        <v>593</v>
      </c>
      <c r="K66" s="30">
        <f>K67*K68</f>
        <v>567.13386034815278</v>
      </c>
      <c r="L66" s="30">
        <f t="shared" ref="L66:O66" si="43">L67*L68</f>
        <v>893.50110845876156</v>
      </c>
      <c r="M66" s="30">
        <f t="shared" si="43"/>
        <v>1283.7039451200001</v>
      </c>
      <c r="N66" s="30">
        <f t="shared" si="43"/>
        <v>2092.7689473599999</v>
      </c>
      <c r="O66" s="30">
        <f t="shared" si="43"/>
        <v>2978.7056640000001</v>
      </c>
    </row>
    <row r="67" spans="7:17">
      <c r="G67" s="122" t="s">
        <v>101</v>
      </c>
      <c r="H67" s="110">
        <f>H66/H68</f>
        <v>8.6123229253467964E-2</v>
      </c>
      <c r="I67" s="110">
        <f t="shared" ref="I67:J67" si="44">I66/I68</f>
        <v>8.7943119358579999E-2</v>
      </c>
      <c r="J67" s="110">
        <f t="shared" si="44"/>
        <v>3.814731424895465E-2</v>
      </c>
      <c r="K67" s="133">
        <v>0.04</v>
      </c>
      <c r="L67" s="133">
        <v>0.06</v>
      </c>
      <c r="M67" s="133">
        <v>0.08</v>
      </c>
      <c r="N67" s="133">
        <v>0.12</v>
      </c>
      <c r="O67" s="133">
        <v>0.16</v>
      </c>
    </row>
    <row r="68" spans="7:17">
      <c r="G68" s="128" t="s">
        <v>54</v>
      </c>
      <c r="H68" s="129">
        <f>SUM(H62,H64,H66)</f>
        <v>20401</v>
      </c>
      <c r="I68" s="129">
        <f>SUM(I62,I64,I66)</f>
        <v>19831</v>
      </c>
      <c r="J68" s="129">
        <f>SUM(J62,J64,J66)</f>
        <v>15545</v>
      </c>
      <c r="K68" s="129">
        <f>SUM(K22,K28)*K69</f>
        <v>14178.346508703818</v>
      </c>
      <c r="L68" s="129">
        <f t="shared" ref="L68:O68" si="45">SUM(L22,L28)*L69</f>
        <v>14891.68514097936</v>
      </c>
      <c r="M68" s="129">
        <f t="shared" si="45"/>
        <v>16046.299314</v>
      </c>
      <c r="N68" s="129">
        <f t="shared" si="45"/>
        <v>17439.741227999999</v>
      </c>
      <c r="O68" s="129">
        <f t="shared" si="45"/>
        <v>18616.910400000001</v>
      </c>
    </row>
    <row r="69" spans="7:17">
      <c r="G69" s="66" t="s">
        <v>102</v>
      </c>
      <c r="H69" s="141">
        <f>H68/SUM(H22,H28)</f>
        <v>0.95883240542019055</v>
      </c>
      <c r="I69" s="141">
        <f>I68/SUM(I22,I28)</f>
        <v>0.99120517954214082</v>
      </c>
      <c r="J69" s="141">
        <f>J68/SUM(J22,J28)</f>
        <v>0.97114164362946265</v>
      </c>
      <c r="K69" s="137">
        <f>AVERAGE(H69:J69)</f>
        <v>0.97372640953059797</v>
      </c>
      <c r="L69" s="137">
        <f t="shared" ref="L69" si="46">AVERAGE(I69:K69)</f>
        <v>0.97869107756740048</v>
      </c>
      <c r="M69" s="138">
        <v>0.98199999999999998</v>
      </c>
      <c r="N69" s="138">
        <v>0.98699999999999999</v>
      </c>
      <c r="O69" s="138">
        <v>0.99</v>
      </c>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9"/>
  <sheetViews>
    <sheetView tabSelected="1" view="pageBreakPreview" topLeftCell="A7" zoomScale="60" zoomScaleNormal="100" workbookViewId="0">
      <selection activeCell="I7" sqref="I7"/>
    </sheetView>
  </sheetViews>
  <sheetFormatPr defaultRowHeight="14.4"/>
  <cols>
    <col min="1" max="1" width="1.21875" customWidth="1"/>
    <col min="2" max="2" width="22.33203125" customWidth="1"/>
    <col min="3" max="5" width="9.5546875" bestFit="1" customWidth="1"/>
    <col min="6" max="7" width="17.44140625" customWidth="1"/>
    <col min="8" max="8" width="15.44140625" customWidth="1"/>
    <col min="9" max="9" width="11.33203125" customWidth="1"/>
    <col min="10" max="10" width="11.5546875" customWidth="1"/>
    <col min="11" max="11" width="12.33203125" customWidth="1"/>
    <col min="12" max="12" width="12.44140625" customWidth="1"/>
  </cols>
  <sheetData>
    <row r="1" spans="2:12" ht="8.4" customHeight="1"/>
    <row r="2" spans="2:12" ht="20.399999999999999" thickBot="1">
      <c r="B2" s="36" t="s">
        <v>44</v>
      </c>
      <c r="C2" s="37"/>
      <c r="D2" s="37"/>
      <c r="E2" s="37"/>
    </row>
    <row r="3" spans="2:12" ht="15" thickBot="1">
      <c r="B3" s="38"/>
      <c r="C3" s="38"/>
      <c r="D3" s="38"/>
      <c r="E3" s="38"/>
    </row>
    <row r="4" spans="2:12">
      <c r="B4" s="39"/>
      <c r="C4" s="40"/>
      <c r="D4" s="41"/>
      <c r="E4" s="41"/>
    </row>
    <row r="5" spans="2:12">
      <c r="B5" s="42" t="s">
        <v>41</v>
      </c>
      <c r="C5" s="43">
        <v>2011</v>
      </c>
      <c r="D5" s="43">
        <v>2012</v>
      </c>
      <c r="E5" s="43">
        <v>2013</v>
      </c>
      <c r="F5" s="43">
        <v>2014</v>
      </c>
      <c r="G5" s="43">
        <v>2015</v>
      </c>
      <c r="H5" s="43">
        <v>2016</v>
      </c>
      <c r="I5" s="43">
        <v>2017</v>
      </c>
      <c r="J5" s="43">
        <v>2018</v>
      </c>
      <c r="K5" s="43">
        <v>2019</v>
      </c>
      <c r="L5" s="43">
        <v>2020</v>
      </c>
    </row>
    <row r="6" spans="2:12">
      <c r="B6" s="44"/>
      <c r="D6" s="45"/>
      <c r="E6" s="46"/>
    </row>
    <row r="7" spans="2:12">
      <c r="B7" s="47" t="s">
        <v>47</v>
      </c>
      <c r="C7" s="48">
        <v>749.6</v>
      </c>
      <c r="D7" s="48">
        <v>663.3</v>
      </c>
      <c r="E7" s="48">
        <v>614.6</v>
      </c>
      <c r="F7" s="48">
        <v>570</v>
      </c>
      <c r="G7" s="48">
        <v>413</v>
      </c>
      <c r="H7" s="48">
        <f ca="1">G7*(1+H8)</f>
        <v>455.12600000000003</v>
      </c>
      <c r="I7" s="48">
        <f t="shared" ref="I7:L7" ca="1" si="0">H7*(1+I8)</f>
        <v>527.49103400000001</v>
      </c>
      <c r="J7" s="48">
        <f t="shared" ca="1" si="0"/>
        <v>545.42572915599999</v>
      </c>
      <c r="K7" s="48">
        <f t="shared" ca="1" si="0"/>
        <v>562.87935248899203</v>
      </c>
      <c r="L7" s="48">
        <f t="shared" ca="1" si="0"/>
        <v>571.88542212881589</v>
      </c>
    </row>
    <row r="8" spans="2:12">
      <c r="B8" s="142" t="s">
        <v>55</v>
      </c>
      <c r="C8" s="50"/>
      <c r="D8" s="143">
        <f>(D7-C7)/C7</f>
        <v>-0.11512806830309508</v>
      </c>
      <c r="E8" s="143">
        <f t="shared" ref="E8:G8" si="1">(E7-D7)/D7</f>
        <v>-7.3420774913312128E-2</v>
      </c>
      <c r="F8" s="143">
        <f t="shared" si="1"/>
        <v>-7.2567523592580577E-2</v>
      </c>
      <c r="G8" s="143">
        <f t="shared" si="1"/>
        <v>-0.27543859649122809</v>
      </c>
      <c r="H8" s="143">
        <f ca="1">F34</f>
        <v>0.10199999999999999</v>
      </c>
      <c r="I8" s="143">
        <f t="shared" ref="I8:L8" ca="1" si="2">G34</f>
        <v>0.159</v>
      </c>
      <c r="J8" s="143">
        <f t="shared" ca="1" si="2"/>
        <v>3.4000000000000002E-2</v>
      </c>
      <c r="K8" s="143">
        <f t="shared" ca="1" si="2"/>
        <v>3.2000000000000001E-2</v>
      </c>
      <c r="L8" s="143">
        <f t="shared" ca="1" si="2"/>
        <v>1.6E-2</v>
      </c>
    </row>
    <row r="9" spans="2:12">
      <c r="B9" t="s">
        <v>111</v>
      </c>
      <c r="C9" s="109">
        <v>72.150000000000006</v>
      </c>
      <c r="D9">
        <f>C9/2</f>
        <v>36.075000000000003</v>
      </c>
      <c r="E9">
        <f>D9/2</f>
        <v>18.037500000000001</v>
      </c>
      <c r="F9">
        <f>E9/4</f>
        <v>4.5093750000000004</v>
      </c>
      <c r="H9" s="33"/>
    </row>
    <row r="10" spans="2:12">
      <c r="B10" s="42" t="s">
        <v>42</v>
      </c>
      <c r="C10" s="51">
        <f t="shared" ref="C10:L10" si="3">C5</f>
        <v>2011</v>
      </c>
      <c r="D10" s="51">
        <f t="shared" si="3"/>
        <v>2012</v>
      </c>
      <c r="E10" s="51">
        <f t="shared" si="3"/>
        <v>2013</v>
      </c>
      <c r="F10" s="51">
        <f t="shared" si="3"/>
        <v>2014</v>
      </c>
      <c r="G10" s="51">
        <f t="shared" si="3"/>
        <v>2015</v>
      </c>
      <c r="H10" s="51">
        <f t="shared" si="3"/>
        <v>2016</v>
      </c>
      <c r="I10" s="51">
        <f t="shared" si="3"/>
        <v>2017</v>
      </c>
      <c r="J10" s="51">
        <f t="shared" si="3"/>
        <v>2018</v>
      </c>
      <c r="K10" s="51">
        <f t="shared" si="3"/>
        <v>2019</v>
      </c>
      <c r="L10" s="51">
        <f t="shared" si="3"/>
        <v>2020</v>
      </c>
    </row>
    <row r="11" spans="2:12">
      <c r="B11" s="52"/>
      <c r="C11" s="53"/>
      <c r="D11" s="53"/>
      <c r="E11" s="53"/>
    </row>
    <row r="12" spans="2:12">
      <c r="B12" s="54" t="s">
        <v>47</v>
      </c>
      <c r="C12" s="55"/>
      <c r="D12" s="147"/>
      <c r="E12" s="147"/>
      <c r="F12" s="34"/>
      <c r="G12" s="34"/>
    </row>
    <row r="13" spans="2:12">
      <c r="B13" s="49" t="s">
        <v>43</v>
      </c>
      <c r="C13" s="56">
        <v>759</v>
      </c>
      <c r="D13" s="56">
        <v>750</v>
      </c>
      <c r="E13" s="56">
        <v>735</v>
      </c>
      <c r="F13" s="56">
        <v>772</v>
      </c>
      <c r="G13" s="56">
        <v>695</v>
      </c>
      <c r="H13" s="146">
        <f ca="1">H7*H14</f>
        <v>696.34278000000006</v>
      </c>
      <c r="I13" s="146">
        <f t="shared" ref="I13:L13" ca="1" si="4">I7*I14</f>
        <v>706.83798556000011</v>
      </c>
      <c r="J13" s="146">
        <f t="shared" ca="1" si="4"/>
        <v>692.69067602812004</v>
      </c>
      <c r="K13" s="146">
        <f t="shared" ca="1" si="4"/>
        <v>692.34160356146015</v>
      </c>
      <c r="L13" s="146">
        <f t="shared" ca="1" si="4"/>
        <v>703.4190692184435</v>
      </c>
    </row>
    <row r="14" spans="2:12">
      <c r="B14" s="57" t="s">
        <v>110</v>
      </c>
      <c r="C14" s="58">
        <f>C13/C7</f>
        <v>1.0125400213447171</v>
      </c>
      <c r="D14" s="58">
        <f>D13/D7</f>
        <v>1.1307100859339667</v>
      </c>
      <c r="E14" s="58">
        <f t="shared" ref="E14:G14" si="5">E13/E7</f>
        <v>1.1958997722095672</v>
      </c>
      <c r="F14" s="58">
        <f t="shared" si="5"/>
        <v>1.3543859649122807</v>
      </c>
      <c r="G14" s="58">
        <f t="shared" si="5"/>
        <v>1.6828087167070218</v>
      </c>
      <c r="H14" s="58">
        <v>1.53</v>
      </c>
      <c r="I14" s="58">
        <v>1.34</v>
      </c>
      <c r="J14" s="58">
        <v>1.27</v>
      </c>
      <c r="K14" s="58">
        <v>1.23</v>
      </c>
      <c r="L14" s="58">
        <v>1.23</v>
      </c>
    </row>
    <row r="15" spans="2:12">
      <c r="B15" s="50"/>
      <c r="C15" s="59"/>
      <c r="D15" s="59"/>
      <c r="E15" s="59"/>
    </row>
    <row r="16" spans="2:12">
      <c r="B16" s="49" t="s">
        <v>45</v>
      </c>
      <c r="C16" s="56">
        <v>845</v>
      </c>
      <c r="D16" s="56">
        <v>742</v>
      </c>
      <c r="E16" s="56">
        <v>706</v>
      </c>
      <c r="F16" s="56">
        <v>667</v>
      </c>
      <c r="G16" s="56">
        <v>516</v>
      </c>
      <c r="H16" s="56">
        <f ca="1">H7*H17</f>
        <v>532.49742000000003</v>
      </c>
      <c r="I16" s="56">
        <f t="shared" ref="I16:L16" ca="1" si="6">I7*I17</f>
        <v>564.41540638000004</v>
      </c>
      <c r="J16" s="56">
        <f t="shared" ca="1" si="6"/>
        <v>583.60553019691997</v>
      </c>
      <c r="K16" s="56">
        <f t="shared" ca="1" si="6"/>
        <v>607.90970068811146</v>
      </c>
      <c r="L16" s="56">
        <f t="shared" ca="1" si="6"/>
        <v>651.94938122685005</v>
      </c>
    </row>
    <row r="17" spans="2:12">
      <c r="B17" s="57" t="s">
        <v>110</v>
      </c>
      <c r="C17" s="58">
        <f>C16/C7</f>
        <v>1.1272678762006403</v>
      </c>
      <c r="D17" s="58">
        <f t="shared" ref="D17:G17" si="7">D16/D7</f>
        <v>1.1186491783506709</v>
      </c>
      <c r="E17" s="58">
        <f t="shared" si="7"/>
        <v>1.1487146111291897</v>
      </c>
      <c r="F17" s="58">
        <f t="shared" si="7"/>
        <v>1.1701754385964913</v>
      </c>
      <c r="G17" s="58">
        <f t="shared" si="7"/>
        <v>1.2493946731234866</v>
      </c>
      <c r="H17" s="58">
        <v>1.17</v>
      </c>
      <c r="I17" s="58">
        <v>1.07</v>
      </c>
      <c r="J17" s="58">
        <v>1.07</v>
      </c>
      <c r="K17" s="58">
        <v>1.08</v>
      </c>
      <c r="L17" s="58">
        <v>1.1399999999999999</v>
      </c>
    </row>
    <row r="18" spans="2:12">
      <c r="B18" s="50"/>
      <c r="C18" s="59"/>
      <c r="D18" s="59"/>
      <c r="E18" s="59"/>
    </row>
    <row r="19" spans="2:12">
      <c r="B19" s="60" t="s">
        <v>48</v>
      </c>
      <c r="C19" s="61"/>
      <c r="D19" s="61" t="s">
        <v>46</v>
      </c>
      <c r="E19" s="61" t="s">
        <v>46</v>
      </c>
    </row>
    <row r="20" spans="2:12">
      <c r="B20" s="49" t="s">
        <v>43</v>
      </c>
      <c r="C20" s="56">
        <v>1612</v>
      </c>
      <c r="D20" s="56">
        <v>1687</v>
      </c>
      <c r="E20" s="56">
        <v>1530</v>
      </c>
      <c r="F20" s="56">
        <v>1538</v>
      </c>
      <c r="G20" s="56">
        <v>1464</v>
      </c>
      <c r="H20" s="145">
        <f ca="1">H7*H21</f>
        <v>1456.4032000000002</v>
      </c>
      <c r="I20" s="145">
        <f t="shared" ref="I20:L20" ca="1" si="8">I7*I21</f>
        <v>1471.6999848600001</v>
      </c>
      <c r="J20" s="145">
        <f t="shared" ca="1" si="8"/>
        <v>1472.6494687212</v>
      </c>
      <c r="K20" s="145">
        <f t="shared" ca="1" si="8"/>
        <v>1547.9182193447282</v>
      </c>
      <c r="L20" s="145">
        <f t="shared" ca="1" si="8"/>
        <v>1578.4037650755317</v>
      </c>
    </row>
    <row r="21" spans="2:12">
      <c r="B21" s="57" t="s">
        <v>80</v>
      </c>
      <c r="C21" s="58">
        <f>C20/C7</f>
        <v>2.1504802561366061</v>
      </c>
      <c r="D21" s="58">
        <f t="shared" ref="D21:G21" si="9">D20/D7</f>
        <v>2.5433438866274689</v>
      </c>
      <c r="E21" s="58">
        <f t="shared" si="9"/>
        <v>2.4894240156199152</v>
      </c>
      <c r="F21" s="58">
        <f t="shared" si="9"/>
        <v>2.6982456140350877</v>
      </c>
      <c r="G21" s="58">
        <f t="shared" si="9"/>
        <v>3.5447941888619856</v>
      </c>
      <c r="H21" s="58">
        <v>3.2</v>
      </c>
      <c r="I21" s="58">
        <v>2.79</v>
      </c>
      <c r="J21" s="58">
        <v>2.7</v>
      </c>
      <c r="K21" s="58">
        <v>2.75</v>
      </c>
      <c r="L21" s="58">
        <v>2.76</v>
      </c>
    </row>
    <row r="23" spans="2:12">
      <c r="B23" s="42" t="s">
        <v>81</v>
      </c>
      <c r="C23" s="51">
        <f>C10</f>
        <v>2011</v>
      </c>
      <c r="D23" s="51">
        <f t="shared" ref="D23:L23" si="10">D10</f>
        <v>2012</v>
      </c>
      <c r="E23" s="51">
        <f t="shared" si="10"/>
        <v>2013</v>
      </c>
      <c r="F23" s="51">
        <f t="shared" si="10"/>
        <v>2014</v>
      </c>
      <c r="G23" s="51">
        <f t="shared" si="10"/>
        <v>2015</v>
      </c>
      <c r="H23" s="51">
        <f t="shared" si="10"/>
        <v>2016</v>
      </c>
      <c r="I23" s="51">
        <f t="shared" si="10"/>
        <v>2017</v>
      </c>
      <c r="J23" s="51">
        <f t="shared" si="10"/>
        <v>2018</v>
      </c>
      <c r="K23" s="51">
        <f t="shared" si="10"/>
        <v>2019</v>
      </c>
      <c r="L23" s="51">
        <f t="shared" si="10"/>
        <v>2020</v>
      </c>
    </row>
    <row r="25" spans="2:12">
      <c r="B25" t="s">
        <v>55</v>
      </c>
      <c r="H25" s="140">
        <v>7.0000000000000001E-3</v>
      </c>
      <c r="I25" s="140">
        <v>1.09E-2</v>
      </c>
      <c r="J25" s="140">
        <v>1.12E-2</v>
      </c>
      <c r="K25" s="140">
        <v>1.1599999999999999E-2</v>
      </c>
      <c r="L25" s="140">
        <v>1.2E-2</v>
      </c>
    </row>
    <row r="28" spans="2:12">
      <c r="B28" s="62" t="s">
        <v>287</v>
      </c>
      <c r="C28" s="62"/>
      <c r="D28" s="62"/>
      <c r="E28" s="62"/>
      <c r="F28" s="62"/>
      <c r="G28" s="62"/>
      <c r="H28" s="62"/>
      <c r="I28" s="62"/>
      <c r="J28" s="62"/>
    </row>
    <row r="29" spans="2:12">
      <c r="B29" s="148" t="s">
        <v>11</v>
      </c>
      <c r="C29" s="234"/>
      <c r="D29" s="234"/>
      <c r="E29" s="234"/>
      <c r="F29" s="235">
        <v>2016</v>
      </c>
      <c r="G29" s="235">
        <v>2017</v>
      </c>
      <c r="H29" s="235">
        <v>2018</v>
      </c>
      <c r="I29" s="235">
        <v>2019</v>
      </c>
      <c r="J29" s="235">
        <v>2020</v>
      </c>
    </row>
    <row r="30" spans="2:12">
      <c r="B30" s="149" t="s">
        <v>12</v>
      </c>
      <c r="C30" s="191"/>
      <c r="D30" s="191"/>
      <c r="E30" s="191"/>
      <c r="F30" s="191">
        <v>42369</v>
      </c>
      <c r="G30" s="191">
        <v>42369</v>
      </c>
      <c r="H30" s="191">
        <v>42369</v>
      </c>
      <c r="I30" s="191">
        <v>42369</v>
      </c>
      <c r="J30" s="191">
        <v>42369</v>
      </c>
    </row>
    <row r="31" spans="2:12" ht="15" thickBot="1">
      <c r="B31" s="64"/>
      <c r="C31" s="64"/>
      <c r="D31" s="64"/>
      <c r="E31" s="64"/>
      <c r="F31" s="64"/>
      <c r="G31" s="64"/>
      <c r="H31" s="64"/>
      <c r="I31" s="64"/>
      <c r="J31" s="64"/>
    </row>
    <row r="32" spans="2:12" ht="15" thickBot="1">
      <c r="B32" s="236" t="s">
        <v>288</v>
      </c>
      <c r="C32" s="179"/>
      <c r="D32" s="179"/>
      <c r="E32" s="237" t="s">
        <v>289</v>
      </c>
      <c r="F32" s="64"/>
      <c r="G32" s="64"/>
      <c r="H32" s="64"/>
      <c r="I32" s="64"/>
      <c r="J32" s="64"/>
    </row>
    <row r="34" spans="2:10">
      <c r="B34" t="s">
        <v>292</v>
      </c>
      <c r="F34" s="241">
        <f ca="1">OFFSET(F$36,MATCH($E$32,$B$37:$B$39,0)+MATCH($B34,$B$36:$B$39,0)-1,0)</f>
        <v>0.10199999999999999</v>
      </c>
      <c r="G34" s="241">
        <f t="shared" ref="G34:J34" ca="1" si="11">OFFSET(G$36,MATCH($E$32,$B$37:$B$39,0)+MATCH($B34,$B$36:$B$39,0)-1,0)</f>
        <v>0.159</v>
      </c>
      <c r="H34" s="241">
        <f t="shared" ca="1" si="11"/>
        <v>3.4000000000000002E-2</v>
      </c>
      <c r="I34" s="241">
        <f t="shared" ca="1" si="11"/>
        <v>3.2000000000000001E-2</v>
      </c>
      <c r="J34" s="241">
        <f t="shared" ca="1" si="11"/>
        <v>1.6E-2</v>
      </c>
    </row>
    <row r="36" spans="2:10">
      <c r="B36" s="175" t="s">
        <v>292</v>
      </c>
    </row>
    <row r="37" spans="2:10">
      <c r="B37" s="238" t="s">
        <v>290</v>
      </c>
      <c r="F37" s="240">
        <v>0.13800000000000001</v>
      </c>
      <c r="G37" s="240">
        <v>0.154</v>
      </c>
      <c r="H37" s="240">
        <v>6.7000000000000004E-2</v>
      </c>
      <c r="I37" s="240">
        <v>6.2E-2</v>
      </c>
      <c r="J37" s="240">
        <v>2.9000000000000001E-2</v>
      </c>
    </row>
    <row r="38" spans="2:10">
      <c r="B38" s="238" t="s">
        <v>289</v>
      </c>
      <c r="F38" s="239">
        <v>0.10199999999999999</v>
      </c>
      <c r="G38" s="239">
        <v>0.159</v>
      </c>
      <c r="H38" s="239">
        <v>3.4000000000000002E-2</v>
      </c>
      <c r="I38" s="239">
        <v>3.2000000000000001E-2</v>
      </c>
      <c r="J38" s="239">
        <v>1.6E-2</v>
      </c>
    </row>
    <row r="39" spans="2:10">
      <c r="B39" s="238" t="s">
        <v>291</v>
      </c>
      <c r="F39" s="239">
        <v>2.9000000000000001E-2</v>
      </c>
      <c r="G39" s="239">
        <v>5.8999999999999997E-2</v>
      </c>
      <c r="H39" s="239">
        <v>1.4E-2</v>
      </c>
      <c r="I39" s="239">
        <v>7.0000000000000001E-3</v>
      </c>
      <c r="J39" s="239">
        <v>3.0000000000000001E-3</v>
      </c>
    </row>
  </sheetData>
  <dataValidations count="1">
    <dataValidation type="list" allowBlank="1" showInputMessage="1" showErrorMessage="1" sqref="E32">
      <formula1>$B$37:$B$39</formula1>
    </dataValidation>
  </dataValidations>
  <pageMargins left="0.7" right="0.7" top="0.75" bottom="0.7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DCF</vt:lpstr>
      <vt:lpstr>Segment Results</vt:lpstr>
      <vt:lpstr>Steel Price Deck</vt:lpstr>
      <vt:lpstr>'Steel Price Deck'!Print_Area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nimakaramlou</dc:creator>
  <cp:lastModifiedBy>nimakaramlou</cp:lastModifiedBy>
  <dcterms:created xsi:type="dcterms:W3CDTF">2016-05-10T14:42:17Z</dcterms:created>
  <dcterms:modified xsi:type="dcterms:W3CDTF">2016-05-12T17:24:57Z</dcterms:modified>
</cp:coreProperties>
</file>