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avn\Desktop\"/>
    </mc:Choice>
  </mc:AlternateContent>
  <bookViews>
    <workbookView xWindow="0" yWindow="0" windowWidth="22500" windowHeight="12308"/>
  </bookViews>
  <sheets>
    <sheet name="Condensed Statements of Operati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G6" i="1"/>
  <c r="G9" i="1" s="1"/>
  <c r="H6" i="1"/>
  <c r="H9" i="1" s="1"/>
  <c r="I6" i="1"/>
  <c r="J6" i="1"/>
  <c r="K6" i="1"/>
  <c r="K9" i="1" s="1"/>
  <c r="L6" i="1"/>
  <c r="L9" i="1" s="1"/>
  <c r="M6" i="1"/>
  <c r="N6" i="1"/>
  <c r="O6" i="1"/>
  <c r="O9" i="1" s="1"/>
  <c r="P6" i="1"/>
  <c r="P9" i="1" s="1"/>
  <c r="B9" i="1"/>
  <c r="C9" i="1"/>
  <c r="D9" i="1"/>
  <c r="E9" i="1"/>
  <c r="F9" i="1"/>
  <c r="I9" i="1"/>
  <c r="J9" i="1"/>
  <c r="M9" i="1"/>
  <c r="N9" i="1"/>
  <c r="Q9" i="1"/>
  <c r="C11" i="1"/>
  <c r="D11" i="1" s="1"/>
  <c r="B15" i="1"/>
  <c r="B22" i="1" s="1"/>
  <c r="C15" i="1"/>
  <c r="B16" i="1"/>
  <c r="B18" i="1" s="1"/>
  <c r="B29" i="1" s="1"/>
  <c r="B31" i="1" s="1"/>
  <c r="B35" i="1" s="1"/>
  <c r="B37" i="1" s="1"/>
  <c r="C16" i="1"/>
  <c r="C18" i="1"/>
  <c r="B21" i="1"/>
  <c r="C21" i="1"/>
  <c r="D21" i="1"/>
  <c r="F21" i="1"/>
  <c r="I21" i="1"/>
  <c r="J21" i="1"/>
  <c r="N21" i="1"/>
  <c r="Q21" i="1"/>
  <c r="C22" i="1"/>
  <c r="B23" i="1"/>
  <c r="E23" i="1"/>
  <c r="F23" i="1"/>
  <c r="G23" i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B24" i="1"/>
  <c r="C24" i="1"/>
  <c r="C26" i="1"/>
  <c r="C27" i="1" s="1"/>
  <c r="D26" i="1"/>
  <c r="E26" i="1"/>
  <c r="D27" i="1"/>
  <c r="E27" i="1"/>
  <c r="B28" i="1"/>
  <c r="C28" i="1"/>
  <c r="D28" i="1"/>
  <c r="R29" i="1"/>
  <c r="C34" i="1"/>
  <c r="D34" i="1"/>
  <c r="D24" i="1" l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C29" i="1"/>
  <c r="C31" i="1" s="1"/>
  <c r="C35" i="1" s="1"/>
  <c r="C37" i="1" s="1"/>
  <c r="P21" i="1"/>
  <c r="L21" i="1"/>
  <c r="H21" i="1"/>
  <c r="D15" i="1"/>
  <c r="D22" i="1" s="1"/>
  <c r="E11" i="1"/>
  <c r="O21" i="1"/>
  <c r="K21" i="1"/>
  <c r="G21" i="1"/>
  <c r="M21" i="1"/>
  <c r="E21" i="1"/>
  <c r="D16" i="1" l="1"/>
  <c r="D18" i="1" s="1"/>
  <c r="D29" i="1" s="1"/>
  <c r="D31" i="1" s="1"/>
  <c r="D35" i="1" s="1"/>
  <c r="D37" i="1" s="1"/>
  <c r="E15" i="1"/>
  <c r="F11" i="1"/>
  <c r="G11" i="1" l="1"/>
  <c r="F15" i="1"/>
  <c r="E22" i="1"/>
  <c r="E16" i="1"/>
  <c r="E17" i="1" l="1"/>
  <c r="E33" i="1"/>
  <c r="E34" i="1" s="1"/>
  <c r="E18" i="1"/>
  <c r="E32" i="1"/>
  <c r="F22" i="1"/>
  <c r="F16" i="1"/>
  <c r="G15" i="1"/>
  <c r="H11" i="1"/>
  <c r="H15" i="1" l="1"/>
  <c r="I11" i="1"/>
  <c r="F28" i="1"/>
  <c r="E28" i="1"/>
  <c r="G22" i="1"/>
  <c r="G16" i="1"/>
  <c r="F17" i="1"/>
  <c r="F18" i="1"/>
  <c r="F29" i="1" s="1"/>
  <c r="F31" i="1" s="1"/>
  <c r="F33" i="1"/>
  <c r="F34" i="1" s="1"/>
  <c r="F32" i="1"/>
  <c r="E29" i="1"/>
  <c r="E31" i="1" s="1"/>
  <c r="E35" i="1" s="1"/>
  <c r="E37" i="1" s="1"/>
  <c r="I15" i="1" l="1"/>
  <c r="J11" i="1"/>
  <c r="F35" i="1"/>
  <c r="F37" i="1" s="1"/>
  <c r="G32" i="1"/>
  <c r="G17" i="1"/>
  <c r="G18" i="1" s="1"/>
  <c r="G33" i="1"/>
  <c r="G34" i="1" s="1"/>
  <c r="H22" i="1"/>
  <c r="H16" i="1"/>
  <c r="G28" i="1" l="1"/>
  <c r="G29" i="1" s="1"/>
  <c r="G31" i="1" s="1"/>
  <c r="G35" i="1" s="1"/>
  <c r="G37" i="1" s="1"/>
  <c r="H32" i="1"/>
  <c r="H28" i="1" s="1"/>
  <c r="H17" i="1"/>
  <c r="H18" i="1"/>
  <c r="H29" i="1" s="1"/>
  <c r="H31" i="1" s="1"/>
  <c r="H33" i="1"/>
  <c r="H34" i="1" s="1"/>
  <c r="I22" i="1"/>
  <c r="I16" i="1"/>
  <c r="K11" i="1"/>
  <c r="J15" i="1"/>
  <c r="J22" i="1" l="1"/>
  <c r="J16" i="1"/>
  <c r="I17" i="1"/>
  <c r="I18" i="1"/>
  <c r="I33" i="1"/>
  <c r="I34" i="1" s="1"/>
  <c r="I32" i="1"/>
  <c r="H35" i="1"/>
  <c r="H37" i="1" s="1"/>
  <c r="K15" i="1"/>
  <c r="L11" i="1"/>
  <c r="K22" i="1" l="1"/>
  <c r="K16" i="1"/>
  <c r="I29" i="1"/>
  <c r="I31" i="1" s="1"/>
  <c r="I35" i="1" s="1"/>
  <c r="I37" i="1" s="1"/>
  <c r="I28" i="1"/>
  <c r="J17" i="1"/>
  <c r="J18" i="1" s="1"/>
  <c r="J33" i="1"/>
  <c r="J34" i="1" s="1"/>
  <c r="J32" i="1"/>
  <c r="M11" i="1"/>
  <c r="L15" i="1"/>
  <c r="J29" i="1" l="1"/>
  <c r="J31" i="1" s="1"/>
  <c r="J35" i="1" s="1"/>
  <c r="J37" i="1" s="1"/>
  <c r="M15" i="1"/>
  <c r="N11" i="1"/>
  <c r="J28" i="1"/>
  <c r="K32" i="1"/>
  <c r="K17" i="1"/>
  <c r="K18" i="1"/>
  <c r="K33" i="1"/>
  <c r="K34" i="1" s="1"/>
  <c r="L22" i="1"/>
  <c r="L16" i="1"/>
  <c r="O11" i="1" l="1"/>
  <c r="N15" i="1"/>
  <c r="M22" i="1"/>
  <c r="M16" i="1"/>
  <c r="K29" i="1"/>
  <c r="L17" i="1"/>
  <c r="L18" i="1"/>
  <c r="L32" i="1"/>
  <c r="L33" i="1"/>
  <c r="L34" i="1" s="1"/>
  <c r="K28" i="1"/>
  <c r="N22" i="1" l="1"/>
  <c r="N16" i="1"/>
  <c r="M33" i="1"/>
  <c r="M34" i="1" s="1"/>
  <c r="M32" i="1"/>
  <c r="M28" i="1" s="1"/>
  <c r="M17" i="1"/>
  <c r="M18" i="1" s="1"/>
  <c r="O15" i="1"/>
  <c r="P11" i="1"/>
  <c r="L28" i="1"/>
  <c r="L29" i="1" s="1"/>
  <c r="K30" i="1" l="1"/>
  <c r="K31" i="1" s="1"/>
  <c r="K35" i="1" s="1"/>
  <c r="K37" i="1" s="1"/>
  <c r="M29" i="1"/>
  <c r="N17" i="1"/>
  <c r="N18" i="1" s="1"/>
  <c r="N29" i="1" s="1"/>
  <c r="N33" i="1"/>
  <c r="N34" i="1" s="1"/>
  <c r="N32" i="1"/>
  <c r="N28" i="1" s="1"/>
  <c r="P15" i="1"/>
  <c r="Q11" i="1"/>
  <c r="Q15" i="1" s="1"/>
  <c r="O22" i="1"/>
  <c r="O16" i="1"/>
  <c r="M30" i="1" l="1"/>
  <c r="P22" i="1"/>
  <c r="P16" i="1"/>
  <c r="O32" i="1"/>
  <c r="O28" i="1" s="1"/>
  <c r="O17" i="1"/>
  <c r="O18" i="1"/>
  <c r="O29" i="1" s="1"/>
  <c r="O33" i="1"/>
  <c r="O34" i="1" s="1"/>
  <c r="M31" i="1"/>
  <c r="M35" i="1" s="1"/>
  <c r="M37" i="1" s="1"/>
  <c r="L30" i="1"/>
  <c r="L31" i="1" s="1"/>
  <c r="L35" i="1" s="1"/>
  <c r="L37" i="1" s="1"/>
  <c r="Q22" i="1"/>
  <c r="Q16" i="1"/>
  <c r="Q33" i="1" l="1"/>
  <c r="Q17" i="1"/>
  <c r="Q18" i="1" s="1"/>
  <c r="Q29" i="1" s="1"/>
  <c r="Q31" i="1" s="1"/>
  <c r="Q32" i="1"/>
  <c r="Q28" i="1" s="1"/>
  <c r="P32" i="1"/>
  <c r="P28" i="1" s="1"/>
  <c r="P17" i="1"/>
  <c r="P18" i="1"/>
  <c r="P29" i="1" s="1"/>
  <c r="P33" i="1"/>
  <c r="P34" i="1" s="1"/>
  <c r="N30" i="1"/>
  <c r="N31" i="1" s="1"/>
  <c r="N35" i="1" s="1"/>
  <c r="N37" i="1" s="1"/>
  <c r="Q34" i="1" l="1"/>
  <c r="Q35" i="1" s="1"/>
  <c r="B38" i="1" s="1"/>
  <c r="B39" i="1" s="1"/>
  <c r="P31" i="1"/>
  <c r="P35" i="1" s="1"/>
  <c r="P37" i="1" s="1"/>
  <c r="O30" i="1"/>
  <c r="O31" i="1" s="1"/>
  <c r="O35" i="1" s="1"/>
  <c r="O37" i="1" s="1"/>
  <c r="B40" i="1" l="1"/>
  <c r="B48" i="1" s="1"/>
  <c r="B50" i="1" s="1"/>
</calcChain>
</file>

<file path=xl/sharedStrings.xml><?xml version="1.0" encoding="utf-8"?>
<sst xmlns="http://schemas.openxmlformats.org/spreadsheetml/2006/main" count="48" uniqueCount="45">
  <si>
    <t>Fair value, per common share</t>
  </si>
  <si>
    <t>Number of outstanding common shares</t>
  </si>
  <si>
    <t>Estimated equity value</t>
  </si>
  <si>
    <t>Stock based options liability</t>
  </si>
  <si>
    <t>Deferred rent obligation</t>
  </si>
  <si>
    <t>Capital lease obligations</t>
  </si>
  <si>
    <t>Accrued expenses and other liabilities</t>
  </si>
  <si>
    <t>Accounts payable</t>
  </si>
  <si>
    <t>Debt</t>
  </si>
  <si>
    <t>Cash</t>
  </si>
  <si>
    <t>Estimated EV, sum of discounted FCFs</t>
  </si>
  <si>
    <t>Discounted value of FCF, operations</t>
  </si>
  <si>
    <t>Terminal value of FCF, 5% decline annual after 2030</t>
  </si>
  <si>
    <t>Discount rate</t>
  </si>
  <si>
    <t>FCF, from operations</t>
  </si>
  <si>
    <t>Change in noncash WC</t>
  </si>
  <si>
    <t>non-cash working capital, at 25% of sales</t>
  </si>
  <si>
    <t>Capital expenditure, 20% of sales</t>
  </si>
  <si>
    <t>After tax operating income</t>
  </si>
  <si>
    <t>Income taxes, after operating loss carryover</t>
  </si>
  <si>
    <t>Net operating profit, before taxes</t>
  </si>
  <si>
    <t>Depreciation</t>
  </si>
  <si>
    <t>Amortization</t>
  </si>
  <si>
    <t>Interest expense</t>
  </si>
  <si>
    <t>General and administrative</t>
  </si>
  <si>
    <t>Research and development</t>
  </si>
  <si>
    <t>Royalties payable to Takeda, CVC in PSC at 10%</t>
  </si>
  <si>
    <t>Royalties payable to Takeda, CVC in NASH at 10%</t>
  </si>
  <si>
    <t>Milestone payments to Takeda, total 102 m$</t>
  </si>
  <si>
    <t>Operating expenses</t>
  </si>
  <si>
    <t>Gross profit</t>
  </si>
  <si>
    <t>Cost of sales, 30%</t>
  </si>
  <si>
    <t>Total forecasted revenues (A9+A15)</t>
  </si>
  <si>
    <t>Total forecasted revenue</t>
  </si>
  <si>
    <t>Probability of success</t>
  </si>
  <si>
    <t>Market share, Peak 10%</t>
  </si>
  <si>
    <t>Annual drug price</t>
  </si>
  <si>
    <t>Number of patients, US</t>
  </si>
  <si>
    <t>1. CVC in Primary sclerosing cholangitis</t>
  </si>
  <si>
    <t>Annual price of drug</t>
  </si>
  <si>
    <t>Market share, peak 5%</t>
  </si>
  <si>
    <t>US+EU, candidate number of patients</t>
  </si>
  <si>
    <t>1. CVC in NASH with fibrosis</t>
  </si>
  <si>
    <t>Revenue</t>
  </si>
  <si>
    <t>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</si>
</sst>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0" fontId="0" fillId="0" borderId="0" xfId="0" applyAlignment="1">
      <alignment vertical="top" wrapText="1"/>
    </xf>
    <xf numFmtId="3" fontId="0" fillId="0" borderId="0" xfId="0" applyNumberFormat="1"/>
    <xf numFmtId="4" fontId="0" fillId="0" borderId="0" xfId="0" applyNumberForma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0" fillId="2" borderId="0" xfId="0" applyFill="1"/>
    <xf numFmtId="3" fontId="0" fillId="0" borderId="0" xfId="0" applyNumberFormat="1" applyAlignment="1">
      <alignment horizontal="center" vertical="center" wrapText="1"/>
    </xf>
    <xf numFmtId="0" fontId="0" fillId="3" borderId="0" xfId="0" applyFill="1"/>
    <xf numFmtId="0" fontId="1" fillId="0" borderId="0" xfId="0" applyFont="1"/>
    <xf numFmtId="0" fontId="0" fillId="0" borderId="0" xfId="0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12" workbookViewId="0">
      <selection activeCell="B54" sqref="B54"/>
    </sheetView>
  </sheetViews>
  <sheetFormatPr defaultColWidth="10.6640625" defaultRowHeight="14.25" x14ac:dyDescent="0.45"/>
  <cols>
    <col min="1" max="1" width="80" customWidth="1"/>
    <col min="2" max="2" width="17.265625" bestFit="1" customWidth="1"/>
    <col min="9" max="9" width="11.265625" bestFit="1" customWidth="1"/>
    <col min="17" max="17" width="14.53125" customWidth="1"/>
  </cols>
  <sheetData>
    <row r="1" spans="1:17" x14ac:dyDescent="0.45">
      <c r="A1" s="16"/>
      <c r="P1" t="s">
        <v>44</v>
      </c>
    </row>
    <row r="2" spans="1:17" x14ac:dyDescent="0.45">
      <c r="A2" s="15"/>
      <c r="B2">
        <v>2016</v>
      </c>
      <c r="C2">
        <v>2017</v>
      </c>
      <c r="D2">
        <v>2018</v>
      </c>
      <c r="E2">
        <v>2019</v>
      </c>
      <c r="F2">
        <v>2020</v>
      </c>
      <c r="G2">
        <v>2021</v>
      </c>
      <c r="H2">
        <v>2022</v>
      </c>
      <c r="I2">
        <v>2023</v>
      </c>
      <c r="J2">
        <v>2024</v>
      </c>
      <c r="K2">
        <v>2025</v>
      </c>
      <c r="L2">
        <v>2026</v>
      </c>
      <c r="M2">
        <v>2027</v>
      </c>
      <c r="N2">
        <v>2028</v>
      </c>
      <c r="O2">
        <v>2029</v>
      </c>
      <c r="P2">
        <v>2030</v>
      </c>
      <c r="Q2">
        <v>2031</v>
      </c>
    </row>
    <row r="3" spans="1:17" x14ac:dyDescent="0.45">
      <c r="A3" s="14" t="s">
        <v>43</v>
      </c>
    </row>
    <row r="4" spans="1:17" x14ac:dyDescent="0.45">
      <c r="A4" s="13" t="s">
        <v>42</v>
      </c>
    </row>
    <row r="5" spans="1:17" x14ac:dyDescent="0.45">
      <c r="A5" t="s">
        <v>41</v>
      </c>
      <c r="B5" s="12">
        <v>20000000</v>
      </c>
      <c r="C5" s="12">
        <v>20000000</v>
      </c>
      <c r="D5" s="12">
        <v>20000000</v>
      </c>
      <c r="E5" s="12">
        <v>20000000</v>
      </c>
      <c r="F5" s="12">
        <v>20000000</v>
      </c>
      <c r="G5" s="12">
        <v>20000000</v>
      </c>
      <c r="H5" s="12">
        <v>20000000</v>
      </c>
      <c r="I5" s="12">
        <v>20000000</v>
      </c>
      <c r="J5" s="12">
        <v>20000000</v>
      </c>
      <c r="K5" s="12">
        <v>20000000</v>
      </c>
      <c r="L5" s="12">
        <v>20000000</v>
      </c>
      <c r="M5" s="12">
        <v>20000000</v>
      </c>
      <c r="N5" s="12">
        <v>20000000</v>
      </c>
      <c r="O5" s="12">
        <v>20000000</v>
      </c>
      <c r="P5" s="12">
        <v>20000000</v>
      </c>
      <c r="Q5" s="12">
        <v>20000000</v>
      </c>
    </row>
    <row r="6" spans="1:17" x14ac:dyDescent="0.45">
      <c r="A6" t="s">
        <v>40</v>
      </c>
      <c r="B6">
        <v>0</v>
      </c>
      <c r="C6">
        <v>0</v>
      </c>
      <c r="D6">
        <v>0</v>
      </c>
      <c r="E6">
        <f>0.0008*5</f>
        <v>4.0000000000000001E-3</v>
      </c>
      <c r="F6">
        <f>0.0016*5</f>
        <v>8.0000000000000002E-3</v>
      </c>
      <c r="G6">
        <f>0.0024*5</f>
        <v>1.1999999999999999E-2</v>
      </c>
      <c r="H6">
        <f>0.0032*5</f>
        <v>1.6E-2</v>
      </c>
      <c r="I6">
        <f>0.004*5</f>
        <v>0.02</v>
      </c>
      <c r="J6">
        <f>0.0048*5</f>
        <v>2.3999999999999997E-2</v>
      </c>
      <c r="K6">
        <f>0.0056*5</f>
        <v>2.8000000000000001E-2</v>
      </c>
      <c r="L6">
        <f>0.0064*5</f>
        <v>3.2000000000000001E-2</v>
      </c>
      <c r="M6">
        <f>0.0072*5</f>
        <v>3.5999999999999997E-2</v>
      </c>
      <c r="N6">
        <f>0.008*5</f>
        <v>0.04</v>
      </c>
      <c r="O6">
        <f>0.009*5</f>
        <v>4.4999999999999998E-2</v>
      </c>
      <c r="P6">
        <f>0.01*5</f>
        <v>0.05</v>
      </c>
      <c r="Q6">
        <v>0.01</v>
      </c>
    </row>
    <row r="7" spans="1:17" x14ac:dyDescent="0.45">
      <c r="A7" t="s">
        <v>39</v>
      </c>
      <c r="B7" s="12">
        <v>10000</v>
      </c>
      <c r="C7" s="12">
        <v>10000</v>
      </c>
      <c r="D7" s="12">
        <v>10000</v>
      </c>
      <c r="E7" s="12">
        <v>10000</v>
      </c>
      <c r="F7" s="12">
        <v>10000</v>
      </c>
      <c r="G7" s="12">
        <v>10000</v>
      </c>
      <c r="H7" s="12">
        <v>10000</v>
      </c>
      <c r="I7" s="12">
        <v>10000</v>
      </c>
      <c r="J7" s="12">
        <v>10000</v>
      </c>
      <c r="K7" s="12">
        <v>10000</v>
      </c>
      <c r="L7" s="12">
        <v>10000</v>
      </c>
      <c r="M7" s="12">
        <v>10000</v>
      </c>
      <c r="N7" s="12">
        <v>10000</v>
      </c>
      <c r="O7" s="12">
        <v>10000</v>
      </c>
      <c r="P7" s="12">
        <v>10000</v>
      </c>
      <c r="Q7" s="12">
        <v>10000</v>
      </c>
    </row>
    <row r="8" spans="1:17" x14ac:dyDescent="0.45">
      <c r="A8" t="s">
        <v>34</v>
      </c>
      <c r="B8" s="8">
        <v>0.2</v>
      </c>
      <c r="C8" s="8">
        <v>0.2</v>
      </c>
      <c r="D8" s="8">
        <v>0.2</v>
      </c>
      <c r="E8" s="8">
        <v>0.2</v>
      </c>
      <c r="F8" s="8">
        <v>0.2</v>
      </c>
      <c r="G8" s="8">
        <v>0.2</v>
      </c>
      <c r="H8" s="8">
        <v>0.2</v>
      </c>
      <c r="I8" s="8">
        <v>0.2</v>
      </c>
      <c r="J8" s="8">
        <v>0.2</v>
      </c>
      <c r="K8" s="8">
        <v>0.2</v>
      </c>
      <c r="L8" s="8">
        <v>0.2</v>
      </c>
      <c r="M8" s="8">
        <v>0.2</v>
      </c>
      <c r="N8" s="8">
        <v>0.2</v>
      </c>
      <c r="O8" s="8">
        <v>0.2</v>
      </c>
      <c r="P8" s="8">
        <v>0.2</v>
      </c>
      <c r="Q8" s="8">
        <v>0.2</v>
      </c>
    </row>
    <row r="9" spans="1:17" x14ac:dyDescent="0.45">
      <c r="A9" t="s">
        <v>33</v>
      </c>
      <c r="B9" s="8">
        <f>B5*B6*B7*B8</f>
        <v>0</v>
      </c>
      <c r="C9" s="8">
        <f>C5*C6*C7*C8</f>
        <v>0</v>
      </c>
      <c r="D9" s="8">
        <f>D5*D6*D7*D8</f>
        <v>0</v>
      </c>
      <c r="E9" s="8">
        <f>E5*E6*E7*E8</f>
        <v>160000000</v>
      </c>
      <c r="F9" s="8">
        <f>F5*F6*F7*F8</f>
        <v>320000000</v>
      </c>
      <c r="G9" s="8">
        <f>G5*G6*G7*G8</f>
        <v>479999999.99999994</v>
      </c>
      <c r="H9" s="8">
        <f>H5*H6*H7*H8</f>
        <v>640000000</v>
      </c>
      <c r="I9" s="8">
        <f>I5*I6*I7*I8</f>
        <v>800000000</v>
      </c>
      <c r="J9" s="8">
        <f>J5*J6*J7*J8</f>
        <v>959999999.99999988</v>
      </c>
      <c r="K9" s="8">
        <f>K5*K6*K7*K8</f>
        <v>1120000000</v>
      </c>
      <c r="L9" s="8">
        <f>L5*L6*L7*L8</f>
        <v>1280000000</v>
      </c>
      <c r="M9" s="8">
        <f>M5*M6*M7*M8</f>
        <v>1440000000</v>
      </c>
      <c r="N9" s="8">
        <f>N5*N6*N7*N8</f>
        <v>1600000000</v>
      </c>
      <c r="O9" s="8">
        <f>O5*O6*O7*O8</f>
        <v>1800000000</v>
      </c>
      <c r="P9" s="8">
        <f>P5*P6*P7*P8</f>
        <v>2000000000</v>
      </c>
      <c r="Q9" s="8">
        <f>Q5*Q6*Q7*Q8</f>
        <v>400000000</v>
      </c>
    </row>
    <row r="10" spans="1:17" x14ac:dyDescent="0.45">
      <c r="A10" s="13" t="s">
        <v>38</v>
      </c>
    </row>
    <row r="11" spans="1:17" x14ac:dyDescent="0.45">
      <c r="A11" t="s">
        <v>37</v>
      </c>
      <c r="B11" s="12">
        <v>44000</v>
      </c>
      <c r="C11" s="12">
        <f>B11+3200</f>
        <v>47200</v>
      </c>
      <c r="D11" s="12">
        <f>C11+3200</f>
        <v>50400</v>
      </c>
      <c r="E11" s="12">
        <f>D11+3200</f>
        <v>53600</v>
      </c>
      <c r="F11" s="12">
        <f>E11+3200</f>
        <v>56800</v>
      </c>
      <c r="G11" s="12">
        <f>F11+3200</f>
        <v>60000</v>
      </c>
      <c r="H11" s="12">
        <f>G11+3200</f>
        <v>63200</v>
      </c>
      <c r="I11" s="12">
        <f>H11+3200</f>
        <v>66400</v>
      </c>
      <c r="J11" s="12">
        <f>I11+3200</f>
        <v>69600</v>
      </c>
      <c r="K11" s="12">
        <f>J11+3200</f>
        <v>72800</v>
      </c>
      <c r="L11" s="12">
        <f>K11+3200</f>
        <v>76000</v>
      </c>
      <c r="M11" s="12">
        <f>L11+3200</f>
        <v>79200</v>
      </c>
      <c r="N11" s="12">
        <f>M11+3200</f>
        <v>82400</v>
      </c>
      <c r="O11" s="12">
        <f>N11+3200</f>
        <v>85600</v>
      </c>
      <c r="P11" s="12">
        <f>O11+3200</f>
        <v>88800</v>
      </c>
      <c r="Q11" s="12">
        <f>P11+3200</f>
        <v>92000</v>
      </c>
    </row>
    <row r="12" spans="1:17" x14ac:dyDescent="0.45">
      <c r="A12" t="s">
        <v>36</v>
      </c>
      <c r="B12" s="12">
        <v>10000</v>
      </c>
      <c r="C12" s="12">
        <v>10000</v>
      </c>
      <c r="D12" s="12">
        <v>10000</v>
      </c>
      <c r="E12" s="12">
        <v>10000</v>
      </c>
      <c r="F12" s="12">
        <v>10000</v>
      </c>
      <c r="G12" s="12">
        <v>10000</v>
      </c>
      <c r="H12" s="12">
        <v>10000</v>
      </c>
      <c r="I12" s="12">
        <v>10000</v>
      </c>
      <c r="J12" s="12">
        <v>10000</v>
      </c>
      <c r="K12" s="12">
        <v>10000</v>
      </c>
      <c r="L12" s="12">
        <v>10000</v>
      </c>
      <c r="M12" s="12">
        <v>10000</v>
      </c>
      <c r="N12" s="12">
        <v>10000</v>
      </c>
      <c r="O12" s="12">
        <v>10000</v>
      </c>
      <c r="P12" s="12">
        <v>10000</v>
      </c>
      <c r="Q12" s="12">
        <v>10000</v>
      </c>
    </row>
    <row r="13" spans="1:17" x14ac:dyDescent="0.45">
      <c r="A13" t="s">
        <v>35</v>
      </c>
      <c r="B13">
        <v>0</v>
      </c>
      <c r="C13">
        <v>0</v>
      </c>
      <c r="D13">
        <v>0</v>
      </c>
      <c r="E13">
        <v>8.0000000000000002E-3</v>
      </c>
      <c r="F13">
        <v>1.6E-2</v>
      </c>
      <c r="G13">
        <v>2.4E-2</v>
      </c>
      <c r="H13">
        <v>3.2000000000000001E-2</v>
      </c>
      <c r="I13">
        <v>0.04</v>
      </c>
      <c r="J13">
        <v>4.8000000000000001E-2</v>
      </c>
      <c r="K13">
        <v>5.6000000000000001E-2</v>
      </c>
      <c r="L13">
        <v>6.4000000000000001E-2</v>
      </c>
      <c r="M13">
        <v>7.1999999999999995E-2</v>
      </c>
      <c r="N13">
        <v>0.08</v>
      </c>
      <c r="O13">
        <v>0.09</v>
      </c>
      <c r="P13">
        <v>0.1</v>
      </c>
      <c r="Q13">
        <v>0.1</v>
      </c>
    </row>
    <row r="14" spans="1:17" x14ac:dyDescent="0.45">
      <c r="A14" t="s">
        <v>34</v>
      </c>
      <c r="B14" s="8">
        <v>0.2</v>
      </c>
      <c r="C14" s="8">
        <v>0.2</v>
      </c>
      <c r="D14" s="8">
        <v>0.2</v>
      </c>
      <c r="E14" s="8">
        <v>0.2</v>
      </c>
      <c r="F14" s="8">
        <v>0.2</v>
      </c>
      <c r="G14" s="8">
        <v>0.2</v>
      </c>
      <c r="H14" s="8">
        <v>0.2</v>
      </c>
      <c r="I14" s="8">
        <v>0.2</v>
      </c>
      <c r="J14" s="8">
        <v>0.2</v>
      </c>
      <c r="K14" s="8">
        <v>0.2</v>
      </c>
      <c r="L14" s="8">
        <v>0.2</v>
      </c>
      <c r="M14" s="8">
        <v>0.2</v>
      </c>
      <c r="N14" s="8">
        <v>0.2</v>
      </c>
      <c r="O14" s="8">
        <v>0.2</v>
      </c>
      <c r="P14" s="8">
        <v>0.2</v>
      </c>
      <c r="Q14" s="8">
        <v>0.2</v>
      </c>
    </row>
    <row r="15" spans="1:17" x14ac:dyDescent="0.45">
      <c r="A15" s="10" t="s">
        <v>33</v>
      </c>
      <c r="B15" s="8">
        <f>B11*B12*B13*B14</f>
        <v>0</v>
      </c>
      <c r="C15" s="8">
        <f>C11*C12*C13*C14</f>
        <v>0</v>
      </c>
      <c r="D15" s="8">
        <f>D11*D12*D13*D14</f>
        <v>0</v>
      </c>
      <c r="E15" s="8">
        <f>E11*E12*E13*E14</f>
        <v>857600</v>
      </c>
      <c r="F15" s="8">
        <f>F11*F12*F13*F14</f>
        <v>1817600</v>
      </c>
      <c r="G15" s="8">
        <f>G11*G12*G13*G14</f>
        <v>2880000</v>
      </c>
      <c r="H15" s="8">
        <f>H11*H12*H13*H14</f>
        <v>4044800</v>
      </c>
      <c r="I15" s="8">
        <f>I11*I12*I13*I14</f>
        <v>5312000</v>
      </c>
      <c r="J15" s="8">
        <f>J11*J12*J13*J14</f>
        <v>6681600</v>
      </c>
      <c r="K15" s="8">
        <f>K11*K12*K13*K14</f>
        <v>8153600</v>
      </c>
      <c r="L15" s="8">
        <f>L11*L12*L13*L14</f>
        <v>9728000</v>
      </c>
      <c r="M15" s="8">
        <f>M11*M12*M13*M14</f>
        <v>11404800</v>
      </c>
      <c r="N15" s="8">
        <f>N11*N12*N13*N14</f>
        <v>13184000</v>
      </c>
      <c r="O15" s="8">
        <f>O11*O12*O13*O14</f>
        <v>15408000</v>
      </c>
      <c r="P15" s="8">
        <f>P11*P12*P13*P14</f>
        <v>17760000</v>
      </c>
      <c r="Q15" s="8">
        <f>Q11*Q12*Q13*Q14</f>
        <v>18400000</v>
      </c>
    </row>
    <row r="16" spans="1:17" x14ac:dyDescent="0.45">
      <c r="A16" s="11" t="s">
        <v>32</v>
      </c>
      <c r="B16" s="8">
        <f>B9+B15</f>
        <v>0</v>
      </c>
      <c r="C16" s="8">
        <f>C9+C15</f>
        <v>0</v>
      </c>
      <c r="D16" s="8">
        <f>D9+D15</f>
        <v>0</v>
      </c>
      <c r="E16" s="8">
        <f>E9+E15</f>
        <v>160857600</v>
      </c>
      <c r="F16" s="8">
        <f>F9+F15</f>
        <v>321817600</v>
      </c>
      <c r="G16" s="8">
        <f>G9+G15</f>
        <v>482879999.99999994</v>
      </c>
      <c r="H16" s="8">
        <f>H9+H15</f>
        <v>644044800</v>
      </c>
      <c r="I16" s="8">
        <f>I9+I15</f>
        <v>805312000</v>
      </c>
      <c r="J16" s="8">
        <f>J9+J15</f>
        <v>966681599.99999988</v>
      </c>
      <c r="K16" s="8">
        <f>K9+K15</f>
        <v>1128153600</v>
      </c>
      <c r="L16" s="8">
        <f>L9+L15</f>
        <v>1289728000</v>
      </c>
      <c r="M16" s="8">
        <f>M9+M15</f>
        <v>1451404800</v>
      </c>
      <c r="N16" s="8">
        <f>N9+N15</f>
        <v>1613184000</v>
      </c>
      <c r="O16" s="8">
        <f>O9+O15</f>
        <v>1815408000</v>
      </c>
      <c r="P16" s="8">
        <f>P9+P15</f>
        <v>2017760000</v>
      </c>
      <c r="Q16" s="8">
        <f>Q9+Q15</f>
        <v>418400000</v>
      </c>
    </row>
    <row r="17" spans="1:18" x14ac:dyDescent="0.45">
      <c r="A17" s="10" t="s">
        <v>31</v>
      </c>
      <c r="B17" s="8">
        <v>0</v>
      </c>
      <c r="C17" s="8">
        <v>0</v>
      </c>
      <c r="D17" s="8">
        <v>0</v>
      </c>
      <c r="E17" s="8">
        <f>E16*0.3</f>
        <v>48257280</v>
      </c>
      <c r="F17" s="8">
        <f>F16*0.3</f>
        <v>96545280</v>
      </c>
      <c r="G17" s="8">
        <f>G16*0.3</f>
        <v>144863999.99999997</v>
      </c>
      <c r="H17" s="8">
        <f>H16*0.3</f>
        <v>193213440</v>
      </c>
      <c r="I17" s="8">
        <f>I16*0.3</f>
        <v>241593600</v>
      </c>
      <c r="J17" s="8">
        <f>J16*0.3</f>
        <v>290004479.99999994</v>
      </c>
      <c r="K17" s="8">
        <f>K16*0.3</f>
        <v>338446080</v>
      </c>
      <c r="L17" s="8">
        <f>L16*0.3</f>
        <v>386918400</v>
      </c>
      <c r="M17" s="8">
        <f>M16*0.3</f>
        <v>435421440</v>
      </c>
      <c r="N17" s="8">
        <f>N16*0.3</f>
        <v>483955200</v>
      </c>
      <c r="O17" s="8">
        <f>O16*0.3</f>
        <v>544622400</v>
      </c>
      <c r="P17" s="8">
        <f>P16*0.3</f>
        <v>605328000</v>
      </c>
      <c r="Q17" s="8">
        <f>Q16*0.3</f>
        <v>125520000</v>
      </c>
    </row>
    <row r="18" spans="1:18" x14ac:dyDescent="0.45">
      <c r="A18" s="9" t="s">
        <v>30</v>
      </c>
      <c r="B18" s="8">
        <f>B16-B17</f>
        <v>0</v>
      </c>
      <c r="C18" s="8">
        <f>C16-C17</f>
        <v>0</v>
      </c>
      <c r="D18" s="8">
        <f>D16-D17</f>
        <v>0</v>
      </c>
      <c r="E18" s="8">
        <f>E16-E17</f>
        <v>112600320</v>
      </c>
      <c r="F18" s="8">
        <f>F16-F17</f>
        <v>225272320</v>
      </c>
      <c r="G18" s="8">
        <f>G16-G17</f>
        <v>338016000</v>
      </c>
      <c r="H18" s="8">
        <f>H16-H17</f>
        <v>450831360</v>
      </c>
      <c r="I18" s="8">
        <f>I16-I17</f>
        <v>563718400</v>
      </c>
      <c r="J18" s="8">
        <f>J16-J17</f>
        <v>676677120</v>
      </c>
      <c r="K18" s="8">
        <f>K16-K17</f>
        <v>789707520</v>
      </c>
      <c r="L18" s="8">
        <f>L16-L17</f>
        <v>902809600</v>
      </c>
      <c r="M18" s="8">
        <f>M16-M17</f>
        <v>1015983360</v>
      </c>
      <c r="N18" s="8">
        <f>N16-N17</f>
        <v>1129228800</v>
      </c>
      <c r="O18" s="8">
        <f>O16-O17</f>
        <v>1270785600</v>
      </c>
      <c r="P18" s="8">
        <f>P16-P17</f>
        <v>1412432000</v>
      </c>
      <c r="Q18" s="8">
        <f>Q16-Q17</f>
        <v>292880000</v>
      </c>
    </row>
    <row r="19" spans="1:18" x14ac:dyDescent="0.45">
      <c r="A19" s="7" t="s">
        <v>29</v>
      </c>
    </row>
    <row r="20" spans="1:18" x14ac:dyDescent="0.45">
      <c r="A20" s="6" t="s">
        <v>28</v>
      </c>
      <c r="B20" s="3">
        <v>5000000</v>
      </c>
      <c r="C20" s="3">
        <v>10000000</v>
      </c>
      <c r="D20" s="3">
        <v>10000000</v>
      </c>
      <c r="E20" s="3">
        <v>15000000</v>
      </c>
      <c r="F20" s="3">
        <v>15000000</v>
      </c>
      <c r="G20" s="3">
        <v>20000000</v>
      </c>
      <c r="H20" s="3">
        <v>27000000</v>
      </c>
    </row>
    <row r="21" spans="1:18" x14ac:dyDescent="0.45">
      <c r="A21" s="6" t="s">
        <v>27</v>
      </c>
      <c r="B21">
        <f>B9*0.1</f>
        <v>0</v>
      </c>
      <c r="C21">
        <f>C9*0.1</f>
        <v>0</v>
      </c>
      <c r="D21">
        <f>D9*0.1</f>
        <v>0</v>
      </c>
      <c r="E21">
        <f>E9*0.1</f>
        <v>16000000</v>
      </c>
      <c r="F21">
        <f>F9*0.1</f>
        <v>32000000</v>
      </c>
      <c r="G21">
        <f>G9*0.1</f>
        <v>48000000</v>
      </c>
      <c r="H21">
        <f>H9*0.1</f>
        <v>64000000</v>
      </c>
      <c r="I21">
        <f>I9*0.1</f>
        <v>80000000</v>
      </c>
      <c r="J21">
        <f>J9*0.1</f>
        <v>96000000</v>
      </c>
      <c r="K21">
        <f>K9*0.1</f>
        <v>112000000</v>
      </c>
      <c r="L21">
        <f>L9*0.1</f>
        <v>128000000</v>
      </c>
      <c r="M21">
        <f>M9*0.1</f>
        <v>144000000</v>
      </c>
      <c r="N21">
        <f>N9*0.1</f>
        <v>160000000</v>
      </c>
      <c r="O21">
        <f>O9*0.1</f>
        <v>180000000</v>
      </c>
      <c r="P21">
        <f>P9*0.1</f>
        <v>200000000</v>
      </c>
      <c r="Q21">
        <f>Q9*0.1</f>
        <v>40000000</v>
      </c>
    </row>
    <row r="22" spans="1:18" x14ac:dyDescent="0.45">
      <c r="A22" s="6" t="s">
        <v>26</v>
      </c>
      <c r="B22">
        <f>B15*0.1</f>
        <v>0</v>
      </c>
      <c r="C22">
        <f>C15*0.1</f>
        <v>0</v>
      </c>
      <c r="D22">
        <f>D15*0.1</f>
        <v>0</v>
      </c>
      <c r="E22">
        <f>E15*0.1</f>
        <v>85760</v>
      </c>
      <c r="F22">
        <f>F15*0.1</f>
        <v>181760</v>
      </c>
      <c r="G22">
        <f>G15*0.1</f>
        <v>288000</v>
      </c>
      <c r="H22">
        <f>H15*0.1</f>
        <v>404480</v>
      </c>
      <c r="I22">
        <f>I15*0.1</f>
        <v>531200</v>
      </c>
      <c r="J22">
        <f>J15*0.1</f>
        <v>668160</v>
      </c>
      <c r="K22">
        <f>K15*0.1</f>
        <v>815360</v>
      </c>
      <c r="L22">
        <f>L15*0.1</f>
        <v>972800</v>
      </c>
      <c r="M22">
        <f>M15*0.1</f>
        <v>1140480</v>
      </c>
      <c r="N22">
        <f>N15*0.1</f>
        <v>1318400</v>
      </c>
      <c r="O22">
        <f>O15*0.1</f>
        <v>1540800</v>
      </c>
      <c r="P22">
        <f>P15*0.1</f>
        <v>1776000</v>
      </c>
      <c r="Q22">
        <f>Q15*0.1</f>
        <v>1840000</v>
      </c>
    </row>
    <row r="23" spans="1:18" x14ac:dyDescent="0.45">
      <c r="A23" s="2" t="s">
        <v>25</v>
      </c>
      <c r="B23">
        <f>8700000*4</f>
        <v>34800000</v>
      </c>
      <c r="C23" s="3">
        <v>50000000</v>
      </c>
      <c r="D23" s="3">
        <v>56000000</v>
      </c>
      <c r="E23">
        <f>D23*1.03</f>
        <v>57680000</v>
      </c>
      <c r="F23">
        <f>E23*1.03</f>
        <v>59410400</v>
      </c>
      <c r="G23">
        <f>F23*1.03</f>
        <v>61192712</v>
      </c>
      <c r="H23" s="1">
        <f>G23*1.03</f>
        <v>63028493.359999999</v>
      </c>
      <c r="I23" s="1">
        <f>H23*1.03</f>
        <v>64919348.160800003</v>
      </c>
      <c r="J23" s="1">
        <f>I23*1.03</f>
        <v>66866928.605624005</v>
      </c>
      <c r="K23" s="1">
        <f>J23*1.03</f>
        <v>68872936.463792726</v>
      </c>
      <c r="L23" s="1">
        <f>K23*1.03</f>
        <v>70939124.557706505</v>
      </c>
      <c r="M23" s="1">
        <f>L23*1.03</f>
        <v>73067298.294437706</v>
      </c>
      <c r="N23" s="1">
        <f>M23*1.03</f>
        <v>75259317.243270844</v>
      </c>
      <c r="O23" s="1">
        <f>N23*1.03</f>
        <v>77517096.760568976</v>
      </c>
      <c r="P23" s="1">
        <f>O23*1.03</f>
        <v>79842609.663386047</v>
      </c>
      <c r="Q23" s="1">
        <f>P23*1.03</f>
        <v>82237887.953287631</v>
      </c>
    </row>
    <row r="24" spans="1:18" x14ac:dyDescent="0.45">
      <c r="A24" s="2" t="s">
        <v>24</v>
      </c>
      <c r="B24">
        <f>3300000*4</f>
        <v>13200000</v>
      </c>
      <c r="C24">
        <f>B24*1.05</f>
        <v>13860000</v>
      </c>
      <c r="D24">
        <f>C24*1.05</f>
        <v>14553000</v>
      </c>
      <c r="E24">
        <f>D24*1.05</f>
        <v>15280650</v>
      </c>
      <c r="F24" s="1">
        <f>E24*1.05</f>
        <v>16044682.5</v>
      </c>
      <c r="G24" s="1">
        <f>F24*1.05</f>
        <v>16846916.625</v>
      </c>
      <c r="H24" s="1">
        <f>G24*1.05</f>
        <v>17689262.456250001</v>
      </c>
      <c r="I24" s="1">
        <f>H24*1.05</f>
        <v>18573725.579062503</v>
      </c>
      <c r="J24" s="1">
        <f>I24*1.05</f>
        <v>19502411.85801563</v>
      </c>
      <c r="K24" s="1">
        <f>J24*1.05</f>
        <v>20477532.450916413</v>
      </c>
      <c r="L24" s="1">
        <f>K24*1.05</f>
        <v>21501409.073462233</v>
      </c>
      <c r="M24" s="1">
        <f>L24*1.05</f>
        <v>22576479.527135346</v>
      </c>
      <c r="N24" s="1">
        <f>M24*1.05</f>
        <v>23705303.503492113</v>
      </c>
      <c r="O24" s="1">
        <f>N24*1.05</f>
        <v>24890568.678666718</v>
      </c>
      <c r="P24" s="1">
        <f>O24*1.05</f>
        <v>26135097.112600055</v>
      </c>
      <c r="Q24" s="1">
        <f>P24*1.05</f>
        <v>27441851.968230058</v>
      </c>
    </row>
    <row r="25" spans="1:18" x14ac:dyDescent="0.45">
      <c r="A25" s="2"/>
    </row>
    <row r="26" spans="1:18" x14ac:dyDescent="0.45">
      <c r="A26" s="2" t="s">
        <v>23</v>
      </c>
      <c r="B26" s="3">
        <v>782000</v>
      </c>
      <c r="C26">
        <f>856.79*1000</f>
        <v>856790</v>
      </c>
      <c r="D26">
        <f>(1289.94-856.79)*1000</f>
        <v>433150.00000000012</v>
      </c>
      <c r="E26">
        <f>(1338.23-1289.94)*1000</f>
        <v>48289.999999999964</v>
      </c>
    </row>
    <row r="27" spans="1:18" x14ac:dyDescent="0.45">
      <c r="A27" s="2" t="s">
        <v>22</v>
      </c>
      <c r="B27">
        <v>0</v>
      </c>
      <c r="C27">
        <f>6554000-C26</f>
        <v>5697210</v>
      </c>
      <c r="D27">
        <f>6554000-D26</f>
        <v>6120850</v>
      </c>
      <c r="E27">
        <f>4031000-E26</f>
        <v>3982710</v>
      </c>
    </row>
    <row r="28" spans="1:18" x14ac:dyDescent="0.45">
      <c r="A28" s="2" t="s">
        <v>21</v>
      </c>
      <c r="B28">
        <f>B32/10</f>
        <v>37100</v>
      </c>
      <c r="C28">
        <f>SUM(B32:C32)/10</f>
        <v>87100</v>
      </c>
      <c r="D28">
        <f>SUM(B32:D32)/10</f>
        <v>187100</v>
      </c>
      <c r="E28">
        <f>SUM(B32:E32)/10</f>
        <v>3404252</v>
      </c>
      <c r="F28">
        <f>SUM(B32:F32)/10</f>
        <v>9840604</v>
      </c>
      <c r="G28">
        <f>SUM(B32:G32)/10</f>
        <v>19498204</v>
      </c>
      <c r="H28">
        <f>SUM(B32:H32)/10</f>
        <v>32379100</v>
      </c>
      <c r="I28">
        <f>SUM(B32:I32)/10</f>
        <v>48485340</v>
      </c>
      <c r="J28">
        <f>SUM(B32:J32)/10</f>
        <v>67818972</v>
      </c>
      <c r="K28">
        <f>SUM(B32:K32)/10</f>
        <v>90382044</v>
      </c>
      <c r="L28">
        <f>SUM(B32:L32)/10</f>
        <v>116176604</v>
      </c>
      <c r="M28">
        <f>SUM(B32:M32)/10</f>
        <v>145204700</v>
      </c>
      <c r="N28">
        <f>SUM(B32:N32)/10</f>
        <v>177468380</v>
      </c>
      <c r="O28">
        <f>SUM(B32:O32)/10</f>
        <v>213776540</v>
      </c>
      <c r="P28">
        <f>SUM(B32:P32)/10</f>
        <v>254131740</v>
      </c>
      <c r="Q28">
        <f>SUM(B32:Q32)/10</f>
        <v>262499740</v>
      </c>
    </row>
    <row r="29" spans="1:18" x14ac:dyDescent="0.45">
      <c r="A29" s="5" t="s">
        <v>20</v>
      </c>
      <c r="B29" s="3">
        <f>(B18)-(B20+B21+B22+B23+B24+B26+B28)</f>
        <v>-53819100</v>
      </c>
      <c r="C29" s="3">
        <f>(C18)-(C20+C21+C22+C23+C24+C26+C28)</f>
        <v>-74803890</v>
      </c>
      <c r="D29" s="3">
        <f>(D18)-(D20+D21+D22+D23+D24+D26+D28)</f>
        <v>-81173250</v>
      </c>
      <c r="E29" s="3">
        <f>(E18)-(E20+E21+E22+E23+E24+E26+E28)</f>
        <v>5101368</v>
      </c>
      <c r="F29" s="3">
        <f>(F18)-(F20+F21+F22+F23+F24+F26+F28)</f>
        <v>92794873.5</v>
      </c>
      <c r="G29" s="3">
        <f>(G18)-(G20+G21+G22+G23+G24+G26+G28)</f>
        <v>172190167.375</v>
      </c>
      <c r="H29" s="3">
        <f>(H18)-(H20+H21+H22+H23+H24+H26+H28)</f>
        <v>246330024.18374997</v>
      </c>
      <c r="I29" s="3">
        <f>(I18)-(I20+I21+I22+I23+I24+I26+I28)</f>
        <v>351208786.2601375</v>
      </c>
      <c r="J29" s="3">
        <f>(J18)-(J20+J21+J22+J23+J24+J26+J28)</f>
        <v>425820647.53636038</v>
      </c>
      <c r="K29" s="3">
        <f>(K18)-(K20+K21+K22+K23+K24+K26+K28)</f>
        <v>497159647.08529085</v>
      </c>
      <c r="L29" s="3">
        <f>(L18)-(L20+L21+L22+L23+L24+L26+L28)</f>
        <v>565219662.36883128</v>
      </c>
      <c r="M29" s="3">
        <f>(M18)-(M20+M21+M22+M23+M24+M26+M28)</f>
        <v>629994402.17842698</v>
      </c>
      <c r="N29" s="3">
        <f>(N18)-(N20+N21+N22+N23+N24+N26+N28)</f>
        <v>691477399.25323701</v>
      </c>
      <c r="O29" s="3">
        <f>(O18)-(O20+O21+O22+O23+O24+O26+O28)</f>
        <v>773060594.56076431</v>
      </c>
      <c r="P29" s="3">
        <f>(P18)-(P20+P21+P22+P23+P24+P26+P28)</f>
        <v>850546553.22401392</v>
      </c>
      <c r="Q29" s="3">
        <f>(Q18)-(Q20+Q21+Q22+Q23+Q24+Q26+Q28)</f>
        <v>-121139479.92151773</v>
      </c>
      <c r="R29" s="3">
        <f>(R18)-(R20+R21+R22+R23+R24+R26+R28)</f>
        <v>0</v>
      </c>
    </row>
    <row r="30" spans="1:18" x14ac:dyDescent="0.45">
      <c r="A30" s="2" t="s">
        <v>19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f>(L29*0.35)-32000000</f>
        <v>165826881.82909092</v>
      </c>
      <c r="L30" s="3">
        <f>(M29*0.35)-32000000</f>
        <v>188498040.76244944</v>
      </c>
      <c r="M30" s="3">
        <f>(N29*0.35)-32000000</f>
        <v>210017089.73863295</v>
      </c>
      <c r="N30" s="3">
        <f>(O29*0.35)-32000000</f>
        <v>238571208.09626752</v>
      </c>
      <c r="O30" s="3">
        <f>(P29*0.35)-32000000</f>
        <v>265691293.62840486</v>
      </c>
      <c r="P30" s="3">
        <v>0</v>
      </c>
      <c r="Q30" s="3">
        <v>0</v>
      </c>
    </row>
    <row r="31" spans="1:18" x14ac:dyDescent="0.45">
      <c r="A31" s="5" t="s">
        <v>18</v>
      </c>
      <c r="B31" s="3">
        <f>B29-B30</f>
        <v>-53819100</v>
      </c>
      <c r="C31" s="3">
        <f>C29-C30</f>
        <v>-74803890</v>
      </c>
      <c r="D31" s="3">
        <f>D29-D30</f>
        <v>-81173250</v>
      </c>
      <c r="E31" s="3">
        <f>E29-E30</f>
        <v>5101368</v>
      </c>
      <c r="F31" s="3">
        <f>F29-F30</f>
        <v>92794873.5</v>
      </c>
      <c r="G31" s="3">
        <f>G29-G30</f>
        <v>172190167.375</v>
      </c>
      <c r="H31" s="3">
        <f>H29-H30</f>
        <v>246330024.18374997</v>
      </c>
      <c r="I31" s="3">
        <f>I29-I30</f>
        <v>351208786.2601375</v>
      </c>
      <c r="J31" s="3">
        <f>J29-J30</f>
        <v>425820647.53636038</v>
      </c>
      <c r="K31" s="3">
        <f>K29-K30</f>
        <v>331332765.25619996</v>
      </c>
      <c r="L31" s="3">
        <f>L29-L30</f>
        <v>376721621.60638183</v>
      </c>
      <c r="M31" s="3">
        <f>M29-M30</f>
        <v>419977312.43979406</v>
      </c>
      <c r="N31" s="3">
        <f>N29-N30</f>
        <v>452906191.15696949</v>
      </c>
      <c r="O31" s="3">
        <f>O29-O30</f>
        <v>507369300.93235946</v>
      </c>
      <c r="P31" s="3">
        <f>P29-P30</f>
        <v>850546553.22401392</v>
      </c>
      <c r="Q31" s="3">
        <f>Q29-Q30</f>
        <v>-121139479.92151773</v>
      </c>
    </row>
    <row r="32" spans="1:18" x14ac:dyDescent="0.45">
      <c r="A32" s="2" t="s">
        <v>17</v>
      </c>
      <c r="B32" s="3">
        <v>371000</v>
      </c>
      <c r="C32" s="3">
        <v>500000</v>
      </c>
      <c r="D32" s="3">
        <v>1000000</v>
      </c>
      <c r="E32">
        <f>E16*0.2</f>
        <v>32171520</v>
      </c>
      <c r="F32">
        <f>F16*0.2</f>
        <v>64363520</v>
      </c>
      <c r="G32">
        <f>G16*0.2</f>
        <v>96576000</v>
      </c>
      <c r="H32">
        <f>H16*0.2</f>
        <v>128808960</v>
      </c>
      <c r="I32">
        <f>I16*0.2</f>
        <v>161062400</v>
      </c>
      <c r="J32">
        <f>J16*0.2</f>
        <v>193336320</v>
      </c>
      <c r="K32">
        <f>K16*0.2</f>
        <v>225630720</v>
      </c>
      <c r="L32">
        <f>L16*0.2</f>
        <v>257945600</v>
      </c>
      <c r="M32">
        <f>M16*0.2</f>
        <v>290280960</v>
      </c>
      <c r="N32">
        <f>N16*0.2</f>
        <v>322636800</v>
      </c>
      <c r="O32">
        <f>O16*0.2</f>
        <v>363081600</v>
      </c>
      <c r="P32">
        <f>P16*0.2</f>
        <v>403552000</v>
      </c>
      <c r="Q32">
        <f>Q16*0.2</f>
        <v>83680000</v>
      </c>
    </row>
    <row r="33" spans="1:18" x14ac:dyDescent="0.45">
      <c r="A33" s="2" t="s">
        <v>16</v>
      </c>
      <c r="B33" s="3">
        <v>-7668000</v>
      </c>
      <c r="C33" s="3">
        <v>-7668000</v>
      </c>
      <c r="D33" s="3">
        <v>-7668000</v>
      </c>
      <c r="E33">
        <f>E16*0.25</f>
        <v>40214400</v>
      </c>
      <c r="F33">
        <f>F16*0.25</f>
        <v>80454400</v>
      </c>
      <c r="G33">
        <f>G16*0.25</f>
        <v>120719999.99999999</v>
      </c>
      <c r="H33">
        <f>H16*0.25</f>
        <v>161011200</v>
      </c>
      <c r="I33">
        <f>I16*0.25</f>
        <v>201328000</v>
      </c>
      <c r="J33">
        <f>J16*0.25</f>
        <v>241670399.99999997</v>
      </c>
      <c r="K33">
        <f>K16*0.25</f>
        <v>282038400</v>
      </c>
      <c r="L33">
        <f>L16*0.25</f>
        <v>322432000</v>
      </c>
      <c r="M33">
        <f>M16*0.25</f>
        <v>362851200</v>
      </c>
      <c r="N33">
        <f>N16*0.25</f>
        <v>403296000</v>
      </c>
      <c r="O33">
        <f>O16*0.25</f>
        <v>453852000</v>
      </c>
      <c r="P33">
        <f>P16*0.25</f>
        <v>504440000</v>
      </c>
      <c r="Q33">
        <f>Q16*0.25</f>
        <v>104600000</v>
      </c>
    </row>
    <row r="34" spans="1:18" x14ac:dyDescent="0.45">
      <c r="A34" s="2" t="s">
        <v>15</v>
      </c>
      <c r="B34" s="3">
        <v>0</v>
      </c>
      <c r="C34" s="3">
        <f>C33-B33</f>
        <v>0</v>
      </c>
      <c r="D34" s="3">
        <f>D33-C33</f>
        <v>0</v>
      </c>
      <c r="E34" s="3">
        <f>E33-D33</f>
        <v>47882400</v>
      </c>
      <c r="F34" s="3">
        <f>F33-E33</f>
        <v>40240000</v>
      </c>
      <c r="G34" s="3">
        <f>G33-F33</f>
        <v>40265599.999999985</v>
      </c>
      <c r="H34" s="3">
        <f>H33-G33</f>
        <v>40291200.000000015</v>
      </c>
      <c r="I34" s="3">
        <f>I33-H33</f>
        <v>40316800</v>
      </c>
      <c r="J34" s="3">
        <f>J33-I33</f>
        <v>40342399.99999997</v>
      </c>
      <c r="K34" s="3">
        <f>K33-J33</f>
        <v>40368000.00000003</v>
      </c>
      <c r="L34" s="3">
        <f>L33-K33</f>
        <v>40393600</v>
      </c>
      <c r="M34" s="3">
        <f>M33-L33</f>
        <v>40419200</v>
      </c>
      <c r="N34" s="3">
        <f>N33-M33</f>
        <v>40444800</v>
      </c>
      <c r="O34" s="3">
        <f>O33-N33</f>
        <v>50556000</v>
      </c>
      <c r="P34" s="3">
        <f>P33-O33</f>
        <v>50588000</v>
      </c>
      <c r="Q34" s="3">
        <f>Q33-P33</f>
        <v>-399840000</v>
      </c>
    </row>
    <row r="35" spans="1:18" x14ac:dyDescent="0.45">
      <c r="A35" s="5" t="s">
        <v>14</v>
      </c>
      <c r="B35" s="3">
        <f>(B31)+B26+B27+B28-B32-B34</f>
        <v>-53371000</v>
      </c>
      <c r="C35" s="3">
        <f>(C31)+C26+C27+C28-C32-C34</f>
        <v>-68662790</v>
      </c>
      <c r="D35" s="3">
        <f>(D31)+D26+D27+D28-D32-D34</f>
        <v>-75432150</v>
      </c>
      <c r="E35" s="3">
        <f>(E31)+E26+E27+E28-E32-E34</f>
        <v>-67517300</v>
      </c>
      <c r="F35" s="3">
        <f>(F31)+F26+F27+F28-F32-F34</f>
        <v>-1968042.5</v>
      </c>
      <c r="G35" s="3">
        <f>(G31)+G26+G27+G28-G32-G34</f>
        <v>54846771.375000015</v>
      </c>
      <c r="H35" s="3">
        <f>(H31)+H26+H27+H28-H32-H34</f>
        <v>109608964.18374996</v>
      </c>
      <c r="I35" s="3">
        <f>(I31)+I26+I27+I28-I32-I34</f>
        <v>198314926.2601375</v>
      </c>
      <c r="J35" s="3">
        <f>(J31)+J26+J27+J28-J32-J34</f>
        <v>259960899.53636041</v>
      </c>
      <c r="K35" s="3">
        <f>(K31)+K26+K27+K28-K32-K34</f>
        <v>155716089.25619993</v>
      </c>
      <c r="L35" s="3">
        <f>(L31)+L26+L27+L28-L32-L34</f>
        <v>194559025.60638183</v>
      </c>
      <c r="M35" s="3">
        <f>(M31)+M26+M27+M28-M32-M34</f>
        <v>234481852.43979406</v>
      </c>
      <c r="N35" s="3">
        <f>(N31)+N26+N27+N28-N32-N34</f>
        <v>267292971.15696955</v>
      </c>
      <c r="O35" s="3">
        <f>(O31)+O26+O27+O28-O32-O34</f>
        <v>307508240.93235946</v>
      </c>
      <c r="P35" s="3">
        <f>(P31)+P26+P27+P28-P32-P34</f>
        <v>650538293.22401381</v>
      </c>
      <c r="Q35" s="3">
        <f>(Q31)+Q26+Q27+Q28-Q32-Q34</f>
        <v>457520260.07848227</v>
      </c>
      <c r="R35" s="3"/>
    </row>
    <row r="36" spans="1:18" x14ac:dyDescent="0.45">
      <c r="A36" s="2" t="s">
        <v>13</v>
      </c>
      <c r="B36" s="4">
        <v>0.15</v>
      </c>
      <c r="C36" s="4">
        <v>0.15</v>
      </c>
      <c r="D36" s="4">
        <v>0.15</v>
      </c>
      <c r="E36" s="4">
        <v>0.15</v>
      </c>
      <c r="F36" s="4">
        <v>0.15</v>
      </c>
      <c r="G36" s="4">
        <v>0.15</v>
      </c>
      <c r="H36" s="4">
        <v>0.15</v>
      </c>
      <c r="I36" s="4">
        <v>0.15</v>
      </c>
      <c r="J36" s="4">
        <v>0.15</v>
      </c>
      <c r="K36" s="4">
        <v>0.15</v>
      </c>
      <c r="L36" s="4">
        <v>0.15</v>
      </c>
      <c r="M36" s="4">
        <v>0.15</v>
      </c>
      <c r="N36" s="4">
        <v>0.15</v>
      </c>
      <c r="O36" s="4">
        <v>0.15</v>
      </c>
      <c r="P36" s="4">
        <v>0.15</v>
      </c>
      <c r="Q36" s="4"/>
    </row>
    <row r="37" spans="1:18" x14ac:dyDescent="0.45">
      <c r="A37" s="2" t="s">
        <v>11</v>
      </c>
      <c r="B37">
        <f>(B35)/((1+B36)^0.67)</f>
        <v>-48600169.856846914</v>
      </c>
      <c r="C37">
        <f>(C35)/((1+C36)^1.67)</f>
        <v>-54369589.360856459</v>
      </c>
      <c r="D37">
        <f>(D35)/((1+D36)^2.67)</f>
        <v>-51938960.396561459</v>
      </c>
      <c r="E37">
        <f>(E35)/((1+E36)^3.67)</f>
        <v>-40425368.975070104</v>
      </c>
      <c r="F37">
        <f>(F35)/((1+F36)^4.67)</f>
        <v>-1024650.0329624943</v>
      </c>
      <c r="G37">
        <f>(G35)/((1+G36)^5.67)</f>
        <v>24831005.868623335</v>
      </c>
      <c r="H37">
        <f>(H35)/((1+H36)^6.67)</f>
        <v>43151060.985039562</v>
      </c>
      <c r="I37" s="1">
        <f>(I35)/((1+I36)^7.67)</f>
        <v>67889555.82889314</v>
      </c>
      <c r="J37" s="1">
        <f>(J35)/((1+J36)^8.67)</f>
        <v>77385172.533949837</v>
      </c>
      <c r="K37" s="1">
        <f>(K35)/((1+K36)^9.67)</f>
        <v>40307454.446767606</v>
      </c>
      <c r="L37" s="1">
        <f>(L35)/((1+L36)^10.67)</f>
        <v>43793073.49228254</v>
      </c>
      <c r="M37" s="1">
        <f>(M35)/((1+M36)^11.67)</f>
        <v>45895006.901970811</v>
      </c>
      <c r="N37" s="1">
        <f>(N35)/((1+N36)^12.67)</f>
        <v>45493138.718799807</v>
      </c>
      <c r="O37" s="1">
        <f>(O35)/((1+O36)^13.67)</f>
        <v>45511094.636546917</v>
      </c>
      <c r="P37" s="1">
        <f>(P35)/((1+P36)^14.67)</f>
        <v>83721219.923842475</v>
      </c>
      <c r="Q37" s="1"/>
    </row>
    <row r="38" spans="1:18" x14ac:dyDescent="0.45">
      <c r="A38" s="2" t="s">
        <v>12</v>
      </c>
      <c r="B38">
        <f>(Q35)/(P36+0.05)</f>
        <v>2287601300.3924112</v>
      </c>
    </row>
    <row r="39" spans="1:18" x14ac:dyDescent="0.45">
      <c r="A39" s="2" t="s">
        <v>11</v>
      </c>
      <c r="B39" s="1">
        <f>(B38)/(1+P36)^15.67</f>
        <v>256003071.76125336</v>
      </c>
    </row>
    <row r="40" spans="1:18" x14ac:dyDescent="0.45">
      <c r="A40" s="2" t="s">
        <v>10</v>
      </c>
      <c r="B40" s="1">
        <f>SUM(B37:P37)+B39</f>
        <v>577622116.47567189</v>
      </c>
    </row>
    <row r="41" spans="1:18" x14ac:dyDescent="0.45">
      <c r="A41" s="2" t="s">
        <v>9</v>
      </c>
      <c r="B41" s="3">
        <v>53000000</v>
      </c>
    </row>
    <row r="42" spans="1:18" x14ac:dyDescent="0.45">
      <c r="A42" s="2" t="s">
        <v>8</v>
      </c>
      <c r="B42" s="3">
        <v>15000000</v>
      </c>
    </row>
    <row r="43" spans="1:18" x14ac:dyDescent="0.45">
      <c r="A43" s="2" t="s">
        <v>7</v>
      </c>
      <c r="B43" s="3">
        <v>3769000</v>
      </c>
    </row>
    <row r="44" spans="1:18" x14ac:dyDescent="0.45">
      <c r="A44" s="2" t="s">
        <v>6</v>
      </c>
      <c r="B44" s="3">
        <v>4985000</v>
      </c>
    </row>
    <row r="45" spans="1:18" x14ac:dyDescent="0.45">
      <c r="A45" s="2" t="s">
        <v>5</v>
      </c>
      <c r="B45" s="3">
        <v>35000</v>
      </c>
    </row>
    <row r="46" spans="1:18" x14ac:dyDescent="0.45">
      <c r="A46" s="2" t="s">
        <v>4</v>
      </c>
      <c r="B46" s="3">
        <v>220000</v>
      </c>
    </row>
    <row r="47" spans="1:18" x14ac:dyDescent="0.45">
      <c r="A47" s="2" t="s">
        <v>3</v>
      </c>
      <c r="B47" s="3">
        <v>3800000</v>
      </c>
    </row>
    <row r="48" spans="1:18" x14ac:dyDescent="0.45">
      <c r="A48" s="2" t="s">
        <v>2</v>
      </c>
      <c r="B48" s="3">
        <f>(B40+B41)-(B42+B43+B44+B45+B46+B47)</f>
        <v>602813116.47567189</v>
      </c>
    </row>
    <row r="49" spans="1:2" x14ac:dyDescent="0.45">
      <c r="A49" s="2" t="s">
        <v>1</v>
      </c>
      <c r="B49" s="3">
        <v>18815689</v>
      </c>
    </row>
    <row r="50" spans="1:2" x14ac:dyDescent="0.45">
      <c r="A50" s="2" t="s">
        <v>0</v>
      </c>
      <c r="B50" s="1">
        <f>B48/B49</f>
        <v>32.0377912536539</v>
      </c>
    </row>
    <row r="54" spans="1:2" x14ac:dyDescent="0.45">
      <c r="B54" s="1"/>
    </row>
  </sheetData>
  <mergeCells count="1">
    <mergeCell ref="A1:A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Condensed Statements of Operati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Bhavneesh Sharma</dc:creator>
  <cp:lastModifiedBy>Bhavneesh Sharma</cp:lastModifiedBy>
  <dcterms:created xsi:type="dcterms:W3CDTF">2016-05-16T21:37:36Z</dcterms:created>
  <dcterms:modified xsi:type="dcterms:W3CDTF">2016-05-16T21:38:17Z</dcterms:modified>
</cp:coreProperties>
</file>