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 Rowland\Documents\Finance Files &amp; Personal History\Stock Analysis\2015\"/>
    </mc:Choice>
  </mc:AlternateContent>
  <bookViews>
    <workbookView xWindow="0" yWindow="0" windowWidth="20490" windowHeight="7365"/>
  </bookViews>
  <sheets>
    <sheet name="Investment Portfolio" sheetId="3" r:id="rId1"/>
    <sheet name="Balance Sheet - 1" sheetId="7" r:id="rId2"/>
    <sheet name="Income Statement - 1" sheetId="6" r:id="rId3"/>
    <sheet name="Balance Sheet - 2" sheetId="12" r:id="rId4"/>
    <sheet name="Income Statement - 2" sheetId="14" r:id="rId5"/>
    <sheet name="Balance Sheet - 3" sheetId="13" r:id="rId6"/>
    <sheet name="Income Statement - 3" sheetId="15" r:id="rId7"/>
  </sheets>
  <definedNames>
    <definedName name="_xlnm.Print_Area" localSheetId="1">'Balance Sheet - 1'!$A$1:$E$35</definedName>
    <definedName name="_xlnm.Print_Area" localSheetId="3">'Balance Sheet - 2'!$A$1:$E$35</definedName>
    <definedName name="_xlnm.Print_Area" localSheetId="5">'Balance Sheet - 3'!$A$1:$E$35</definedName>
    <definedName name="_xlnm.Print_Area" localSheetId="2">'Income Statement - 1'!$A$1:$E$23</definedName>
    <definedName name="_xlnm.Print_Area" localSheetId="4">'Income Statement - 2'!$A$1:$E$23</definedName>
    <definedName name="_xlnm.Print_Area" localSheetId="6">'Income Statement - 3'!$A$1:$E$23</definedName>
    <definedName name="_xlnm.Print_Area" localSheetId="0">'Investment Portfolio'!$A$1:$S$48</definedName>
  </definedNames>
  <calcPr calcId="152511"/>
</workbook>
</file>

<file path=xl/calcChain.xml><?xml version="1.0" encoding="utf-8"?>
<calcChain xmlns="http://schemas.openxmlformats.org/spreadsheetml/2006/main">
  <c r="H8" i="14" l="1"/>
  <c r="H11" i="14" s="1"/>
  <c r="H14" i="14" s="1"/>
  <c r="G8" i="14"/>
  <c r="G11" i="14" s="1"/>
  <c r="G14" i="14" s="1"/>
  <c r="F8" i="14"/>
  <c r="F11" i="14" s="1"/>
  <c r="F14" i="14" s="1"/>
  <c r="E8" i="14"/>
  <c r="E11" i="14" s="1"/>
  <c r="E14" i="14" s="1"/>
  <c r="B22" i="12"/>
  <c r="B18" i="12"/>
  <c r="B12" i="12"/>
  <c r="B9" i="12"/>
  <c r="B6" i="12"/>
  <c r="H22" i="12"/>
  <c r="H18" i="12"/>
  <c r="H12" i="12"/>
  <c r="H9" i="12"/>
  <c r="H6" i="12"/>
  <c r="G12" i="12"/>
  <c r="G9" i="12"/>
  <c r="G6" i="12"/>
  <c r="G22" i="12"/>
  <c r="G18" i="12"/>
  <c r="G19" i="12"/>
  <c r="C18" i="12"/>
  <c r="F18" i="12"/>
  <c r="E18" i="12"/>
  <c r="D18" i="12"/>
  <c r="F9" i="12"/>
  <c r="E9" i="12"/>
  <c r="F6" i="12"/>
  <c r="F10" i="12" s="1"/>
  <c r="F12" i="12" s="1"/>
  <c r="E6" i="12"/>
  <c r="E10" i="12" s="1"/>
  <c r="E12" i="12" s="1"/>
  <c r="D6" i="12"/>
  <c r="D9" i="12" s="1"/>
  <c r="C6" i="12"/>
  <c r="C9" i="12" s="1"/>
  <c r="B10" i="6"/>
  <c r="H10" i="6"/>
  <c r="G10" i="6"/>
  <c r="F10" i="6"/>
  <c r="E10" i="6"/>
  <c r="D10" i="6"/>
  <c r="C10" i="6"/>
  <c r="H8" i="6"/>
  <c r="H11" i="6" s="1"/>
  <c r="H14" i="6" s="1"/>
  <c r="G8" i="6"/>
  <c r="G11" i="6" s="1"/>
  <c r="G14" i="6" s="1"/>
  <c r="F8" i="6"/>
  <c r="F11" i="6" s="1"/>
  <c r="F14" i="6" s="1"/>
  <c r="E8" i="6"/>
  <c r="E11" i="6" s="1"/>
  <c r="E14" i="6" s="1"/>
  <c r="D8" i="6"/>
  <c r="D11" i="6" s="1"/>
  <c r="D14" i="6" s="1"/>
  <c r="C8" i="6"/>
  <c r="C11" i="6" s="1"/>
  <c r="C14" i="6" s="1"/>
  <c r="B18" i="7"/>
  <c r="B12" i="7"/>
  <c r="B6" i="7"/>
  <c r="D22" i="7"/>
  <c r="H18" i="7"/>
  <c r="E18" i="7"/>
  <c r="G18" i="7"/>
  <c r="F18" i="7"/>
  <c r="D18" i="7"/>
  <c r="C18" i="7"/>
  <c r="F9" i="7"/>
  <c r="D9" i="7"/>
  <c r="H6" i="7"/>
  <c r="H10" i="7" s="1"/>
  <c r="H12" i="7" s="1"/>
  <c r="G6" i="7"/>
  <c r="G9" i="7" s="1"/>
  <c r="F6" i="7"/>
  <c r="F10" i="7" s="1"/>
  <c r="F12" i="7" s="1"/>
  <c r="E6" i="7"/>
  <c r="D6" i="7"/>
  <c r="D10" i="7" s="1"/>
  <c r="D12" i="7" s="1"/>
  <c r="C6" i="7"/>
  <c r="C10" i="7" s="1"/>
  <c r="C12" i="7" s="1"/>
  <c r="C10" i="12" l="1"/>
  <c r="C12" i="12" s="1"/>
  <c r="G10" i="12"/>
  <c r="D10" i="12"/>
  <c r="D12" i="12" s="1"/>
  <c r="H10" i="12"/>
  <c r="G10" i="7"/>
  <c r="G12" i="7" s="1"/>
  <c r="E9" i="7"/>
  <c r="E10" i="7" s="1"/>
  <c r="E12" i="7" s="1"/>
  <c r="R31" i="3" l="1"/>
  <c r="Q31" i="3"/>
  <c r="B27" i="15"/>
  <c r="H13" i="15"/>
  <c r="G13" i="15"/>
  <c r="G10" i="15"/>
  <c r="F13" i="15"/>
  <c r="E13" i="15"/>
  <c r="D13" i="15"/>
  <c r="C13" i="15"/>
  <c r="B13" i="15"/>
  <c r="H22" i="13"/>
  <c r="H18" i="13"/>
  <c r="H12" i="13"/>
  <c r="H9" i="13"/>
  <c r="G22" i="13"/>
  <c r="G18" i="13"/>
  <c r="G12" i="13"/>
  <c r="G9" i="13"/>
  <c r="F22" i="13"/>
  <c r="F18" i="13"/>
  <c r="F12" i="13"/>
  <c r="F9" i="13"/>
  <c r="E22" i="13"/>
  <c r="E18" i="13"/>
  <c r="E12" i="13"/>
  <c r="E9" i="13"/>
  <c r="D22" i="13"/>
  <c r="D18" i="13"/>
  <c r="D12" i="13"/>
  <c r="D9" i="13"/>
  <c r="C22" i="13"/>
  <c r="C18" i="13"/>
  <c r="C12" i="13"/>
  <c r="C9" i="13"/>
  <c r="B22" i="13"/>
  <c r="B18" i="13"/>
  <c r="B12" i="13"/>
  <c r="B9" i="13"/>
  <c r="B6" i="13"/>
  <c r="H8" i="15" l="1"/>
  <c r="H11" i="15" s="1"/>
  <c r="G8" i="15"/>
  <c r="F8" i="15"/>
  <c r="F11" i="15" s="1"/>
  <c r="E8" i="15"/>
  <c r="E11" i="15" s="1"/>
  <c r="D8" i="15"/>
  <c r="D11" i="15" s="1"/>
  <c r="C8" i="15"/>
  <c r="C11" i="15" s="1"/>
  <c r="D19" i="13"/>
  <c r="F10" i="13"/>
  <c r="E10" i="13"/>
  <c r="G11" i="15" l="1"/>
  <c r="G14" i="15" s="1"/>
  <c r="G18" i="15" s="1"/>
  <c r="C14" i="15"/>
  <c r="C18" i="15" s="1"/>
  <c r="D14" i="15"/>
  <c r="D18" i="15" s="1"/>
  <c r="H14" i="15"/>
  <c r="H18" i="15" s="1"/>
  <c r="E14" i="15"/>
  <c r="E18" i="15" s="1"/>
  <c r="F14" i="15"/>
  <c r="F18" i="15" s="1"/>
  <c r="C10" i="13"/>
  <c r="G10" i="13"/>
  <c r="H10" i="13"/>
  <c r="D10" i="13"/>
  <c r="B32" i="3" l="1"/>
  <c r="B39" i="3"/>
  <c r="B12" i="3"/>
  <c r="B41" i="7"/>
  <c r="M35" i="3"/>
  <c r="M38" i="3"/>
  <c r="S38" i="3"/>
  <c r="S35" i="3"/>
  <c r="S13" i="3"/>
  <c r="M13" i="3"/>
  <c r="M14" i="3"/>
  <c r="G39" i="3"/>
  <c r="G38" i="3"/>
  <c r="G35" i="3"/>
  <c r="G13" i="3"/>
  <c r="G12" i="3"/>
  <c r="G14" i="3" s="1"/>
  <c r="H28" i="15"/>
  <c r="H32" i="13"/>
  <c r="H19" i="13"/>
  <c r="H28" i="14"/>
  <c r="H18" i="14"/>
  <c r="H37" i="12" s="1"/>
  <c r="H32" i="12"/>
  <c r="H19" i="12"/>
  <c r="H32" i="7"/>
  <c r="H19" i="7"/>
  <c r="H22" i="7" s="1"/>
  <c r="H28" i="6"/>
  <c r="H18" i="6"/>
  <c r="H37" i="7" s="1"/>
  <c r="S14" i="3" l="1"/>
  <c r="H38" i="13"/>
  <c r="H13" i="13"/>
  <c r="H21" i="14"/>
  <c r="H20" i="14"/>
  <c r="H13" i="12"/>
  <c r="H38" i="12"/>
  <c r="H13" i="7"/>
  <c r="H21" i="6"/>
  <c r="H20" i="6"/>
  <c r="N12" i="3"/>
  <c r="F39" i="3"/>
  <c r="E39" i="3"/>
  <c r="D39" i="3"/>
  <c r="C39" i="3"/>
  <c r="F12" i="3"/>
  <c r="E12" i="3"/>
  <c r="D12" i="3"/>
  <c r="C12" i="3"/>
  <c r="H23" i="12" l="1"/>
  <c r="H27" i="12" s="1"/>
  <c r="H28" i="12" s="1"/>
  <c r="H23" i="7"/>
  <c r="H27" i="7" s="1"/>
  <c r="H28" i="7" s="1"/>
  <c r="H38" i="7"/>
  <c r="H37" i="13"/>
  <c r="H23" i="13"/>
  <c r="H27" i="13" s="1"/>
  <c r="H28" i="13" s="1"/>
  <c r="H21" i="15"/>
  <c r="H20" i="15"/>
  <c r="B38" i="3" l="1"/>
  <c r="C38" i="3"/>
  <c r="D38" i="3"/>
  <c r="E38" i="3"/>
  <c r="F38" i="3"/>
  <c r="H38" i="3"/>
  <c r="I38" i="3"/>
  <c r="J38" i="3"/>
  <c r="K38" i="3"/>
  <c r="L38" i="3"/>
  <c r="N38" i="3"/>
  <c r="O38" i="3"/>
  <c r="P38" i="3"/>
  <c r="Q38" i="3"/>
  <c r="R38" i="3"/>
  <c r="G19" i="13" l="1"/>
  <c r="F19" i="13"/>
  <c r="E19" i="13"/>
  <c r="C19" i="13"/>
  <c r="B19" i="13"/>
  <c r="B38" i="13" s="1"/>
  <c r="F19" i="12"/>
  <c r="E19" i="12"/>
  <c r="D19" i="12"/>
  <c r="C19" i="12"/>
  <c r="B19" i="12"/>
  <c r="B38" i="12" s="1"/>
  <c r="G19" i="7"/>
  <c r="F19" i="7"/>
  <c r="E19" i="7"/>
  <c r="E38" i="7" s="1"/>
  <c r="D19" i="7"/>
  <c r="D38" i="7" s="1"/>
  <c r="C19" i="7"/>
  <c r="C38" i="7" s="1"/>
  <c r="B19" i="7"/>
  <c r="B38" i="7" s="1"/>
  <c r="B13" i="3"/>
  <c r="B14" i="3" s="1"/>
  <c r="C13" i="3"/>
  <c r="C14" i="3" s="1"/>
  <c r="D13" i="3"/>
  <c r="D14" i="3" s="1"/>
  <c r="E13" i="3"/>
  <c r="E14" i="3" s="1"/>
  <c r="F13" i="3"/>
  <c r="F14" i="3" s="1"/>
  <c r="G38" i="12" l="1"/>
  <c r="F22" i="12"/>
  <c r="F38" i="12" s="1"/>
  <c r="E22" i="12"/>
  <c r="E38" i="12" s="1"/>
  <c r="D22" i="12"/>
  <c r="D38" i="12" s="1"/>
  <c r="C22" i="12"/>
  <c r="C38" i="12" s="1"/>
  <c r="G38" i="7"/>
  <c r="G22" i="7"/>
  <c r="F22" i="7"/>
  <c r="F38" i="7" s="1"/>
  <c r="E38" i="13"/>
  <c r="F38" i="13"/>
  <c r="G38" i="13"/>
  <c r="D38" i="13"/>
  <c r="C38" i="13"/>
  <c r="S20" i="3"/>
  <c r="R20" i="3"/>
  <c r="Q20" i="3"/>
  <c r="P20" i="3"/>
  <c r="O20" i="3"/>
  <c r="N20" i="3"/>
  <c r="M20" i="3"/>
  <c r="L20" i="3"/>
  <c r="K20" i="3"/>
  <c r="J20" i="3"/>
  <c r="I20" i="3"/>
  <c r="H20" i="3"/>
  <c r="R13" i="3"/>
  <c r="R14" i="3" s="1"/>
  <c r="Q13" i="3"/>
  <c r="Q14" i="3" s="1"/>
  <c r="P13" i="3"/>
  <c r="P14" i="3" s="1"/>
  <c r="O13" i="3"/>
  <c r="O14" i="3" s="1"/>
  <c r="N13" i="3"/>
  <c r="N14" i="3" s="1"/>
  <c r="L13" i="3"/>
  <c r="L14" i="3" s="1"/>
  <c r="K13" i="3"/>
  <c r="K14" i="3" s="1"/>
  <c r="J13" i="3"/>
  <c r="J14" i="3" s="1"/>
  <c r="I13" i="3"/>
  <c r="I14" i="3" s="1"/>
  <c r="H13" i="3"/>
  <c r="H14" i="3" s="1"/>
  <c r="G20" i="3"/>
  <c r="F20" i="3"/>
  <c r="E20" i="3"/>
  <c r="D20" i="3"/>
  <c r="C20" i="3"/>
  <c r="B20" i="3"/>
  <c r="C23" i="13" l="1"/>
  <c r="R35" i="3"/>
  <c r="Q35" i="3"/>
  <c r="P35" i="3"/>
  <c r="O35" i="3"/>
  <c r="N35" i="3"/>
  <c r="R5" i="3"/>
  <c r="N32" i="3"/>
  <c r="H32" i="3"/>
  <c r="L35" i="3"/>
  <c r="K35" i="3"/>
  <c r="J35" i="3"/>
  <c r="I35" i="3"/>
  <c r="H35" i="3"/>
  <c r="J27" i="3"/>
  <c r="F35" i="3"/>
  <c r="E35" i="3"/>
  <c r="D35" i="3"/>
  <c r="C35" i="3"/>
  <c r="G32" i="3"/>
  <c r="F32" i="3"/>
  <c r="E32" i="3"/>
  <c r="D32" i="3"/>
  <c r="C32" i="3"/>
  <c r="G28" i="15"/>
  <c r="S28" i="3" s="1"/>
  <c r="F28" i="15"/>
  <c r="R28" i="3" s="1"/>
  <c r="E28" i="15"/>
  <c r="D28" i="15"/>
  <c r="P28" i="3" s="1"/>
  <c r="C28" i="15"/>
  <c r="O28" i="3" s="1"/>
  <c r="B28" i="15"/>
  <c r="N28" i="3" s="1"/>
  <c r="F37" i="13"/>
  <c r="R8" i="3" s="1"/>
  <c r="B8" i="15"/>
  <c r="B11" i="15" s="1"/>
  <c r="B14" i="15" s="1"/>
  <c r="B18" i="15" s="1"/>
  <c r="G28" i="14"/>
  <c r="M28" i="3" s="1"/>
  <c r="F28" i="14"/>
  <c r="E28" i="14"/>
  <c r="K28" i="3" s="1"/>
  <c r="D28" i="14"/>
  <c r="J28" i="3" s="1"/>
  <c r="C28" i="14"/>
  <c r="I28" i="3" s="1"/>
  <c r="B28" i="14"/>
  <c r="H28" i="3" s="1"/>
  <c r="K5" i="3"/>
  <c r="D8" i="14"/>
  <c r="D11" i="14" s="1"/>
  <c r="D14" i="14" s="1"/>
  <c r="C8" i="14"/>
  <c r="C11" i="14" s="1"/>
  <c r="B8" i="14"/>
  <c r="H5" i="3" s="1"/>
  <c r="E32" i="13"/>
  <c r="Q29" i="3" s="1"/>
  <c r="Q30" i="3" s="1"/>
  <c r="G32" i="13"/>
  <c r="S29" i="3" s="1"/>
  <c r="S30" i="3" s="1"/>
  <c r="F32" i="13"/>
  <c r="R29" i="3" s="1"/>
  <c r="R30" i="3" s="1"/>
  <c r="D32" i="13"/>
  <c r="C32" i="13"/>
  <c r="O29" i="3" s="1"/>
  <c r="O30" i="3" s="1"/>
  <c r="B32" i="13"/>
  <c r="N29" i="3" s="1"/>
  <c r="N30" i="3" s="1"/>
  <c r="R27" i="3"/>
  <c r="S27" i="3"/>
  <c r="Q27" i="3"/>
  <c r="O27" i="3"/>
  <c r="G32" i="12"/>
  <c r="M29" i="3" s="1"/>
  <c r="M30" i="3" s="1"/>
  <c r="F32" i="12"/>
  <c r="L29" i="3" s="1"/>
  <c r="L30" i="3" s="1"/>
  <c r="E32" i="12"/>
  <c r="K29" i="3" s="1"/>
  <c r="K30" i="3" s="1"/>
  <c r="D32" i="12"/>
  <c r="C32" i="12"/>
  <c r="B32" i="12"/>
  <c r="H29" i="3" s="1"/>
  <c r="H30" i="3" s="1"/>
  <c r="I27" i="3"/>
  <c r="G28" i="6"/>
  <c r="G28" i="3" s="1"/>
  <c r="F28" i="6"/>
  <c r="F28" i="3" s="1"/>
  <c r="F5" i="3"/>
  <c r="G32" i="7"/>
  <c r="G29" i="3" s="1"/>
  <c r="G30" i="3" s="1"/>
  <c r="F32" i="7"/>
  <c r="F29" i="3" s="1"/>
  <c r="F30" i="3" s="1"/>
  <c r="S32" i="3"/>
  <c r="R32" i="3"/>
  <c r="E28" i="6"/>
  <c r="E28" i="3" s="1"/>
  <c r="D28" i="6"/>
  <c r="D28" i="3" s="1"/>
  <c r="C28" i="6"/>
  <c r="C28" i="3" s="1"/>
  <c r="B28" i="6"/>
  <c r="B28" i="3" s="1"/>
  <c r="C32" i="7"/>
  <c r="B32" i="7"/>
  <c r="B29" i="3" s="1"/>
  <c r="B30" i="3" s="1"/>
  <c r="E27" i="3"/>
  <c r="C27" i="3"/>
  <c r="E32" i="7"/>
  <c r="E29" i="3" s="1"/>
  <c r="E30" i="3" s="1"/>
  <c r="D32" i="7"/>
  <c r="B27" i="3"/>
  <c r="D37" i="12" l="1"/>
  <c r="J8" i="3" s="1"/>
  <c r="D20" i="15"/>
  <c r="D37" i="13"/>
  <c r="P8" i="3" s="1"/>
  <c r="B37" i="13"/>
  <c r="N8" i="3" s="1"/>
  <c r="B20" i="15"/>
  <c r="R10" i="3"/>
  <c r="P6" i="3"/>
  <c r="P21" i="3"/>
  <c r="N5" i="3"/>
  <c r="F18" i="14"/>
  <c r="D18" i="14"/>
  <c r="J21" i="3" s="1"/>
  <c r="J29" i="3"/>
  <c r="J30" i="3" s="1"/>
  <c r="F23" i="7"/>
  <c r="G5" i="3"/>
  <c r="G23" i="7"/>
  <c r="K27" i="3"/>
  <c r="Q5" i="3"/>
  <c r="D29" i="3"/>
  <c r="D30" i="3" s="1"/>
  <c r="P27" i="3"/>
  <c r="I5" i="3"/>
  <c r="N27" i="3"/>
  <c r="C14" i="14"/>
  <c r="I6" i="3"/>
  <c r="M5" i="3"/>
  <c r="Q28" i="3"/>
  <c r="D27" i="3"/>
  <c r="G23" i="12"/>
  <c r="P29" i="3"/>
  <c r="P30" i="3" s="1"/>
  <c r="L28" i="3"/>
  <c r="P10" i="3"/>
  <c r="F6" i="3"/>
  <c r="F13" i="12"/>
  <c r="B23" i="12"/>
  <c r="G23" i="13"/>
  <c r="B11" i="14"/>
  <c r="C29" i="3"/>
  <c r="C30" i="3" s="1"/>
  <c r="I29" i="3"/>
  <c r="I30" i="3" s="1"/>
  <c r="J5" i="3"/>
  <c r="O5" i="3"/>
  <c r="S5" i="3"/>
  <c r="F27" i="3"/>
  <c r="H27" i="3"/>
  <c r="L27" i="3"/>
  <c r="J6" i="3"/>
  <c r="P5" i="3"/>
  <c r="N6" i="3"/>
  <c r="R6" i="3"/>
  <c r="P7" i="3"/>
  <c r="D21" i="15"/>
  <c r="G27" i="3"/>
  <c r="M27" i="3"/>
  <c r="O6" i="3"/>
  <c r="S6" i="3"/>
  <c r="L6" i="3"/>
  <c r="L5" i="3"/>
  <c r="B10" i="13"/>
  <c r="B10" i="12"/>
  <c r="F23" i="13"/>
  <c r="E23" i="13"/>
  <c r="D23" i="13"/>
  <c r="F23" i="12"/>
  <c r="E23" i="12"/>
  <c r="D23" i="12"/>
  <c r="C23" i="12"/>
  <c r="F20" i="14" l="1"/>
  <c r="F37" i="12"/>
  <c r="L8" i="3" s="1"/>
  <c r="C18" i="14"/>
  <c r="I21" i="3" s="1"/>
  <c r="C37" i="12"/>
  <c r="I8" i="3" s="1"/>
  <c r="G37" i="13"/>
  <c r="S8" i="3" s="1"/>
  <c r="R21" i="3"/>
  <c r="C21" i="15"/>
  <c r="C37" i="13"/>
  <c r="O8" i="3" s="1"/>
  <c r="P24" i="3"/>
  <c r="P25" i="3" s="1"/>
  <c r="B13" i="13"/>
  <c r="N19" i="3" s="1"/>
  <c r="N21" i="3"/>
  <c r="B21" i="15"/>
  <c r="N10" i="3"/>
  <c r="N7" i="3"/>
  <c r="S21" i="3"/>
  <c r="R7" i="3"/>
  <c r="F21" i="15"/>
  <c r="F20" i="15"/>
  <c r="F21" i="14"/>
  <c r="L21" i="3"/>
  <c r="L10" i="3"/>
  <c r="L7" i="3"/>
  <c r="J7" i="3"/>
  <c r="D20" i="14"/>
  <c r="D21" i="14"/>
  <c r="J10" i="3"/>
  <c r="G18" i="6"/>
  <c r="G7" i="3" s="1"/>
  <c r="G6" i="3"/>
  <c r="S17" i="3"/>
  <c r="G13" i="13"/>
  <c r="R17" i="3"/>
  <c r="F13" i="13"/>
  <c r="B23" i="13"/>
  <c r="G27" i="7"/>
  <c r="M17" i="3"/>
  <c r="G13" i="12"/>
  <c r="G27" i="12"/>
  <c r="E27" i="12"/>
  <c r="F27" i="12"/>
  <c r="F28" i="12" s="1"/>
  <c r="L18" i="3"/>
  <c r="G27" i="13"/>
  <c r="F27" i="7"/>
  <c r="B27" i="12"/>
  <c r="D27" i="13"/>
  <c r="E27" i="13"/>
  <c r="O17" i="3"/>
  <c r="L17" i="3"/>
  <c r="G18" i="14"/>
  <c r="M6" i="3"/>
  <c r="J17" i="3"/>
  <c r="C27" i="13"/>
  <c r="F27" i="13"/>
  <c r="B13" i="12"/>
  <c r="H17" i="3"/>
  <c r="O21" i="3"/>
  <c r="Q6" i="3"/>
  <c r="C27" i="12"/>
  <c r="L19" i="3"/>
  <c r="D27" i="12"/>
  <c r="Q17" i="3"/>
  <c r="I17" i="3"/>
  <c r="E18" i="14"/>
  <c r="E37" i="12" s="1"/>
  <c r="K8" i="3" s="1"/>
  <c r="K6" i="3"/>
  <c r="C21" i="14"/>
  <c r="I10" i="3"/>
  <c r="K17" i="3"/>
  <c r="C13" i="12"/>
  <c r="P17" i="3"/>
  <c r="C13" i="13"/>
  <c r="N17" i="3"/>
  <c r="B14" i="14"/>
  <c r="H6" i="3"/>
  <c r="G17" i="3"/>
  <c r="F17" i="3"/>
  <c r="E13" i="13"/>
  <c r="D13" i="13"/>
  <c r="E13" i="12"/>
  <c r="D13" i="12"/>
  <c r="G13" i="7"/>
  <c r="F13" i="7"/>
  <c r="B35" i="3"/>
  <c r="G37" i="12" l="1"/>
  <c r="M8" i="3" s="1"/>
  <c r="M10" i="3"/>
  <c r="C20" i="14"/>
  <c r="I7" i="3"/>
  <c r="L24" i="3"/>
  <c r="L25" i="3" s="1"/>
  <c r="I24" i="3"/>
  <c r="I25" i="3" s="1"/>
  <c r="I37" i="3"/>
  <c r="J24" i="3"/>
  <c r="J25" i="3" s="1"/>
  <c r="M15" i="3"/>
  <c r="M9" i="3"/>
  <c r="B18" i="14"/>
  <c r="B37" i="12" s="1"/>
  <c r="H8" i="3" s="1"/>
  <c r="G20" i="6"/>
  <c r="G37" i="7"/>
  <c r="G8" i="3" s="1"/>
  <c r="G10" i="3"/>
  <c r="G9" i="3"/>
  <c r="G15" i="3"/>
  <c r="E37" i="13"/>
  <c r="Q8" i="3" s="1"/>
  <c r="O10" i="3"/>
  <c r="O7" i="3"/>
  <c r="C20" i="15"/>
  <c r="G20" i="15"/>
  <c r="S10" i="3"/>
  <c r="S7" i="3"/>
  <c r="G21" i="15"/>
  <c r="S24" i="3" s="1"/>
  <c r="S25" i="3" s="1"/>
  <c r="R24" i="3"/>
  <c r="R25" i="3" s="1"/>
  <c r="O24" i="3"/>
  <c r="O25" i="3" s="1"/>
  <c r="O37" i="3"/>
  <c r="N37" i="3"/>
  <c r="S15" i="3"/>
  <c r="S9" i="3"/>
  <c r="N24" i="3"/>
  <c r="N25" i="3" s="1"/>
  <c r="C28" i="13"/>
  <c r="S18" i="3"/>
  <c r="Q18" i="3"/>
  <c r="P18" i="3"/>
  <c r="L15" i="3"/>
  <c r="M18" i="3"/>
  <c r="I18" i="3"/>
  <c r="K18" i="3"/>
  <c r="C28" i="12"/>
  <c r="B28" i="12"/>
  <c r="H18" i="3"/>
  <c r="G21" i="6"/>
  <c r="G21" i="3"/>
  <c r="F18" i="6"/>
  <c r="R15" i="3"/>
  <c r="R19" i="3"/>
  <c r="R9" i="3"/>
  <c r="R18" i="3"/>
  <c r="F28" i="13"/>
  <c r="D28" i="12"/>
  <c r="J15" i="3"/>
  <c r="J19" i="3"/>
  <c r="J9" i="3"/>
  <c r="G28" i="7"/>
  <c r="G19" i="3"/>
  <c r="O15" i="3"/>
  <c r="O19" i="3"/>
  <c r="N15" i="3"/>
  <c r="G28" i="13"/>
  <c r="S19" i="3"/>
  <c r="E28" i="13"/>
  <c r="Q19" i="3"/>
  <c r="Q15" i="3"/>
  <c r="J18" i="3"/>
  <c r="O9" i="3"/>
  <c r="G21" i="14"/>
  <c r="L37" i="3" s="1"/>
  <c r="G20" i="14"/>
  <c r="M21" i="3"/>
  <c r="M7" i="3"/>
  <c r="I9" i="3"/>
  <c r="E20" i="14"/>
  <c r="E21" i="14"/>
  <c r="J37" i="3" s="1"/>
  <c r="K10" i="3"/>
  <c r="K9" i="3"/>
  <c r="K21" i="3"/>
  <c r="K7" i="3"/>
  <c r="E21" i="15"/>
  <c r="Q7" i="3"/>
  <c r="E20" i="15"/>
  <c r="Q10" i="3"/>
  <c r="Q21" i="3"/>
  <c r="Q9" i="3"/>
  <c r="N9" i="3"/>
  <c r="B27" i="13"/>
  <c r="B28" i="13" s="1"/>
  <c r="N18" i="3"/>
  <c r="F28" i="7"/>
  <c r="F19" i="3"/>
  <c r="F15" i="3"/>
  <c r="E28" i="12"/>
  <c r="K15" i="3"/>
  <c r="K19" i="3"/>
  <c r="D28" i="13"/>
  <c r="P15" i="3"/>
  <c r="P19" i="3"/>
  <c r="P9" i="3"/>
  <c r="I15" i="3"/>
  <c r="I19" i="3"/>
  <c r="H15" i="3"/>
  <c r="H19" i="3"/>
  <c r="O18" i="3"/>
  <c r="F18" i="3"/>
  <c r="G28" i="12"/>
  <c r="M19" i="3"/>
  <c r="G18" i="3"/>
  <c r="L9" i="3"/>
  <c r="B8" i="6"/>
  <c r="B23" i="7"/>
  <c r="B27" i="7" s="1"/>
  <c r="B10" i="7"/>
  <c r="Q32" i="3"/>
  <c r="P32" i="3"/>
  <c r="O32" i="3"/>
  <c r="M32" i="3"/>
  <c r="L32" i="3"/>
  <c r="K32" i="3"/>
  <c r="J32" i="3"/>
  <c r="I32" i="3"/>
  <c r="B20" i="14" l="1"/>
  <c r="H21" i="3"/>
  <c r="M24" i="3"/>
  <c r="M37" i="3"/>
  <c r="K24" i="3"/>
  <c r="K25" i="3" s="1"/>
  <c r="K37" i="3"/>
  <c r="H9" i="3"/>
  <c r="H10" i="3"/>
  <c r="H7" i="3"/>
  <c r="B21" i="14"/>
  <c r="H24" i="3" s="1"/>
  <c r="H25" i="3" s="1"/>
  <c r="F20" i="6"/>
  <c r="F37" i="7"/>
  <c r="F8" i="3" s="1"/>
  <c r="G24" i="3"/>
  <c r="G25" i="3" s="1"/>
  <c r="G37" i="3"/>
  <c r="R37" i="3"/>
  <c r="R26" i="3" s="1"/>
  <c r="S37" i="3"/>
  <c r="S26" i="3" s="1"/>
  <c r="N26" i="3"/>
  <c r="Q24" i="3"/>
  <c r="Q37" i="3"/>
  <c r="P37" i="3"/>
  <c r="P26" i="3" s="1"/>
  <c r="O26" i="3"/>
  <c r="I26" i="3"/>
  <c r="F10" i="3"/>
  <c r="F21" i="3"/>
  <c r="F9" i="3"/>
  <c r="F21" i="6"/>
  <c r="F7" i="3"/>
  <c r="M25" i="3"/>
  <c r="M26" i="3" s="1"/>
  <c r="L26" i="3"/>
  <c r="J26" i="3"/>
  <c r="Q25" i="3"/>
  <c r="D5" i="3"/>
  <c r="C5" i="3"/>
  <c r="B11" i="6"/>
  <c r="B5" i="3"/>
  <c r="E5" i="3"/>
  <c r="D23" i="7"/>
  <c r="C23" i="7"/>
  <c r="E23" i="7"/>
  <c r="D13" i="7"/>
  <c r="D17" i="3"/>
  <c r="C13" i="7"/>
  <c r="C17" i="3"/>
  <c r="B13" i="7"/>
  <c r="B17" i="3"/>
  <c r="E13" i="7"/>
  <c r="E17" i="3"/>
  <c r="H37" i="3" l="1"/>
  <c r="H26" i="3" s="1"/>
  <c r="F24" i="3"/>
  <c r="F25" i="3" s="1"/>
  <c r="F37" i="3"/>
  <c r="G26" i="3"/>
  <c r="Q26" i="3"/>
  <c r="K26" i="3"/>
  <c r="E19" i="3"/>
  <c r="E15" i="3"/>
  <c r="C15" i="3"/>
  <c r="C19" i="3"/>
  <c r="B15" i="3"/>
  <c r="E18" i="3"/>
  <c r="D15" i="3"/>
  <c r="D19" i="3"/>
  <c r="C18" i="3"/>
  <c r="D18" i="3"/>
  <c r="E18" i="6"/>
  <c r="E6" i="3"/>
  <c r="D18" i="6"/>
  <c r="D37" i="7" s="1"/>
  <c r="D8" i="3" s="1"/>
  <c r="D6" i="3"/>
  <c r="C18" i="6"/>
  <c r="C37" i="7" s="1"/>
  <c r="C8" i="3" s="1"/>
  <c r="C6" i="3"/>
  <c r="B14" i="6"/>
  <c r="B6" i="3"/>
  <c r="C27" i="7"/>
  <c r="C28" i="7" s="1"/>
  <c r="D27" i="7"/>
  <c r="D28" i="7" s="1"/>
  <c r="E27" i="7"/>
  <c r="E28" i="7" s="1"/>
  <c r="B28" i="7"/>
  <c r="B18" i="3"/>
  <c r="B19" i="3"/>
  <c r="F26" i="3" l="1"/>
  <c r="B18" i="6"/>
  <c r="C40" i="7" s="1"/>
  <c r="C41" i="7" s="1"/>
  <c r="E21" i="6"/>
  <c r="E24" i="3" s="1"/>
  <c r="E25" i="3" s="1"/>
  <c r="E37" i="7"/>
  <c r="E8" i="3" s="1"/>
  <c r="E37" i="3"/>
  <c r="E21" i="3"/>
  <c r="E10" i="3"/>
  <c r="E9" i="3"/>
  <c r="D21" i="3"/>
  <c r="D10" i="3"/>
  <c r="D9" i="3"/>
  <c r="C21" i="3"/>
  <c r="C10" i="3"/>
  <c r="C9" i="3"/>
  <c r="E7" i="3"/>
  <c r="E20" i="6"/>
  <c r="D7" i="3"/>
  <c r="D21" i="6"/>
  <c r="D20" i="6"/>
  <c r="C7" i="3"/>
  <c r="C21" i="6"/>
  <c r="C20" i="6"/>
  <c r="B20" i="6" l="1"/>
  <c r="B21" i="6"/>
  <c r="B24" i="3" s="1"/>
  <c r="B25" i="3" s="1"/>
  <c r="B21" i="3"/>
  <c r="B7" i="3"/>
  <c r="B10" i="3"/>
  <c r="B9" i="3"/>
  <c r="B37" i="7"/>
  <c r="B8" i="3" s="1"/>
  <c r="D24" i="3"/>
  <c r="D25" i="3" s="1"/>
  <c r="C24" i="3"/>
  <c r="C25" i="3" s="1"/>
  <c r="C37" i="3"/>
  <c r="E26" i="3"/>
  <c r="C26" i="3" l="1"/>
</calcChain>
</file>

<file path=xl/sharedStrings.xml><?xml version="1.0" encoding="utf-8"?>
<sst xmlns="http://schemas.openxmlformats.org/spreadsheetml/2006/main" count="332" uniqueCount="208">
  <si>
    <t>Current Ratio</t>
  </si>
  <si>
    <t>Net Profit Margin</t>
  </si>
  <si>
    <t>Gross Profit Margin</t>
  </si>
  <si>
    <t>Return on Assets</t>
  </si>
  <si>
    <t>Return on Equity</t>
  </si>
  <si>
    <t>Asset Turnover</t>
  </si>
  <si>
    <t>Debt to Equity</t>
  </si>
  <si>
    <t>Times Interest Earned</t>
  </si>
  <si>
    <t>Stock Price</t>
  </si>
  <si>
    <t>P/E Ratio</t>
  </si>
  <si>
    <t>Dividends per Share</t>
  </si>
  <si>
    <t>Dividend Yield</t>
  </si>
  <si>
    <t>Total Debt</t>
  </si>
  <si>
    <t>Cash From Operations</t>
  </si>
  <si>
    <t>Net Income</t>
  </si>
  <si>
    <t>Cash and Equivalents</t>
  </si>
  <si>
    <t>Price-to-Book Value</t>
  </si>
  <si>
    <t>Cash and equivalents</t>
  </si>
  <si>
    <t>Accounts receivable</t>
  </si>
  <si>
    <t>Inventory</t>
  </si>
  <si>
    <t>Other current assets</t>
  </si>
  <si>
    <t>Total current assets</t>
  </si>
  <si>
    <t>Other noncurrent assets</t>
  </si>
  <si>
    <t>Total assets</t>
  </si>
  <si>
    <t>Liabilities</t>
  </si>
  <si>
    <t>Assets</t>
  </si>
  <si>
    <t>Comparative Balance Sheets</t>
  </si>
  <si>
    <t>For the years ended December 31</t>
  </si>
  <si>
    <t>Other current liabilities</t>
  </si>
  <si>
    <t>Total current liabilities</t>
  </si>
  <si>
    <t>Current portion of long-term debt</t>
  </si>
  <si>
    <t>Other noncurrent liabilities</t>
  </si>
  <si>
    <t>Total liabilities</t>
  </si>
  <si>
    <t>Retained earnings and equity accounts</t>
  </si>
  <si>
    <t>Total liabilities and shareholders' equity</t>
  </si>
  <si>
    <t>Shareholders' equity</t>
  </si>
  <si>
    <t>Comparative Income Statements</t>
  </si>
  <si>
    <t>Revenue</t>
  </si>
  <si>
    <t>Cost of goods sold</t>
  </si>
  <si>
    <t>Gross margin</t>
  </si>
  <si>
    <t>Income from operations</t>
  </si>
  <si>
    <t>Other income/(loss)</t>
  </si>
  <si>
    <t>Earnings before income taxes</t>
  </si>
  <si>
    <t>Income tax benefit (expense)</t>
  </si>
  <si>
    <t>Basic earnings per share</t>
  </si>
  <si>
    <t>Diluted earnings per share</t>
  </si>
  <si>
    <t>Basic weighted shares oustanding</t>
  </si>
  <si>
    <t>Diluted weighted shares outstanding</t>
  </si>
  <si>
    <t>Diluted EPS</t>
  </si>
  <si>
    <t>Equity Ratio</t>
  </si>
  <si>
    <t>Footnote: Interest expense</t>
  </si>
  <si>
    <t>----</t>
  </si>
  <si>
    <t>Long-term debt, net of current maturities</t>
  </si>
  <si>
    <t>General and administrative expenses</t>
  </si>
  <si>
    <t>Goowill</t>
  </si>
  <si>
    <t>Other intangible assets</t>
  </si>
  <si>
    <t>Total intangible assets</t>
  </si>
  <si>
    <t>Operating Margin</t>
  </si>
  <si>
    <t>Free Cash Flow</t>
  </si>
  <si>
    <t>Tangible Book Value per Share</t>
  </si>
  <si>
    <t>Free cash flow</t>
  </si>
  <si>
    <t>Revenue Growth</t>
  </si>
  <si>
    <t>Cash flow from operating activites</t>
  </si>
  <si>
    <t>Capital expenditures</t>
  </si>
  <si>
    <t>Net Cash per Share</t>
  </si>
  <si>
    <t>Free Cash Flow per Share</t>
  </si>
  <si>
    <t>Change in Inventory</t>
  </si>
  <si>
    <t>Change in Diluted Shares</t>
  </si>
  <si>
    <t>Liabilities to Assets</t>
  </si>
  <si>
    <t>Days Sales Outstanding</t>
  </si>
  <si>
    <t>Days of Inventory</t>
  </si>
  <si>
    <t>EPS Growth</t>
  </si>
  <si>
    <t>Return on Invested Capital</t>
  </si>
  <si>
    <t>Cash Conversion Cycle</t>
  </si>
  <si>
    <t>1. Profitability</t>
  </si>
  <si>
    <t>2. Operations</t>
  </si>
  <si>
    <t>3. Liquidity &amp; Leverage</t>
  </si>
  <si>
    <t>4. Valuation</t>
  </si>
  <si>
    <t>5. Financials</t>
  </si>
  <si>
    <t>6. Notes</t>
  </si>
  <si>
    <t>Accounts payable</t>
  </si>
  <si>
    <t>CCC = days of inventory + days sales outstanding - days payables outstanding</t>
  </si>
  <si>
    <t>PEG Ratio (Trailing)</t>
  </si>
  <si>
    <t>(In millions)</t>
  </si>
  <si>
    <t>Noncontrolling interests</t>
  </si>
  <si>
    <t>$4.12B</t>
  </si>
  <si>
    <t>Noncontrolling interest</t>
  </si>
  <si>
    <t>$3.08B</t>
  </si>
  <si>
    <t>$2.09B</t>
  </si>
  <si>
    <t>$2.58B</t>
  </si>
  <si>
    <t>$3.37B</t>
  </si>
  <si>
    <t>$162M</t>
  </si>
  <si>
    <t>$118M</t>
  </si>
  <si>
    <t>NOPAT</t>
  </si>
  <si>
    <r>
      <t xml:space="preserve">ROIC = (EBIT x [1 - tax rate]) </t>
    </r>
    <r>
      <rPr>
        <sz val="11"/>
        <color theme="1"/>
        <rFont val="Calibri"/>
        <family val="2"/>
      </rPr>
      <t>÷ (total assets - cash - non-interest bearing current liabilities)</t>
    </r>
  </si>
  <si>
    <t>Invested Capital</t>
  </si>
  <si>
    <t>1 - tax rate</t>
  </si>
  <si>
    <t>tax rate</t>
  </si>
  <si>
    <t>EBIT</t>
  </si>
  <si>
    <t>Amazon.com, Inc.</t>
  </si>
  <si>
    <r>
      <t>e</t>
    </r>
    <r>
      <rPr>
        <b/>
        <sz val="11"/>
        <color theme="4"/>
        <rFont val="Calibri"/>
        <family val="2"/>
        <scheme val="minor"/>
      </rPr>
      <t>B</t>
    </r>
    <r>
      <rPr>
        <b/>
        <sz val="11"/>
        <color rgb="FFFFC000"/>
        <rFont val="Calibri"/>
        <family val="2"/>
        <scheme val="minor"/>
      </rPr>
      <t>a</t>
    </r>
    <r>
      <rPr>
        <b/>
        <sz val="11"/>
        <color theme="6" tint="-0.249977111117893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>, Inc.</t>
    </r>
  </si>
  <si>
    <t>MercadoLibre, Inc.</t>
  </si>
  <si>
    <t>INTERNET &amp;</t>
  </si>
  <si>
    <t>E-COMMERCE</t>
  </si>
  <si>
    <t>(In thousands)</t>
  </si>
  <si>
    <t>$652M</t>
  </si>
  <si>
    <t>$557M</t>
  </si>
  <si>
    <t>$473M</t>
  </si>
  <si>
    <t>$374M</t>
  </si>
  <si>
    <t>$299M</t>
  </si>
  <si>
    <t>$217M</t>
  </si>
  <si>
    <t>$106M</t>
  </si>
  <si>
    <t>$73M</t>
  </si>
  <si>
    <t>$101M</t>
  </si>
  <si>
    <t>$77M</t>
  </si>
  <si>
    <t>$56M</t>
  </si>
  <si>
    <t>$221M</t>
  </si>
  <si>
    <t>$197M</t>
  </si>
  <si>
    <t>$143M</t>
  </si>
  <si>
    <t>$140M</t>
  </si>
  <si>
    <t>$89M</t>
  </si>
  <si>
    <t>$68M</t>
  </si>
  <si>
    <t>$159M</t>
  </si>
  <si>
    <t>$29M</t>
  </si>
  <si>
    <t>$123M</t>
  </si>
  <si>
    <t>$71M</t>
  </si>
  <si>
    <t>$55M</t>
  </si>
  <si>
    <t>$369M</t>
  </si>
  <si>
    <t>$372M</t>
  </si>
  <si>
    <t>$195M</t>
  </si>
  <si>
    <t>$142M</t>
  </si>
  <si>
    <t>$62M</t>
  </si>
  <si>
    <t>$296M</t>
  </si>
  <si>
    <t>$284M</t>
  </si>
  <si>
    <t>$16M</t>
  </si>
  <si>
    <t>$0M</t>
  </si>
  <si>
    <t>$107B</t>
  </si>
  <si>
    <t>$89.0B</t>
  </si>
  <si>
    <t>$74.5B</t>
  </si>
  <si>
    <t>$61.1B</t>
  </si>
  <si>
    <t>$48.1B</t>
  </si>
  <si>
    <t>$34.2B</t>
  </si>
  <si>
    <t>$596M</t>
  </si>
  <si>
    <t>($241M)</t>
  </si>
  <si>
    <t>$274M</t>
  </si>
  <si>
    <t>($39M)</t>
  </si>
  <si>
    <t>$631M</t>
  </si>
  <si>
    <t>$1.15B</t>
  </si>
  <si>
    <t>NM</t>
  </si>
  <si>
    <t>$11.9B</t>
  </si>
  <si>
    <t>$6.84B</t>
  </si>
  <si>
    <t>$5.48B</t>
  </si>
  <si>
    <t>$4.18B</t>
  </si>
  <si>
    <t>$3.90B</t>
  </si>
  <si>
    <t>$3.50B</t>
  </si>
  <si>
    <t>$7.33B</t>
  </si>
  <si>
    <t>$1.95B</t>
  </si>
  <si>
    <t>$2.03B</t>
  </si>
  <si>
    <t>$395M</t>
  </si>
  <si>
    <t>$2.52B</t>
  </si>
  <si>
    <t>$19.8B</t>
  </si>
  <si>
    <t>$17.4B</t>
  </si>
  <si>
    <t>$12.4B</t>
  </si>
  <si>
    <t>$11.5B</t>
  </si>
  <si>
    <t>$9.58B</t>
  </si>
  <si>
    <t>$8.76B</t>
  </si>
  <si>
    <t>$8.24B</t>
  </si>
  <si>
    <t>$8.27B</t>
  </si>
  <si>
    <t>$3.19B</t>
  </si>
  <si>
    <t>$255M</t>
  </si>
  <si>
    <t>$184M</t>
  </si>
  <si>
    <t>eBay, Inc.</t>
  </si>
  <si>
    <t>COMPLETED</t>
  </si>
  <si>
    <t>Discontinued operations</t>
  </si>
  <si>
    <t>$8.59B</t>
  </si>
  <si>
    <t>$8.79B</t>
  </si>
  <si>
    <t>$8.26B</t>
  </si>
  <si>
    <t>$14.1B</t>
  </si>
  <si>
    <t>$11.7B</t>
  </si>
  <si>
    <t>$9.16B</t>
  </si>
  <si>
    <t>$1.73B</t>
  </si>
  <si>
    <t>$46M</t>
  </si>
  <si>
    <t>$2.86B</t>
  </si>
  <si>
    <t>$2.61B</t>
  </si>
  <si>
    <t>$3.23B</t>
  </si>
  <si>
    <t>$1.80B</t>
  </si>
  <si>
    <t>$4.03B</t>
  </si>
  <si>
    <t>$5.68B</t>
  </si>
  <si>
    <t>$5.00B</t>
  </si>
  <si>
    <t>$3.84B</t>
  </si>
  <si>
    <t>$3.27B</t>
  </si>
  <si>
    <t>$2.75B</t>
  </si>
  <si>
    <t>$4.41B</t>
  </si>
  <si>
    <t>$3.75B</t>
  </si>
  <si>
    <t>$2.31B</t>
  </si>
  <si>
    <t>$2.02B</t>
  </si>
  <si>
    <t>$6.13B</t>
  </si>
  <si>
    <t>$10.1B</t>
  </si>
  <si>
    <t>$9.03B</t>
  </si>
  <si>
    <t>$9.41B</t>
  </si>
  <si>
    <t>$5.93B</t>
  </si>
  <si>
    <t>$6.62B</t>
  </si>
  <si>
    <t>$6.78B</t>
  </si>
  <si>
    <t>$7.63B</t>
  </si>
  <si>
    <t>$4.52B</t>
  </si>
  <si>
    <t>$1.79B</t>
  </si>
  <si>
    <t>EBAY spun off PayPal in 2015, resulting in lack of</t>
  </si>
  <si>
    <t>comparability between 2015 and some prior periods.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</si>
</sst>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%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EE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2">
    <xf numFmtId="0" fontId="0" fillId="0" borderId="0" xfId="0"/>
    <xf numFmtId="164" fontId="3" fillId="0" borderId="0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/>
    <xf numFmtId="0" fontId="8" fillId="0" borderId="0" xfId="0" applyFont="1"/>
    <xf numFmtId="0" fontId="9" fillId="0" borderId="0" xfId="0" applyFont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8" fillId="0" borderId="0" xfId="1" applyNumberFormat="1" applyFont="1" applyBorder="1" applyAlignment="1">
      <alignment horizontal="center"/>
    </xf>
    <xf numFmtId="167" fontId="8" fillId="0" borderId="0" xfId="1" applyNumberFormat="1" applyFont="1"/>
    <xf numFmtId="167" fontId="8" fillId="0" borderId="10" xfId="1" applyNumberFormat="1" applyFont="1" applyBorder="1"/>
    <xf numFmtId="167" fontId="9" fillId="0" borderId="0" xfId="1" applyNumberFormat="1" applyFont="1"/>
    <xf numFmtId="167" fontId="8" fillId="0" borderId="0" xfId="1" applyNumberFormat="1" applyFont="1" applyBorder="1"/>
    <xf numFmtId="167" fontId="9" fillId="0" borderId="0" xfId="1" applyNumberFormat="1" applyFont="1" applyBorder="1"/>
    <xf numFmtId="44" fontId="8" fillId="0" borderId="0" xfId="2" applyFont="1" applyBorder="1"/>
    <xf numFmtId="0" fontId="10" fillId="0" borderId="0" xfId="0" applyFont="1"/>
    <xf numFmtId="0" fontId="2" fillId="2" borderId="5" xfId="0" applyFont="1" applyFill="1" applyBorder="1"/>
    <xf numFmtId="0" fontId="1" fillId="2" borderId="1" xfId="0" applyFont="1" applyFill="1" applyBorder="1"/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7" fontId="8" fillId="0" borderId="17" xfId="1" applyNumberFormat="1" applyFont="1" applyBorder="1"/>
    <xf numFmtId="0" fontId="2" fillId="0" borderId="5" xfId="0" applyFont="1" applyFill="1" applyBorder="1"/>
    <xf numFmtId="0" fontId="1" fillId="0" borderId="1" xfId="0" applyFont="1" applyFill="1" applyBorder="1"/>
    <xf numFmtId="2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0" borderId="0" xfId="0" applyFont="1" applyFill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2" borderId="14" xfId="0" applyFont="1" applyFill="1" applyBorder="1"/>
    <xf numFmtId="0" fontId="4" fillId="0" borderId="0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Fill="1"/>
    <xf numFmtId="0" fontId="0" fillId="0" borderId="0" xfId="0" applyFill="1" applyBorder="1" applyAlignment="1"/>
    <xf numFmtId="0" fontId="0" fillId="0" borderId="0" xfId="0" applyNumberFormat="1" applyFill="1"/>
    <xf numFmtId="0" fontId="6" fillId="2" borderId="7" xfId="0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8" fontId="8" fillId="0" borderId="0" xfId="1" applyNumberFormat="1" applyFont="1"/>
    <xf numFmtId="0" fontId="6" fillId="0" borderId="7" xfId="0" applyFont="1" applyFill="1" applyBorder="1" applyAlignment="1">
      <alignment horizontal="center"/>
    </xf>
    <xf numFmtId="43" fontId="8" fillId="0" borderId="0" xfId="1" applyNumberFormat="1" applyFont="1"/>
    <xf numFmtId="49" fontId="6" fillId="0" borderId="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11" fillId="0" borderId="0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quotePrefix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6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8" fillId="0" borderId="0" xfId="0" applyFont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169" fontId="8" fillId="0" borderId="0" xfId="1" applyNumberFormat="1" applyFont="1"/>
    <xf numFmtId="170" fontId="8" fillId="0" borderId="0" xfId="1" applyNumberFormat="1" applyFont="1"/>
    <xf numFmtId="10" fontId="8" fillId="0" borderId="0" xfId="3" applyNumberFormat="1" applyFont="1"/>
    <xf numFmtId="171" fontId="3" fillId="2" borderId="7" xfId="0" applyNumberFormat="1" applyFont="1" applyFill="1" applyBorder="1" applyAlignment="1">
      <alignment horizontal="center"/>
    </xf>
    <xf numFmtId="171" fontId="3" fillId="2" borderId="0" xfId="0" applyNumberFormat="1" applyFont="1" applyFill="1" applyBorder="1" applyAlignment="1">
      <alignment horizontal="center"/>
    </xf>
    <xf numFmtId="171" fontId="3" fillId="2" borderId="8" xfId="0" applyNumberFormat="1" applyFont="1" applyFill="1" applyBorder="1" applyAlignment="1">
      <alignment horizontal="center"/>
    </xf>
    <xf numFmtId="171" fontId="3" fillId="2" borderId="6" xfId="0" applyNumberFormat="1" applyFont="1" applyFill="1" applyBorder="1" applyAlignment="1">
      <alignment horizontal="center"/>
    </xf>
    <xf numFmtId="171" fontId="3" fillId="2" borderId="13" xfId="0" applyNumberFormat="1" applyFont="1" applyFill="1" applyBorder="1" applyAlignment="1">
      <alignment horizontal="center"/>
    </xf>
    <xf numFmtId="171" fontId="3" fillId="2" borderId="12" xfId="0" applyNumberFormat="1" applyFont="1" applyFill="1" applyBorder="1" applyAlignment="1">
      <alignment horizontal="center"/>
    </xf>
    <xf numFmtId="171" fontId="3" fillId="0" borderId="7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8" xfId="0" applyNumberFormat="1" applyFont="1" applyFill="1" applyBorder="1" applyAlignment="1">
      <alignment horizontal="center"/>
    </xf>
    <xf numFmtId="171" fontId="3" fillId="0" borderId="7" xfId="3" applyNumberFormat="1" applyFont="1" applyFill="1" applyBorder="1" applyAlignment="1">
      <alignment horizontal="center"/>
    </xf>
    <xf numFmtId="171" fontId="3" fillId="0" borderId="0" xfId="3" applyNumberFormat="1" applyFont="1" applyFill="1" applyBorder="1" applyAlignment="1">
      <alignment horizontal="center"/>
    </xf>
    <xf numFmtId="171" fontId="3" fillId="0" borderId="8" xfId="3" applyNumberFormat="1" applyFont="1" applyFill="1" applyBorder="1" applyAlignment="1">
      <alignment horizontal="center"/>
    </xf>
    <xf numFmtId="171" fontId="3" fillId="0" borderId="9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71" fontId="6" fillId="2" borderId="7" xfId="3" applyNumberFormat="1" applyFont="1" applyFill="1" applyBorder="1" applyAlignment="1">
      <alignment horizontal="center"/>
    </xf>
    <xf numFmtId="171" fontId="6" fillId="2" borderId="0" xfId="3" applyNumberFormat="1" applyFont="1" applyFill="1" applyBorder="1" applyAlignment="1">
      <alignment horizontal="center"/>
    </xf>
    <xf numFmtId="171" fontId="5" fillId="2" borderId="0" xfId="3" applyNumberFormat="1" applyFont="1" applyFill="1" applyBorder="1" applyAlignment="1">
      <alignment horizontal="center"/>
    </xf>
    <xf numFmtId="171" fontId="6" fillId="2" borderId="8" xfId="3" applyNumberFormat="1" applyFont="1" applyFill="1" applyBorder="1" applyAlignment="1">
      <alignment horizontal="center"/>
    </xf>
    <xf numFmtId="171" fontId="4" fillId="0" borderId="7" xfId="3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4" fillId="0" borderId="8" xfId="3" applyNumberFormat="1" applyFont="1" applyFill="1" applyBorder="1" applyAlignment="1">
      <alignment horizontal="center"/>
    </xf>
    <xf numFmtId="171" fontId="12" fillId="2" borderId="7" xfId="3" quotePrefix="1" applyNumberFormat="1" applyFont="1" applyFill="1" applyBorder="1" applyAlignment="1">
      <alignment horizontal="center"/>
    </xf>
    <xf numFmtId="171" fontId="12" fillId="2" borderId="0" xfId="3" quotePrefix="1" applyNumberFormat="1" applyFont="1" applyFill="1" applyBorder="1" applyAlignment="1">
      <alignment horizontal="center"/>
    </xf>
    <xf numFmtId="171" fontId="12" fillId="2" borderId="8" xfId="3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24" fillId="4" borderId="9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167" fontId="25" fillId="0" borderId="0" xfId="1" applyNumberFormat="1" applyFont="1" applyFill="1"/>
    <xf numFmtId="167" fontId="8" fillId="0" borderId="0" xfId="1" applyNumberFormat="1" applyFont="1" applyFill="1"/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3" fillId="0" borderId="8" xfId="0" quotePrefix="1" applyNumberFormat="1" applyFont="1" applyFill="1" applyBorder="1" applyAlignment="1">
      <alignment horizontal="center"/>
    </xf>
    <xf numFmtId="167" fontId="8" fillId="0" borderId="0" xfId="0" applyNumberFormat="1" applyFont="1"/>
    <xf numFmtId="49" fontId="5" fillId="0" borderId="0" xfId="0" applyNumberFormat="1" applyFont="1" applyFill="1" applyBorder="1" applyAlignment="1">
      <alignment horizontal="center"/>
    </xf>
    <xf numFmtId="166" fontId="3" fillId="0" borderId="0" xfId="1" quotePrefix="1" applyNumberFormat="1" applyFont="1" applyFill="1" applyBorder="1" applyAlignment="1">
      <alignment horizontal="center"/>
    </xf>
    <xf numFmtId="171" fontId="5" fillId="2" borderId="7" xfId="3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6600"/>
      <color rgb="FFF4EE00"/>
      <color rgb="FFE6BA00"/>
      <color rgb="FFFFCC00"/>
      <color rgb="FF008E40"/>
      <color rgb="FFC0C0C0"/>
      <color rgb="FFEAEAEA"/>
      <color rgb="FFE70303"/>
      <color rgb="FF19C54E"/>
      <color rgb="FFDABD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38101</xdr:rowOff>
    </xdr:from>
    <xdr:to>
      <xdr:col>6</xdr:col>
      <xdr:colOff>485775</xdr:colOff>
      <xdr:row>0</xdr:row>
      <xdr:rowOff>361951</xdr:rowOff>
    </xdr:to>
    <xdr:pic>
      <xdr:nvPicPr>
        <xdr:cNvPr id="2" name="Picture 1" descr="AMZ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38101"/>
          <a:ext cx="2981325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0</xdr:row>
      <xdr:rowOff>19050</xdr:rowOff>
    </xdr:from>
    <xdr:to>
      <xdr:col>12</xdr:col>
      <xdr:colOff>485776</xdr:colOff>
      <xdr:row>0</xdr:row>
      <xdr:rowOff>361950</xdr:rowOff>
    </xdr:to>
    <xdr:pic>
      <xdr:nvPicPr>
        <xdr:cNvPr id="3" name="Picture 2" descr="ebay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19050"/>
          <a:ext cx="2990851" cy="3429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0</xdr:row>
      <xdr:rowOff>19050</xdr:rowOff>
    </xdr:from>
    <xdr:to>
      <xdr:col>18</xdr:col>
      <xdr:colOff>485776</xdr:colOff>
      <xdr:row>0</xdr:row>
      <xdr:rowOff>371474</xdr:rowOff>
    </xdr:to>
    <xdr:pic>
      <xdr:nvPicPr>
        <xdr:cNvPr id="4" name="Picture 3" descr="MEL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0" y="19050"/>
          <a:ext cx="2990851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workbookViewId="0"/>
  </sheetViews>
  <sheetFormatPr defaultRowHeight="14.45" customHeight="1" x14ac:dyDescent="0.2"/>
  <cols>
    <col min="1" max="1" width="23.140625" style="50" customWidth="1"/>
    <col min="2" max="17" width="7.5703125" style="50" customWidth="1"/>
    <col min="18" max="19" width="7.5703125" style="44" customWidth="1"/>
    <col min="20" max="20" width="7.42578125" style="44" customWidth="1"/>
    <col min="21" max="16384" width="9.140625" style="50"/>
  </cols>
  <sheetData>
    <row r="1" spans="1:20" s="81" customFormat="1" ht="30" customHeight="1" x14ac:dyDescent="0.25">
      <c r="A1" s="36" t="s">
        <v>102</v>
      </c>
      <c r="B1" s="7"/>
      <c r="C1" s="8"/>
      <c r="D1" s="8"/>
      <c r="E1" s="8"/>
      <c r="F1" s="8"/>
      <c r="G1" s="9"/>
      <c r="H1" s="7"/>
      <c r="I1" s="8"/>
      <c r="J1" s="8"/>
      <c r="K1" s="10"/>
      <c r="L1" s="8"/>
      <c r="M1" s="9"/>
      <c r="N1" s="154"/>
      <c r="O1" s="155"/>
      <c r="P1" s="155"/>
      <c r="Q1" s="155"/>
      <c r="R1" s="155"/>
      <c r="S1" s="156"/>
      <c r="T1" s="51"/>
    </row>
    <row r="2" spans="1:20" s="81" customFormat="1" ht="15" x14ac:dyDescent="0.25">
      <c r="A2" s="163" t="s">
        <v>103</v>
      </c>
      <c r="B2" s="168" t="s">
        <v>99</v>
      </c>
      <c r="C2" s="169"/>
      <c r="D2" s="169"/>
      <c r="E2" s="169"/>
      <c r="F2" s="169"/>
      <c r="G2" s="170"/>
      <c r="H2" s="165" t="s">
        <v>100</v>
      </c>
      <c r="I2" s="166"/>
      <c r="J2" s="166"/>
      <c r="K2" s="166"/>
      <c r="L2" s="166"/>
      <c r="M2" s="167"/>
      <c r="N2" s="171" t="s">
        <v>101</v>
      </c>
      <c r="O2" s="172"/>
      <c r="P2" s="172"/>
      <c r="Q2" s="172"/>
      <c r="R2" s="172"/>
      <c r="S2" s="173"/>
      <c r="T2" s="51"/>
    </row>
    <row r="3" spans="1:20" s="81" customFormat="1" ht="15" x14ac:dyDescent="0.25">
      <c r="A3" s="164"/>
      <c r="B3" s="146">
        <v>2015</v>
      </c>
      <c r="C3" s="146">
        <v>2014</v>
      </c>
      <c r="D3" s="146">
        <v>2013</v>
      </c>
      <c r="E3" s="146">
        <v>2012</v>
      </c>
      <c r="F3" s="147">
        <v>2011</v>
      </c>
      <c r="G3" s="148">
        <v>2010</v>
      </c>
      <c r="H3" s="149">
        <v>2015</v>
      </c>
      <c r="I3" s="150">
        <v>2014</v>
      </c>
      <c r="J3" s="146">
        <v>2013</v>
      </c>
      <c r="K3" s="151">
        <v>2012</v>
      </c>
      <c r="L3" s="152">
        <v>2011</v>
      </c>
      <c r="M3" s="153">
        <v>2010</v>
      </c>
      <c r="N3" s="157">
        <v>2015</v>
      </c>
      <c r="O3" s="158">
        <v>2014</v>
      </c>
      <c r="P3" s="158">
        <v>2013</v>
      </c>
      <c r="Q3" s="158">
        <v>2012</v>
      </c>
      <c r="R3" s="159">
        <v>2011</v>
      </c>
      <c r="S3" s="160">
        <v>2010</v>
      </c>
      <c r="T3" s="51"/>
    </row>
    <row r="4" spans="1:20" s="81" customFormat="1" ht="14.45" customHeight="1" x14ac:dyDescent="0.25">
      <c r="A4" s="39" t="s">
        <v>74</v>
      </c>
      <c r="B4" s="54"/>
      <c r="C4" s="40"/>
      <c r="D4" s="5"/>
      <c r="E4" s="41"/>
      <c r="F4" s="5"/>
      <c r="G4" s="6"/>
      <c r="H4" s="4"/>
      <c r="I4" s="5"/>
      <c r="J4" s="5"/>
      <c r="K4" s="5"/>
      <c r="L4" s="5"/>
      <c r="M4" s="6"/>
      <c r="N4" s="4"/>
      <c r="O4" s="5"/>
      <c r="P4" s="5"/>
      <c r="Q4" s="5"/>
      <c r="R4" s="5"/>
      <c r="S4" s="6"/>
      <c r="T4" s="51"/>
    </row>
    <row r="5" spans="1:20" s="81" customFormat="1" ht="14.45" customHeight="1" x14ac:dyDescent="0.25">
      <c r="A5" s="23" t="s">
        <v>2</v>
      </c>
      <c r="B5" s="116">
        <f>'Income Statement - 1'!B8/'Income Statement - 1'!B6</f>
        <v>0.33040203353083003</v>
      </c>
      <c r="C5" s="117">
        <f>'Income Statement - 1'!C8/'Income Statement - 1'!C6</f>
        <v>0.29482626871038792</v>
      </c>
      <c r="D5" s="117">
        <f>'Income Statement - 1'!D8/'Income Statement - 1'!D6</f>
        <v>0.27226938161500025</v>
      </c>
      <c r="E5" s="117">
        <f>'Income Statement - 1'!E8/'Income Statement - 1'!E6</f>
        <v>0.24752426628255284</v>
      </c>
      <c r="F5" s="117">
        <f>'Income Statement - 1'!F8/'Income Statement - 1'!F6</f>
        <v>0.22441084094265448</v>
      </c>
      <c r="G5" s="118">
        <f>'Income Statement - 1'!G8/'Income Statement - 1'!G6</f>
        <v>0.22345339726347796</v>
      </c>
      <c r="H5" s="119">
        <f>'Income Statement - 2'!B8/'Income Statement - 2'!B6</f>
        <v>0.79387802607076352</v>
      </c>
      <c r="I5" s="117">
        <f>'Income Statement - 2'!C8/'Income Statement - 2'!C6</f>
        <v>0.81080773606370871</v>
      </c>
      <c r="J5" s="117">
        <f>'Income Statement - 2'!D8/'Income Statement - 2'!D6</f>
        <v>0.81930483226353401</v>
      </c>
      <c r="K5" s="117">
        <f>'Income Statement - 2'!E8/'Income Statement - 2'!E6</f>
        <v>0.7003979533826038</v>
      </c>
      <c r="L5" s="117">
        <f>'Income Statement - 2'!F8/'Income Statement - 2'!F6</f>
        <v>0.70296944730518363</v>
      </c>
      <c r="M5" s="118">
        <f>'Income Statement - 2'!G8/'Income Statement - 2'!G6</f>
        <v>0.71996505024027957</v>
      </c>
      <c r="N5" s="119">
        <f>'Income Statement - 3'!B8/'Income Statement - 3'!B6</f>
        <v>0.6701483606683134</v>
      </c>
      <c r="O5" s="120">
        <f>'Income Statement - 3'!C8/'Income Statement - 3'!C6</f>
        <v>0.71434372619201636</v>
      </c>
      <c r="P5" s="120">
        <f>'Income Statement - 3'!D8/'Income Statement - 3'!D6</f>
        <v>0.72476010114368539</v>
      </c>
      <c r="Q5" s="120">
        <f>'Income Statement - 3'!E8/'Income Statement - 3'!E6</f>
        <v>0.73746055283577938</v>
      </c>
      <c r="R5" s="120">
        <f>'Income Statement - 3'!F8/'Income Statement - 3'!F6</f>
        <v>0.75895521389479881</v>
      </c>
      <c r="S5" s="121">
        <f>'Income Statement - 3'!G8/'Income Statement - 3'!G6</f>
        <v>0.78520275383451155</v>
      </c>
      <c r="T5" s="51"/>
    </row>
    <row r="6" spans="1:20" s="81" customFormat="1" ht="14.45" customHeight="1" x14ac:dyDescent="0.25">
      <c r="A6" s="38" t="s">
        <v>57</v>
      </c>
      <c r="B6" s="122">
        <f>'Income Statement - 1'!B11/'Income Statement - 1'!B6</f>
        <v>2.0867988710913405E-2</v>
      </c>
      <c r="C6" s="123">
        <f>'Income Statement - 1'!C11/'Income Statement - 1'!C6</f>
        <v>2.000269699285297E-3</v>
      </c>
      <c r="D6" s="123">
        <f>'Income Statement - 1'!D11/'Income Statement - 1'!D6</f>
        <v>1.0006447106860796E-2</v>
      </c>
      <c r="E6" s="123">
        <f>'Income Statement - 1'!E11/'Income Statement - 1'!E6</f>
        <v>1.1065097474342396E-2</v>
      </c>
      <c r="F6" s="123">
        <f>'Income Statement - 1'!F11/'Income Statement - 1'!F6</f>
        <v>1.79295713126859E-2</v>
      </c>
      <c r="G6" s="124">
        <f>'Income Statement - 1'!G11/'Income Statement - 1'!G6</f>
        <v>4.1106303356332592E-2</v>
      </c>
      <c r="H6" s="122">
        <f>'Income Statement - 2'!B11/'Income Statement - 2'!B6</f>
        <v>0.25570297951582865</v>
      </c>
      <c r="I6" s="123">
        <f>'Income Statement - 2'!C11/'Income Statement - 2'!C6</f>
        <v>0.28168373151308307</v>
      </c>
      <c r="J6" s="123">
        <f>'Income Statement - 2'!D11/'Income Statement - 2'!D6</f>
        <v>0.29720237374349034</v>
      </c>
      <c r="K6" s="123">
        <f>'Income Statement - 2'!E11/'Income Statement - 2'!E6</f>
        <v>0.20523024445707788</v>
      </c>
      <c r="L6" s="123">
        <f>'Income Statement - 2'!F11/'Income Statement - 2'!F6</f>
        <v>0.20365602471678682</v>
      </c>
      <c r="M6" s="124">
        <f>'Income Statement - 2'!G11/'Income Statement - 2'!G6</f>
        <v>0.22433377020532985</v>
      </c>
      <c r="N6" s="122">
        <f>'Income Statement - 3'!B11/'Income Statement - 3'!B6</f>
        <v>0.21355958207398087</v>
      </c>
      <c r="O6" s="123">
        <f>'Income Statement - 3'!C11/'Income Statement - 3'!C6</f>
        <v>0.21646578118935703</v>
      </c>
      <c r="P6" s="123">
        <f>'Income Statement - 3'!D11/'Income Statement - 3'!D6</f>
        <v>0.32488494376791965</v>
      </c>
      <c r="Q6" s="123">
        <f>'Income Statement - 3'!E11/'Income Statement - 3'!E6</f>
        <v>0.34704939226608067</v>
      </c>
      <c r="R6" s="123">
        <f>'Income Statement - 3'!F11/'Income Statement - 3'!F6</f>
        <v>0.33376152436005513</v>
      </c>
      <c r="S6" s="124">
        <f>'Income Statement - 3'!G11/'Income Statement - 3'!G6</f>
        <v>0.34422469960685875</v>
      </c>
      <c r="T6" s="51"/>
    </row>
    <row r="7" spans="1:20" s="81" customFormat="1" ht="14.45" customHeight="1" x14ac:dyDescent="0.25">
      <c r="A7" s="23" t="s">
        <v>1</v>
      </c>
      <c r="B7" s="116">
        <f>'Income Statement - 1'!B18/'Income Statement - 1'!B6</f>
        <v>5.5697811337681999E-3</v>
      </c>
      <c r="C7" s="117">
        <f>'Income Statement - 1'!C18/'Income Statement - 1'!C6</f>
        <v>-2.7082303231896437E-3</v>
      </c>
      <c r="D7" s="117">
        <f>'Income Statement - 1'!D18/'Income Statement - 1'!D6</f>
        <v>3.6802234997045076E-3</v>
      </c>
      <c r="E7" s="117">
        <f>'Income Statement - 1'!E18/'Income Statement - 1'!E6</f>
        <v>-6.3837100813513828E-4</v>
      </c>
      <c r="F7" s="117">
        <f>'Income Statement - 1'!F18/'Income Statement - 1'!F6</f>
        <v>1.3124779000353599E-2</v>
      </c>
      <c r="G7" s="118">
        <f>'Income Statement - 1'!G18/'Income Statement - 1'!G6</f>
        <v>3.3680271313296692E-2</v>
      </c>
      <c r="H7" s="116">
        <f>'Income Statement - 2'!B18/'Income Statement - 2'!B6</f>
        <v>0.20076815642458101</v>
      </c>
      <c r="I7" s="117">
        <f>'Income Statement - 2'!C18/'Income Statement - 2'!C6</f>
        <v>5.2332195676905576E-3</v>
      </c>
      <c r="J7" s="117">
        <f>'Income Statement - 2'!D18/'Income Statement - 2'!D6</f>
        <v>0.34588833716846312</v>
      </c>
      <c r="K7" s="117">
        <f>'Income Statement - 2'!E18/'Income Statement - 2'!E6</f>
        <v>0.18540363843092666</v>
      </c>
      <c r="L7" s="117">
        <f>'Income Statement - 2'!F18/'Income Statement - 2'!F6</f>
        <v>0.27711980775832473</v>
      </c>
      <c r="M7" s="118">
        <f>'Income Statement - 2'!G18/'Income Statement - 2'!G6</f>
        <v>0.19670161642638706</v>
      </c>
      <c r="N7" s="116">
        <f>'Income Statement - 3'!B18/'Income Statement - 3'!B6</f>
        <v>0.16230534374568495</v>
      </c>
      <c r="O7" s="117">
        <f>'Income Statement - 3'!C18/'Income Statement - 3'!C6</f>
        <v>0.1304156424741616</v>
      </c>
      <c r="P7" s="117">
        <f>'Income Statement - 3'!D18/'Income Statement - 3'!D6</f>
        <v>0.24864207196436694</v>
      </c>
      <c r="Q7" s="117">
        <f>'Income Statement - 3'!E18/'Income Statement - 3'!E6</f>
        <v>0.27100302194051945</v>
      </c>
      <c r="R7" s="117">
        <f>'Income Statement - 3'!F18/'Income Statement - 3'!F6</f>
        <v>0.25684771118515248</v>
      </c>
      <c r="S7" s="118">
        <f>'Income Statement - 3'!G18/'Income Statement - 3'!G6</f>
        <v>0.25851806050314696</v>
      </c>
      <c r="T7" s="51"/>
    </row>
    <row r="8" spans="1:20" s="81" customFormat="1" ht="14.45" customHeight="1" x14ac:dyDescent="0.25">
      <c r="A8" s="38" t="s">
        <v>72</v>
      </c>
      <c r="B8" s="125">
        <f>'Balance Sheet - 1'!B37/(('Balance Sheet - 1'!B38+'Balance Sheet - 1'!C38)/2)</f>
        <v>7.6215071552081307E-2</v>
      </c>
      <c r="C8" s="126">
        <f>'Balance Sheet - 1'!C37/(('Balance Sheet - 1'!C38+'Balance Sheet - 1'!D38)/2)</f>
        <v>4.9608594904254677E-2</v>
      </c>
      <c r="D8" s="126">
        <f>'Balance Sheet - 1'!D37/(('Balance Sheet - 1'!D38+'Balance Sheet - 1'!E38)/2)</f>
        <v>0.11488292313215526</v>
      </c>
      <c r="E8" s="126">
        <f>'Balance Sheet - 1'!E37/(('Balance Sheet - 1'!E38+'Balance Sheet - 1'!F38)/2)</f>
        <v>7.0468001697415489E-2</v>
      </c>
      <c r="F8" s="126">
        <f>'Balance Sheet - 1'!F37/(('Balance Sheet - 1'!F38+'Balance Sheet - 1'!G38)/2)</f>
        <v>2.8975997954552719</v>
      </c>
      <c r="G8" s="126">
        <f>'Balance Sheet - 1'!G37/(('Balance Sheet - 1'!G38+'Balance Sheet - 1'!H38)/2)</f>
        <v>-9.2927850451559291</v>
      </c>
      <c r="H8" s="125">
        <f>'Balance Sheet - 2'!B37/(('Balance Sheet - 2'!B38+'Balance Sheet - 2'!C38)/2)</f>
        <v>0.13580451984226286</v>
      </c>
      <c r="I8" s="126">
        <f>'Balance Sheet - 2'!C37/(('Balance Sheet - 2'!C38+'Balance Sheet - 2'!D38)/2)</f>
        <v>-6.3683582188090865E-2</v>
      </c>
      <c r="J8" s="126">
        <f>'Balance Sheet - 2'!D37/(('Balance Sheet - 2'!D38+'Balance Sheet - 2'!E38)/2)</f>
        <v>0.15020722551591054</v>
      </c>
      <c r="K8" s="126">
        <f>'Balance Sheet - 2'!E37/(('Balance Sheet - 2'!E38+'Balance Sheet - 2'!F38)/2)</f>
        <v>0.16445604550186885</v>
      </c>
      <c r="L8" s="126">
        <f>'Balance Sheet - 2'!F37/(('Balance Sheet - 2'!F38+'Balance Sheet - 2'!G38)/2)</f>
        <v>0.24630657369546752</v>
      </c>
      <c r="M8" s="126">
        <f>'Balance Sheet - 2'!G37/(('Balance Sheet - 2'!G38+'Balance Sheet - 2'!H38)/2)</f>
        <v>0.17195728273933072</v>
      </c>
      <c r="N8" s="125">
        <f>'Balance Sheet - 3'!B37/(('Balance Sheet - 3'!B38+'Balance Sheet - 3'!C38)/2)</f>
        <v>0.10211376251345104</v>
      </c>
      <c r="O8" s="126">
        <f>'Balance Sheet - 3'!C37/(('Balance Sheet - 3'!C38+'Balance Sheet - 3'!D38)/2)</f>
        <v>0.12493130964433796</v>
      </c>
      <c r="P8" s="126">
        <f>'Balance Sheet - 3'!D37/(('Balance Sheet - 3'!D38+'Balance Sheet - 3'!E38)/2)</f>
        <v>0.23557310824614042</v>
      </c>
      <c r="Q8" s="126">
        <f>'Balance Sheet - 3'!E37/(('Balance Sheet - 3'!E38+'Balance Sheet - 3'!F38)/2)</f>
        <v>0.26752598254902682</v>
      </c>
      <c r="R8" s="126">
        <f>'Balance Sheet - 3'!F37/(('Balance Sheet - 3'!F38+'Balance Sheet - 3'!G38)/2)</f>
        <v>0.20874535712913042</v>
      </c>
      <c r="S8" s="127">
        <f>'Balance Sheet - 3'!G37/(('Balance Sheet - 3'!G38+'Balance Sheet - 3'!H38)/2)</f>
        <v>0.13708008376379421</v>
      </c>
      <c r="T8" s="51" t="s">
        <v>94</v>
      </c>
    </row>
    <row r="9" spans="1:20" s="81" customFormat="1" ht="14.45" customHeight="1" x14ac:dyDescent="0.25">
      <c r="A9" s="23" t="s">
        <v>3</v>
      </c>
      <c r="B9" s="116">
        <f>'Income Statement - 1'!B18/(('Balance Sheet - 1'!B13+'Balance Sheet - 1'!C13)/2)</f>
        <v>9.9375567949711967E-3</v>
      </c>
      <c r="C9" s="117">
        <f>'Income Statement - 1'!C18/(('Balance Sheet - 1'!C13+'Balance Sheet - 1'!D13)/2)</f>
        <v>-5.0916927237386967E-3</v>
      </c>
      <c r="D9" s="117">
        <f>'Income Statement - 1'!D18/(('Balance Sheet - 1'!D13+'Balance Sheet - 1'!E13)/2)</f>
        <v>7.5363753885084031E-3</v>
      </c>
      <c r="E9" s="117">
        <f>'Income Statement - 1'!E18/(('Balance Sheet - 1'!E13+'Balance Sheet - 1'!F13)/2)</f>
        <v>-1.3487109435789254E-3</v>
      </c>
      <c r="F9" s="117">
        <f>'Income Statement - 1'!F18/(('Balance Sheet - 1'!F13+'Balance Sheet - 1'!G13)/2)</f>
        <v>2.8633011911514464E-2</v>
      </c>
      <c r="G9" s="117">
        <f>'Income Statement - 1'!G18/(('Balance Sheet - 1'!G13+'Balance Sheet - 1'!H13)/2)</f>
        <v>7.065317387304508E-2</v>
      </c>
      <c r="H9" s="116">
        <f>'Income Statement - 2'!B18/(('Balance Sheet - 2'!B13+'Balance Sheet - 2'!C13)/2)</f>
        <v>5.4834146574057885E-2</v>
      </c>
      <c r="I9" s="117">
        <f>'Income Statement - 2'!C18/(('Balance Sheet - 2'!C13+'Balance Sheet - 2'!D13)/2)</f>
        <v>1.0621103671207574E-3</v>
      </c>
      <c r="J9" s="117">
        <f>'Income Statement - 2'!D18/(('Balance Sheet - 2'!D13+'Balance Sheet - 2'!E13)/2)</f>
        <v>7.2706906646979458E-2</v>
      </c>
      <c r="K9" s="117">
        <f>'Income Statement - 2'!E18/(('Balance Sheet - 2'!E13+'Balance Sheet - 2'!F13)/2)</f>
        <v>8.1032394322452406E-2</v>
      </c>
      <c r="L9" s="117">
        <f>'Income Statement - 2'!F18/(('Balance Sheet - 2'!F13+'Balance Sheet - 2'!G13)/2)</f>
        <v>0.13093017597923931</v>
      </c>
      <c r="M9" s="117">
        <f>'Income Statement - 2'!G18/(('Balance Sheet - 2'!G13+'Balance Sheet - 2'!H13)/2)</f>
        <v>8.9131941007621493E-2</v>
      </c>
      <c r="N9" s="116">
        <f>'Income Statement - 3'!B18/(('Balance Sheet - 3'!B13+'Balance Sheet - 3'!C13)/2)</f>
        <v>0.10737530912942354</v>
      </c>
      <c r="O9" s="117">
        <f>'Income Statement - 3'!C18/(('Balance Sheet - 3'!C13+'Balance Sheet - 3'!D13)/2)</f>
        <v>9.3099710750957215E-2</v>
      </c>
      <c r="P9" s="117">
        <f>'Income Statement - 3'!D18/(('Balance Sheet - 3'!D13+'Balance Sheet - 3'!E13)/2)</f>
        <v>0.21942761747548159</v>
      </c>
      <c r="Q9" s="117">
        <f>'Income Statement - 3'!E18/(('Balance Sheet - 3'!E13+'Balance Sheet - 3'!F13)/2)</f>
        <v>0.24262401150251617</v>
      </c>
      <c r="R9" s="117">
        <f>'Income Statement - 3'!F18/(('Balance Sheet - 3'!F13+'Balance Sheet - 3'!G13)/2)</f>
        <v>0.24545486514048598</v>
      </c>
      <c r="S9" s="118">
        <f>'Income Statement - 3'!G18/(('Balance Sheet - 3'!G13+'Balance Sheet - 3'!H13)/2)</f>
        <v>0.24773544816790738</v>
      </c>
      <c r="T9" s="51"/>
    </row>
    <row r="10" spans="1:20" s="81" customFormat="1" ht="14.45" customHeight="1" x14ac:dyDescent="0.25">
      <c r="A10" s="38" t="s">
        <v>4</v>
      </c>
      <c r="B10" s="122">
        <f>'Income Statement - 1'!B18/(('Balance Sheet - 1'!B26+'Balance Sheet - 1'!C26)/2)</f>
        <v>4.9409326424870469E-2</v>
      </c>
      <c r="C10" s="123">
        <f>'Income Statement - 1'!C18/(('Balance Sheet - 1'!C26+'Balance Sheet - 1'!D26)/2)</f>
        <v>-2.3527114755698735E-2</v>
      </c>
      <c r="D10" s="123">
        <f>'Income Statement - 1'!D18/(('Balance Sheet - 1'!D26+'Balance Sheet - 1'!E26)/2)</f>
        <v>3.0549671089307614E-2</v>
      </c>
      <c r="E10" s="123">
        <f>'Income Statement - 1'!E18/(('Balance Sheet - 1'!E26+'Balance Sheet - 1'!F26)/2)</f>
        <v>-4.8905887516458709E-3</v>
      </c>
      <c r="F10" s="123">
        <f>'Income Statement - 1'!F18/(('Balance Sheet - 1'!F26+'Balance Sheet - 1'!G26)/2)</f>
        <v>8.6314205594692564E-2</v>
      </c>
      <c r="G10" s="123">
        <f>'Income Statement - 1'!G18/(('Balance Sheet - 1'!G26+'Balance Sheet - 1'!H26)/2)</f>
        <v>0.19008332645821302</v>
      </c>
      <c r="H10" s="128">
        <f>'Income Statement - 2'!B18/(('Balance Sheet - 2'!B26+'Balance Sheet - 2'!C26)/2)</f>
        <v>0.1302771693980817</v>
      </c>
      <c r="I10" s="123">
        <f>'Income Statement - 2'!C18/(('Balance Sheet - 2'!C26+'Balance Sheet - 2'!D26)/2)</f>
        <v>2.1123688379675338E-3</v>
      </c>
      <c r="J10" s="123">
        <f>'Income Statement - 2'!D18/(('Balance Sheet - 2'!D26+'Balance Sheet - 2'!E26)/2)</f>
        <v>0.12832494608195544</v>
      </c>
      <c r="K10" s="123">
        <f>'Income Statement - 2'!E18/(('Balance Sheet - 2'!E26+'Balance Sheet - 2'!F26)/2)</f>
        <v>0.13450186879752546</v>
      </c>
      <c r="L10" s="123">
        <f>'Income Statement - 2'!F18/(('Balance Sheet - 2'!F26+'Balance Sheet - 2'!G26)/2)</f>
        <v>0.19433076552720269</v>
      </c>
      <c r="M10" s="123">
        <f>'Income Statement - 2'!G18/(('Balance Sheet - 2'!G26+'Balance Sheet - 2'!H26)/2)</f>
        <v>0.1238268761387466</v>
      </c>
      <c r="N10" s="128">
        <f>'Income Statement - 3'!B18/(('Balance Sheet - 3'!B26+'Balance Sheet - 3'!C26)/2)</f>
        <v>0.30432106045917562</v>
      </c>
      <c r="O10" s="129">
        <f>'Income Statement - 3'!C18/(('Balance Sheet - 3'!C26+'Balance Sheet - 3'!D26)/2)</f>
        <v>0.20759017950096673</v>
      </c>
      <c r="P10" s="129">
        <f>'Income Statement - 3'!D18/(('Balance Sheet - 3'!D26+'Balance Sheet - 3'!E26)/2)</f>
        <v>0.37109602603517783</v>
      </c>
      <c r="Q10" s="129">
        <f>'Income Statement - 3'!E18/(('Balance Sheet - 3'!E26+'Balance Sheet - 3'!F26)/2)</f>
        <v>0.39783336476801207</v>
      </c>
      <c r="R10" s="129">
        <f>'Income Statement - 3'!F18/(('Balance Sheet - 3'!F26+'Balance Sheet - 3'!G26)/2)</f>
        <v>0.39284005761108426</v>
      </c>
      <c r="S10" s="130">
        <f>'Income Statement - 3'!G18/(('Balance Sheet - 3'!G26+'Balance Sheet - 3'!H26)/2)</f>
        <v>0.39190517328819108</v>
      </c>
      <c r="T10" s="51"/>
    </row>
    <row r="11" spans="1:20" s="81" customFormat="1" ht="14.45" customHeight="1" x14ac:dyDescent="0.25">
      <c r="A11" s="24" t="s">
        <v>75</v>
      </c>
      <c r="B11" s="66"/>
      <c r="C11" s="25"/>
      <c r="D11" s="26"/>
      <c r="E11" s="27"/>
      <c r="F11" s="26"/>
      <c r="G11" s="29"/>
      <c r="H11" s="28"/>
      <c r="I11" s="26"/>
      <c r="J11" s="26"/>
      <c r="K11" s="26"/>
      <c r="L11" s="26"/>
      <c r="M11" s="29"/>
      <c r="N11" s="28"/>
      <c r="O11" s="26"/>
      <c r="P11" s="26"/>
      <c r="Q11" s="26"/>
      <c r="R11" s="26"/>
      <c r="S11" s="29"/>
      <c r="T11" s="51"/>
    </row>
    <row r="12" spans="1:20" s="81" customFormat="1" ht="14.45" customHeight="1" x14ac:dyDescent="0.25">
      <c r="A12" s="38" t="s">
        <v>70</v>
      </c>
      <c r="B12" s="69">
        <f>365/('Income Statement - 1'!B7/(('Balance Sheet - 1'!B8+'Balance Sheet - 1'!C8)/2))</f>
        <v>47.227742808893105</v>
      </c>
      <c r="C12" s="70">
        <f>365/('Income Statement - 1'!C7/(('Balance Sheet - 1'!C8+'Balance Sheet - 1'!D8)/2))</f>
        <v>45.688982024477312</v>
      </c>
      <c r="D12" s="70">
        <f>365/('Income Statement - 1'!D7/(('Balance Sheet - 1'!D8+'Balance Sheet - 1'!E8)/2))</f>
        <v>45.277218951292888</v>
      </c>
      <c r="E12" s="70">
        <f>365/('Income Statement - 1'!E7/(('Balance Sheet - 1'!E8+'Balance Sheet - 1'!F8)/2))</f>
        <v>43.760142263600969</v>
      </c>
      <c r="F12" s="70">
        <f>365/('Income Statement - 1'!F7/(('Balance Sheet - 1'!F8+'Balance Sheet - 1'!G8)/2))</f>
        <v>40.104189015232784</v>
      </c>
      <c r="G12" s="70">
        <f>365/('Income Statement - 1'!G7/(('Balance Sheet - 1'!G8+'Balance Sheet - 1'!H8)/2))</f>
        <v>36.917755355596555</v>
      </c>
      <c r="H12" s="131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131">
        <f>365/('Income Statement - 3'!B7/(('Balance Sheet - 3'!B8+'Balance Sheet - 3'!C8)/2))</f>
        <v>0.18844711945449638</v>
      </c>
      <c r="O12" s="176">
        <v>0</v>
      </c>
      <c r="P12" s="176">
        <v>0</v>
      </c>
      <c r="Q12" s="176">
        <v>0</v>
      </c>
      <c r="R12" s="176">
        <v>0</v>
      </c>
      <c r="S12" s="177">
        <v>0</v>
      </c>
      <c r="T12" s="51"/>
    </row>
    <row r="13" spans="1:20" s="81" customFormat="1" ht="14.45" customHeight="1" x14ac:dyDescent="0.25">
      <c r="A13" s="23" t="s">
        <v>69</v>
      </c>
      <c r="B13" s="132">
        <f>365/('Income Statement - 1'!B6/(('Balance Sheet - 1'!B7+'Balance Sheet - 1'!C7)/2))</f>
        <v>20.525834999906547</v>
      </c>
      <c r="C13" s="133">
        <f>365/('Income Statement - 1'!C6/(('Balance Sheet - 1'!C7+'Balance Sheet - 1'!D7)/2))</f>
        <v>21.285650874275184</v>
      </c>
      <c r="D13" s="133">
        <f>365/('Income Statement - 1'!D6/(('Balance Sheet - 1'!D7+'Balance Sheet - 1'!E7)/2))</f>
        <v>21.041476387471121</v>
      </c>
      <c r="E13" s="133">
        <f>365/('Income Statement - 1'!E6/(('Balance Sheet - 1'!E7+'Balance Sheet - 1'!F7)/2))</f>
        <v>19.08254628189809</v>
      </c>
      <c r="F13" s="133">
        <f>365/('Income Statement - 1'!F6/(('Balance Sheet - 1'!F7+'Balance Sheet - 1'!G7)/2))</f>
        <v>15.783742746011608</v>
      </c>
      <c r="G13" s="133">
        <f>365/('Income Statement - 1'!G6/(('Balance Sheet - 1'!G7+'Balance Sheet - 1'!H7)/2))</f>
        <v>13.7392556426149</v>
      </c>
      <c r="H13" s="132">
        <f>365/('Income Statement - 2'!B6/(('Balance Sheet - 2'!B7+'Balance Sheet - 2'!C7)/2))</f>
        <v>30.076815642458101</v>
      </c>
      <c r="I13" s="133">
        <f>365/('Income Statement - 2'!C6/(('Balance Sheet - 2'!C7+'Balance Sheet - 2'!D7)/2))</f>
        <v>35.212741751990897</v>
      </c>
      <c r="J13" s="133">
        <f>365/('Income Statement - 2'!D6/(('Balance Sheet - 2'!D7+'Balance Sheet - 2'!E7)/2))</f>
        <v>38.038331112995039</v>
      </c>
      <c r="K13" s="133">
        <f>365/('Income Statement - 2'!E6/(('Balance Sheet - 2'!E7+'Balance Sheet - 2'!F7)/2))</f>
        <v>19.505400795906766</v>
      </c>
      <c r="L13" s="133">
        <f>365/('Income Statement - 2'!F6/(('Balance Sheet - 2'!F7+'Balance Sheet - 2'!G7)/2))</f>
        <v>17.792653621695848</v>
      </c>
      <c r="M13" s="133">
        <f>365/('Income Statement - 2'!G6/(('Balance Sheet - 2'!G7+'Balance Sheet - 2'!H7)/2))</f>
        <v>17.181629532546964</v>
      </c>
      <c r="N13" s="132">
        <f>365/('Income Statement - 3'!B6/(('Balance Sheet - 3'!B7+'Balance Sheet - 3'!C7)/2))</f>
        <v>21.027861734607775</v>
      </c>
      <c r="O13" s="133">
        <f>365/('Income Statement - 3'!C6/(('Balance Sheet - 3'!C7+'Balance Sheet - 3'!D7)/2))</f>
        <v>23.792656719421565</v>
      </c>
      <c r="P13" s="133">
        <f>365/('Income Statement - 3'!D6/(('Balance Sheet - 3'!D7+'Balance Sheet - 3'!E7)/2))</f>
        <v>17.655884002158295</v>
      </c>
      <c r="Q13" s="133">
        <f>365/('Income Statement - 3'!E6/(('Balance Sheet - 3'!E7+'Balance Sheet - 3'!F7)/2))</f>
        <v>17.904100899087528</v>
      </c>
      <c r="R13" s="133">
        <f>365/('Income Statement - 3'!F6/(('Balance Sheet - 3'!F7+'Balance Sheet - 3'!G7)/2))</f>
        <v>17.96904479948617</v>
      </c>
      <c r="S13" s="134">
        <f>365/('Income Statement - 3'!G6/(('Balance Sheet - 3'!G7+'Balance Sheet - 3'!H7)/2))</f>
        <v>14.725239483932889</v>
      </c>
      <c r="T13" s="51"/>
    </row>
    <row r="14" spans="1:20" s="81" customFormat="1" ht="14.45" customHeight="1" x14ac:dyDescent="0.25">
      <c r="A14" s="38" t="s">
        <v>73</v>
      </c>
      <c r="B14" s="69">
        <f>(B12+B13)-((('Balance Sheet - 1'!B16+'Balance Sheet - 1'!C16)/2)/('Income Statement - 1'!B7/365))</f>
        <v>-26.121176207194537</v>
      </c>
      <c r="C14" s="70">
        <f>(C12+C13)-((('Balance Sheet - 1'!C16+'Balance Sheet - 1'!D16)/2)/('Income Statement - 1'!C7/365))</f>
        <v>-24.90355425066106</v>
      </c>
      <c r="D14" s="70">
        <f>(D12+D13)-((('Balance Sheet - 1'!D16+'Balance Sheet - 1'!E16)/2)/('Income Statement - 1'!D7/365))</f>
        <v>-29.513930489478369</v>
      </c>
      <c r="E14" s="70">
        <f>(E12+E13)-((('Balance Sheet - 1'!E16+'Balance Sheet - 1'!F16)/2)/('Income Statement - 1'!E7/365))</f>
        <v>-34.27282993354207</v>
      </c>
      <c r="F14" s="70">
        <f>(F12+F13)-((('Balance Sheet - 1'!F16+'Balance Sheet - 1'!G16)/2)/('Income Statement - 1'!F7/365))</f>
        <v>-38.06374169938637</v>
      </c>
      <c r="G14" s="70">
        <f>(G12+G13)-((('Balance Sheet - 1'!G16+'Balance Sheet - 1'!H16)/2)/('Income Statement - 1'!G7/365))</f>
        <v>-29.355507355766186</v>
      </c>
      <c r="H14" s="69">
        <f>(H12+H13)-((('Balance Sheet - 2'!B16+'Balance Sheet - 2'!C16)/2)/('Income Statement - 2'!B7/365))</f>
        <v>-16.913585260986281</v>
      </c>
      <c r="I14" s="70">
        <f>(I12+I13)-((('Balance Sheet - 2'!C16+'Balance Sheet - 2'!D16)/2)/('Income Statement - 2'!C7/365))</f>
        <v>-10.439693605796236</v>
      </c>
      <c r="J14" s="70">
        <f>(J12+J13)-((('Balance Sheet - 2'!D16+'Balance Sheet - 2'!E16)/2)/('Income Statement - 2'!D7/365))</f>
        <v>-36.576280147058583</v>
      </c>
      <c r="K14" s="70">
        <f>(K12+K13)-((('Balance Sheet - 2'!E16+'Balance Sheet - 2'!F16)/2)/('Income Statement - 2'!E7/365))</f>
        <v>-5.7744853521008253</v>
      </c>
      <c r="L14" s="70">
        <f>(L12+L13)-((('Balance Sheet - 2'!F16+'Balance Sheet - 2'!G16)/2)/('Income Statement - 2'!F7/365))</f>
        <v>-6.8851851532246968</v>
      </c>
      <c r="M14" s="70">
        <f>(M12+M13)-((('Balance Sheet - 2'!G16+'Balance Sheet - 2'!H16)/2)/('Income Statement - 2'!G7/365))</f>
        <v>-9.6524188293875142</v>
      </c>
      <c r="N14" s="69">
        <f>(N12+N13)-((('Balance Sheet - 3'!B16+'Balance Sheet - 3'!C16)/2)/('Income Statement - 3'!B7/365))</f>
        <v>-80.684348838710548</v>
      </c>
      <c r="O14" s="70">
        <f>(O12+O13)-((('Balance Sheet - 3'!C16+'Balance Sheet - 3'!D16)/2)/('Income Statement - 3'!C7/365))</f>
        <v>-82.291251116882847</v>
      </c>
      <c r="P14" s="70">
        <f>(P12+P13)-((('Balance Sheet - 3'!D16+'Balance Sheet - 3'!E16)/2)/('Income Statement - 3'!D7/365))</f>
        <v>-64.253542722012781</v>
      </c>
      <c r="Q14" s="70">
        <f>(Q12+Q13)-((('Balance Sheet - 3'!E16+'Balance Sheet - 3'!F16)/2)/('Income Statement - 3'!E7/365))</f>
        <v>-64.386030109731351</v>
      </c>
      <c r="R14" s="70">
        <f>(R12+R13)-((('Balance Sheet - 3'!F16+'Balance Sheet - 3'!G16)/2)/('Income Statement - 3'!F7/365))</f>
        <v>-76.966109802490067</v>
      </c>
      <c r="S14" s="71">
        <f>(S12+S13)-((('Balance Sheet - 3'!G16+'Balance Sheet - 3'!H16)/2)/('Income Statement - 3'!G7/365))</f>
        <v>-98.311065564402242</v>
      </c>
      <c r="T14" s="51" t="s">
        <v>81</v>
      </c>
    </row>
    <row r="15" spans="1:20" s="81" customFormat="1" ht="14.45" customHeight="1" x14ac:dyDescent="0.25">
      <c r="A15" s="23" t="s">
        <v>5</v>
      </c>
      <c r="B15" s="33">
        <f>'Income Statement - 1'!B6/(('Balance Sheet - 1'!B13+'Balance Sheet - 1'!C13)/2)</f>
        <v>1.7841916147696104</v>
      </c>
      <c r="C15" s="32">
        <f>'Income Statement - 1'!C6/(('Balance Sheet - 1'!C13+'Balance Sheet - 1'!D13)/2)</f>
        <v>1.8800811290458885</v>
      </c>
      <c r="D15" s="32">
        <f>'Income Statement - 1'!D6/(('Balance Sheet - 1'!D13+'Balance Sheet - 1'!E13)/2)</f>
        <v>2.0478037241796629</v>
      </c>
      <c r="E15" s="32">
        <f>'Income Statement - 1'!E6/(('Balance Sheet - 1'!E13+'Balance Sheet - 1'!F13)/2)</f>
        <v>2.1127384019504434</v>
      </c>
      <c r="F15" s="32">
        <f>'Income Statement - 1'!F6/(('Balance Sheet - 1'!F13+'Balance Sheet - 1'!G13)/2)</f>
        <v>2.1815995462280204</v>
      </c>
      <c r="G15" s="32">
        <f>'Income Statement - 1'!G6/(('Balance Sheet - 1'!G13+'Balance Sheet - 1'!H13)/2)</f>
        <v>2.0977614228764181</v>
      </c>
      <c r="H15" s="59">
        <f>'Income Statement - 2'!B6/(('Balance Sheet - 2'!B13+'Balance Sheet - 2'!C13)/2)</f>
        <v>0.2731217318053944</v>
      </c>
      <c r="I15" s="32">
        <f>'Income Statement - 2'!C6/(('Balance Sheet - 2'!C13+'Balance Sheet - 2'!D13)/2)</f>
        <v>0.20295543754329254</v>
      </c>
      <c r="J15" s="32">
        <f>'Income Statement - 2'!D6/(('Balance Sheet - 2'!D13+'Balance Sheet - 2'!E13)/2)</f>
        <v>0.21020340622692904</v>
      </c>
      <c r="K15" s="32">
        <f>'Income Statement - 2'!E6/(('Balance Sheet - 2'!E13+'Balance Sheet - 2'!F13)/2)</f>
        <v>0.43705935335590274</v>
      </c>
      <c r="L15" s="32">
        <f>'Income Statement - 2'!F6/(('Balance Sheet - 2'!F13+'Balance Sheet - 2'!G13)/2)</f>
        <v>0.47246776417160002</v>
      </c>
      <c r="M15" s="32">
        <f>'Income Statement - 2'!G6/(('Balance Sheet - 2'!G13+'Balance Sheet - 2'!H13)/2)</f>
        <v>0.45313273285162825</v>
      </c>
      <c r="N15" s="59">
        <f>'Income Statement - 3'!B6/(('Balance Sheet - 3'!B13+'Balance Sheet - 3'!C13)/2)</f>
        <v>0.66156360999222008</v>
      </c>
      <c r="O15" s="60">
        <f>'Income Statement - 3'!C6/(('Balance Sheet - 3'!C13+'Balance Sheet - 3'!D13)/2)</f>
        <v>0.71386920299382384</v>
      </c>
      <c r="P15" s="60">
        <f>'Income Statement - 3'!D6/(('Balance Sheet - 3'!D13+'Balance Sheet - 3'!E13)/2)</f>
        <v>0.882503977472195</v>
      </c>
      <c r="Q15" s="60">
        <f>'Income Statement - 3'!E6/(('Balance Sheet - 3'!E13+'Balance Sheet - 3'!F13)/2)</f>
        <v>0.89528157201054392</v>
      </c>
      <c r="R15" s="60">
        <f>'Income Statement - 3'!F6/(('Balance Sheet - 3'!F13+'Balance Sheet - 3'!G13)/2)</f>
        <v>0.95564357575118208</v>
      </c>
      <c r="S15" s="111">
        <f>'Income Statement - 3'!G6/(('Balance Sheet - 3'!G13+'Balance Sheet - 3'!H13)/2)</f>
        <v>0.95829068068105694</v>
      </c>
      <c r="T15" s="51"/>
    </row>
    <row r="16" spans="1:20" s="81" customFormat="1" ht="14.45" customHeight="1" x14ac:dyDescent="0.25">
      <c r="A16" s="39" t="s">
        <v>76</v>
      </c>
      <c r="B16" s="54"/>
      <c r="C16" s="40"/>
      <c r="D16" s="5"/>
      <c r="E16" s="41"/>
      <c r="F16" s="5"/>
      <c r="G16" s="6"/>
      <c r="H16" s="4"/>
      <c r="I16" s="5"/>
      <c r="J16" s="5"/>
      <c r="K16" s="5"/>
      <c r="L16" s="5"/>
      <c r="M16" s="6"/>
      <c r="N16" s="4"/>
      <c r="O16" s="5"/>
      <c r="P16" s="5"/>
      <c r="Q16" s="5"/>
      <c r="R16" s="5"/>
      <c r="S16" s="6"/>
      <c r="T16" s="51"/>
    </row>
    <row r="17" spans="1:20" s="81" customFormat="1" ht="14.45" customHeight="1" x14ac:dyDescent="0.25">
      <c r="A17" s="23" t="s">
        <v>0</v>
      </c>
      <c r="B17" s="65">
        <f>'Balance Sheet - 1'!B10/'Balance Sheet - 1'!B19</f>
        <v>1.0759609428006727</v>
      </c>
      <c r="C17" s="30">
        <f>'Balance Sheet - 1'!C10/'Balance Sheet - 1'!C19</f>
        <v>1.1152764427355903</v>
      </c>
      <c r="D17" s="30">
        <f>'Balance Sheet - 1'!D10/'Balance Sheet - 1'!D19</f>
        <v>1.0715839860748477</v>
      </c>
      <c r="E17" s="30">
        <f>'Balance Sheet - 1'!E10/'Balance Sheet - 1'!E19</f>
        <v>1.1207241343016525</v>
      </c>
      <c r="F17" s="30">
        <f>'Balance Sheet - 1'!F10/'Balance Sheet - 1'!F19</f>
        <v>1.174140708915145</v>
      </c>
      <c r="G17" s="61">
        <f>'Balance Sheet - 1'!G10/'Balance Sheet - 1'!G19</f>
        <v>1.3253952950250676</v>
      </c>
      <c r="H17" s="65">
        <f>'Balance Sheet - 2'!B10/'Balance Sheet - 2'!B19</f>
        <v>3.4927087936367656</v>
      </c>
      <c r="I17" s="30">
        <f>'Balance Sheet - 2'!C10/'Balance Sheet - 2'!C19</f>
        <v>1.5133763048314415</v>
      </c>
      <c r="J17" s="30">
        <f>'Balance Sheet - 2'!D10/'Balance Sheet - 2'!D19</f>
        <v>1.8421552338001423</v>
      </c>
      <c r="K17" s="30">
        <f>'Balance Sheet - 2'!E10/'Balance Sheet - 2'!E19</f>
        <v>1.9588062980593188</v>
      </c>
      <c r="L17" s="30">
        <f>'Balance Sheet - 2'!F10/'Balance Sheet - 2'!F19</f>
        <v>1.8801603801603801</v>
      </c>
      <c r="M17" s="61">
        <f>'Balance Sheet - 2'!G10/'Balance Sheet - 2'!G19</f>
        <v>2.4496347133052909</v>
      </c>
      <c r="N17" s="58">
        <f>'Balance Sheet - 3'!B10/'Balance Sheet - 3'!B19</f>
        <v>1.7151335585460856</v>
      </c>
      <c r="O17" s="30">
        <f>'Balance Sheet - 3'!C10/'Balance Sheet - 3'!C19</f>
        <v>1.8206019349128402</v>
      </c>
      <c r="P17" s="30">
        <f>'Balance Sheet - 3'!D10/'Balance Sheet - 3'!D19</f>
        <v>1.4550110186201297</v>
      </c>
      <c r="Q17" s="30">
        <f>'Balance Sheet - 3'!E10/'Balance Sheet - 3'!E19</f>
        <v>1.624251611799612</v>
      </c>
      <c r="R17" s="30">
        <f>'Balance Sheet - 3'!F10/'Balance Sheet - 3'!F19</f>
        <v>1.6926393021368678</v>
      </c>
      <c r="S17" s="61">
        <f>'Balance Sheet - 3'!G10/'Balance Sheet - 3'!G19</f>
        <v>1.1497952349706995</v>
      </c>
      <c r="T17" s="51"/>
    </row>
    <row r="18" spans="1:20" s="81" customFormat="1" ht="14.45" customHeight="1" x14ac:dyDescent="0.25">
      <c r="A18" s="38" t="s">
        <v>68</v>
      </c>
      <c r="B18" s="122">
        <f>'Balance Sheet - 1'!B23/'Balance Sheet - 1'!B13</f>
        <v>0.79548927327180485</v>
      </c>
      <c r="C18" s="123">
        <f>'Balance Sheet - 1'!C23/'Balance Sheet - 1'!C13</f>
        <v>0.80293551050362355</v>
      </c>
      <c r="D18" s="123">
        <f>'Balance Sheet - 1'!D23/'Balance Sheet - 1'!D13</f>
        <v>0.75731467417017351</v>
      </c>
      <c r="E18" s="123">
        <f>'Balance Sheet - 1'!E23/'Balance Sheet - 1'!E13</f>
        <v>0.74836430655813235</v>
      </c>
      <c r="F18" s="123">
        <f>'Balance Sheet - 1'!F23/'Balance Sheet - 1'!F13</f>
        <v>0.69313236806709388</v>
      </c>
      <c r="G18" s="124">
        <f>'Balance Sheet - 1'!G23/'Balance Sheet - 1'!G13</f>
        <v>0.63483534606586156</v>
      </c>
      <c r="H18" s="122">
        <f>'Balance Sheet - 2'!B23/'Balance Sheet - 2'!B13</f>
        <v>0.63025021085184141</v>
      </c>
      <c r="I18" s="123">
        <f>'Balance Sheet - 2'!C23/'Balance Sheet - 2'!C13</f>
        <v>0.55893822564920681</v>
      </c>
      <c r="J18" s="123">
        <f>'Balance Sheet - 2'!D23/'Balance Sheet - 2'!D13</f>
        <v>0.43002795989201698</v>
      </c>
      <c r="K18" s="123">
        <f>'Balance Sheet - 2'!E23/'Balance Sheet - 2'!E13</f>
        <v>0.43720666774558992</v>
      </c>
      <c r="L18" s="123">
        <f>'Balance Sheet - 2'!F23/'Balance Sheet - 2'!F13</f>
        <v>0.34370424597364568</v>
      </c>
      <c r="M18" s="124">
        <f>'Balance Sheet - 2'!G23/'Balance Sheet - 2'!G13</f>
        <v>0.30458098527540445</v>
      </c>
      <c r="N18" s="122">
        <f>'Balance Sheet - 3'!B23/'Balance Sheet - 3'!B13</f>
        <v>0.66176168735539642</v>
      </c>
      <c r="O18" s="123">
        <f>'Balance Sheet - 3'!C23/'Balance Sheet - 3'!C13</f>
        <v>0.6320120970536186</v>
      </c>
      <c r="P18" s="123">
        <f>'Balance Sheet - 3'!D23/'Balance Sheet - 3'!D13</f>
        <v>0.42014609285184928</v>
      </c>
      <c r="Q18" s="123">
        <f>'Balance Sheet - 3'!E23/'Balance Sheet - 3'!E13</f>
        <v>0.39454403773797758</v>
      </c>
      <c r="R18" s="123">
        <f>'Balance Sheet - 3'!F23/'Balance Sheet - 3'!F13</f>
        <v>0.38420929899334422</v>
      </c>
      <c r="S18" s="124">
        <f>'Balance Sheet - 3'!G23/'Balance Sheet - 3'!G13</f>
        <v>0.36325982727869388</v>
      </c>
      <c r="T18" s="51"/>
    </row>
    <row r="19" spans="1:20" s="81" customFormat="1" ht="14.45" customHeight="1" x14ac:dyDescent="0.25">
      <c r="A19" s="23" t="s">
        <v>49</v>
      </c>
      <c r="B19" s="116">
        <f>'Balance Sheet - 1'!B26/'Balance Sheet - 1'!B13</f>
        <v>0.20451072672819509</v>
      </c>
      <c r="C19" s="117">
        <f>'Balance Sheet - 1'!C26/'Balance Sheet - 1'!C13</f>
        <v>0.19706448949637648</v>
      </c>
      <c r="D19" s="117">
        <f>'Balance Sheet - 1'!D26/'Balance Sheet - 1'!D13</f>
        <v>0.24268532582982644</v>
      </c>
      <c r="E19" s="117">
        <f>'Balance Sheet - 1'!E26/'Balance Sheet - 1'!E13</f>
        <v>0.25163569344186759</v>
      </c>
      <c r="F19" s="117">
        <f>'Balance Sheet - 1'!F26/'Balance Sheet - 1'!F13</f>
        <v>0.30686763193290606</v>
      </c>
      <c r="G19" s="118">
        <f>'Balance Sheet - 1'!G26/'Balance Sheet - 1'!G13</f>
        <v>0.36516465393413844</v>
      </c>
      <c r="H19" s="116">
        <f>'Balance Sheet - 2'!B26/'Balance Sheet - 2'!B13</f>
        <v>0.36974978914815854</v>
      </c>
      <c r="I19" s="117">
        <f>'Balance Sheet - 2'!C26/'Balance Sheet - 2'!C13</f>
        <v>0.44106177435079325</v>
      </c>
      <c r="J19" s="117">
        <f>'Balance Sheet - 2'!D26/'Balance Sheet - 2'!D13</f>
        <v>0.56997204010798308</v>
      </c>
      <c r="K19" s="117">
        <f>'Balance Sheet - 2'!E26/'Balance Sheet - 2'!E13</f>
        <v>0.56279333225441008</v>
      </c>
      <c r="L19" s="117">
        <f>'Balance Sheet - 2'!F26/'Balance Sheet - 2'!F13</f>
        <v>0.65629575402635432</v>
      </c>
      <c r="M19" s="118">
        <f>'Balance Sheet - 2'!G26/'Balance Sheet - 2'!G13</f>
        <v>0.69541901472459555</v>
      </c>
      <c r="N19" s="116">
        <f>'Balance Sheet - 3'!B26/'Balance Sheet - 3'!B13</f>
        <v>0.33823831264460358</v>
      </c>
      <c r="O19" s="117">
        <f>'Balance Sheet - 3'!C26/'Balance Sheet - 3'!C13</f>
        <v>0.3679879029463814</v>
      </c>
      <c r="P19" s="117">
        <f>'Balance Sheet - 3'!D26/'Balance Sheet - 3'!D13</f>
        <v>0.57985390714815066</v>
      </c>
      <c r="Q19" s="117">
        <f>'Balance Sheet - 3'!E26/'Balance Sheet - 3'!E13</f>
        <v>0.60545596226202236</v>
      </c>
      <c r="R19" s="117">
        <f>'Balance Sheet - 3'!F26/'Balance Sheet - 3'!F13</f>
        <v>0.61579070100665578</v>
      </c>
      <c r="S19" s="118">
        <f>'Balance Sheet - 3'!G26/'Balance Sheet - 3'!G13</f>
        <v>0.63674017272130612</v>
      </c>
      <c r="T19" s="51"/>
    </row>
    <row r="20" spans="1:20" s="81" customFormat="1" ht="14.45" customHeight="1" x14ac:dyDescent="0.25">
      <c r="A20" s="38" t="s">
        <v>6</v>
      </c>
      <c r="B20" s="122">
        <f>('Balance Sheet - 1'!B17+'Balance Sheet - 1'!B21)/'Balance Sheet - 1'!B26</f>
        <v>0.61528690974297673</v>
      </c>
      <c r="C20" s="123">
        <f>('Balance Sheet - 1'!C17+'Balance Sheet - 1'!C21)/'Balance Sheet - 1'!C26</f>
        <v>0.7694814263103994</v>
      </c>
      <c r="D20" s="123">
        <f>('Balance Sheet - 1'!D17+'Balance Sheet - 1'!D21)/'Balance Sheet - 1'!D26</f>
        <v>0.32741637594910733</v>
      </c>
      <c r="E20" s="123">
        <f>('Balance Sheet - 1'!E17+'Balance Sheet - 1'!E21)/'Balance Sheet - 1'!E26</f>
        <v>0.37646484375</v>
      </c>
      <c r="F20" s="123">
        <f>('Balance Sheet - 1'!F17+'Balance Sheet - 1'!F21)/'Balance Sheet - 1'!F26</f>
        <v>3.2873533582570579E-2</v>
      </c>
      <c r="G20" s="124">
        <f>('Balance Sheet - 1'!G17+'Balance Sheet - 1'!G21)/'Balance Sheet - 1'!G26</f>
        <v>2.6806526806526808E-2</v>
      </c>
      <c r="H20" s="122">
        <f>('Balance Sheet - 2'!B17+'Balance Sheet - 2'!B21)/'Balance Sheet - 2'!B26</f>
        <v>1.0308698296836982</v>
      </c>
      <c r="I20" s="123">
        <f>('Balance Sheet - 2'!C17+'Balance Sheet - 2'!C21)/'Balance Sheet - 2'!C26</f>
        <v>0.38315080880136643</v>
      </c>
      <c r="J20" s="123">
        <f>('Balance Sheet - 2'!D17+'Balance Sheet - 2'!D21)/'Balance Sheet - 2'!D26</f>
        <v>0.17435615511481373</v>
      </c>
      <c r="K20" s="123">
        <f>('Balance Sheet - 2'!E17+'Balance Sheet - 2'!E21)/'Balance Sheet - 2'!E26</f>
        <v>0.21658279415288761</v>
      </c>
      <c r="L20" s="123">
        <f>('Balance Sheet - 2'!F17+'Balance Sheet - 2'!F21)/'Balance Sheet - 2'!F26</f>
        <v>0.1165644171779141</v>
      </c>
      <c r="M20" s="124">
        <f>('Balance Sheet - 2'!G17+'Balance Sheet - 2'!G21)/'Balance Sheet - 2'!G26</f>
        <v>0.11723957652594433</v>
      </c>
      <c r="N20" s="122">
        <f>('Balance Sheet - 3'!B17+'Balance Sheet - 3'!B21)/'Balance Sheet - 3'!B26</f>
        <v>0.87288265411332178</v>
      </c>
      <c r="O20" s="123">
        <f>('Balance Sheet - 3'!C17+'Balance Sheet - 3'!C21)/'Balance Sheet - 3'!C26</f>
        <v>0.79773910306137363</v>
      </c>
      <c r="P20" s="123">
        <f>('Balance Sheet - 3'!D17+'Balance Sheet - 3'!D21)/'Balance Sheet - 3'!D26</f>
        <v>4.6176823374596776E-2</v>
      </c>
      <c r="Q20" s="123">
        <f>('Balance Sheet - 3'!E17+'Balance Sheet - 3'!E21)/'Balance Sheet - 3'!E26</f>
        <v>4.9687212098836146E-4</v>
      </c>
      <c r="R20" s="123">
        <f>('Balance Sheet - 3'!F17+'Balance Sheet - 3'!F21)/'Balance Sheet - 3'!F26</f>
        <v>1.2866196122803737E-3</v>
      </c>
      <c r="S20" s="124">
        <f>('Balance Sheet - 3'!G17+'Balance Sheet - 3'!G21)/'Balance Sheet - 3'!G26</f>
        <v>1.6771683807172224E-3</v>
      </c>
      <c r="T20" s="51"/>
    </row>
    <row r="21" spans="1:20" s="81" customFormat="1" ht="14.45" customHeight="1" x14ac:dyDescent="0.25">
      <c r="A21" s="23" t="s">
        <v>7</v>
      </c>
      <c r="B21" s="65">
        <f>('Income Statement - 1'!B23+'Income Statement - 1'!B18)/'Income Statement - 1'!B23</f>
        <v>2.2984749455337692</v>
      </c>
      <c r="C21" s="30">
        <f>('Income Statement - 1'!C23+'Income Statement - 1'!C18)/'Income Statement - 1'!C23</f>
        <v>-0.14761904761904762</v>
      </c>
      <c r="D21" s="30">
        <f>('Income Statement - 1'!D23+'Income Statement - 1'!D18)/'Income Statement - 1'!D23</f>
        <v>2.9432624113475176</v>
      </c>
      <c r="E21" s="30">
        <f>('Income Statement - 1'!E23+'Income Statement - 1'!E18)/'Income Statement - 1'!E23</f>
        <v>0.57608695652173914</v>
      </c>
      <c r="F21" s="30">
        <f>('Income Statement - 1'!F23+'Income Statement - 1'!F18)/'Income Statement - 1'!F23</f>
        <v>10.707692307692307</v>
      </c>
      <c r="G21" s="61">
        <f>('Income Statement - 1'!G23+'Income Statement - 1'!G18)/'Income Statement - 1'!G23</f>
        <v>30.53846153846154</v>
      </c>
      <c r="H21" s="57">
        <f>('Income Statement - 2'!B23+'Income Statement - 2'!B18)/'Income Statement - 2'!B23</f>
        <v>12.979166666666666</v>
      </c>
      <c r="I21" s="30">
        <f>('Income Statement - 2'!C23+'Income Statement - 2'!C18)/'Income Statement - 2'!C23</f>
        <v>1.4220183486238531</v>
      </c>
      <c r="J21" s="30">
        <f>('Income Statement - 2'!D23+'Income Statement - 2'!D18)/'Income Statement - 2'!D23</f>
        <v>31.063157894736843</v>
      </c>
      <c r="K21" s="30">
        <f>('Income Statement - 2'!E23+'Income Statement - 2'!E18)/'Income Statement - 2'!E23</f>
        <v>42.412698412698411</v>
      </c>
      <c r="L21" s="30">
        <f>('Income Statement - 2'!F23+'Income Statement - 2'!F18)/'Income Statement - 2'!F23</f>
        <v>130.16</v>
      </c>
      <c r="M21" s="61">
        <f>('Income Statement - 2'!G23+'Income Statement - 2'!G18)/'Income Statement - 2'!G23</f>
        <v>451.25</v>
      </c>
      <c r="N21" s="57">
        <f>('Income Statement - 3'!B23+'Income Statement - 3'!B18)/'Income Statement - 3'!B23</f>
        <v>6.1880241282918931</v>
      </c>
      <c r="O21" s="31">
        <f>('Income Statement - 3'!C23+'Income Statement - 3'!C18)/'Income Statement - 3'!C23</f>
        <v>7.2253194956685824</v>
      </c>
      <c r="P21" s="31">
        <f>('Income Statement - 3'!D23+'Income Statement - 3'!D18)/'Income Statement - 3'!D23</f>
        <v>50.875636672325975</v>
      </c>
      <c r="Q21" s="31">
        <f>('Income Statement - 3'!E23+'Income Statement - 3'!E18)/'Income Statement - 3'!E23</f>
        <v>89.969244288224957</v>
      </c>
      <c r="R21" s="31">
        <f>('Income Statement - 3'!F23+'Income Statement - 3'!F18)/'Income Statement - 3'!F23</f>
        <v>22.041381200328857</v>
      </c>
      <c r="S21" s="55">
        <f>('Income Statement - 3'!G23+'Income Statement - 3'!G18)/'Income Statement - 3'!G23</f>
        <v>8.3697711128650347</v>
      </c>
      <c r="T21" s="51"/>
    </row>
    <row r="22" spans="1:20" s="81" customFormat="1" ht="14.45" customHeight="1" x14ac:dyDescent="0.25">
      <c r="A22" s="39" t="s">
        <v>77</v>
      </c>
      <c r="B22" s="54"/>
      <c r="C22" s="5"/>
      <c r="D22" s="5"/>
      <c r="E22" s="41"/>
      <c r="F22" s="5"/>
      <c r="G22" s="6"/>
      <c r="H22" s="4"/>
      <c r="I22" s="5"/>
      <c r="J22" s="5"/>
      <c r="K22" s="5"/>
      <c r="L22" s="5"/>
      <c r="M22" s="6"/>
      <c r="N22" s="4"/>
      <c r="O22" s="67"/>
      <c r="P22" s="67"/>
      <c r="Q22" s="67"/>
      <c r="R22" s="67"/>
      <c r="S22" s="68"/>
      <c r="T22" s="51"/>
    </row>
    <row r="23" spans="1:20" s="81" customFormat="1" ht="14.45" customHeight="1" x14ac:dyDescent="0.25">
      <c r="A23" s="23" t="s">
        <v>8</v>
      </c>
      <c r="B23" s="33">
        <v>675.89</v>
      </c>
      <c r="C23" s="32">
        <v>310.35000000000002</v>
      </c>
      <c r="D23" s="32">
        <v>398.79</v>
      </c>
      <c r="E23" s="32">
        <v>250.87</v>
      </c>
      <c r="F23" s="75">
        <v>173.1</v>
      </c>
      <c r="G23" s="76">
        <v>180</v>
      </c>
      <c r="H23" s="77">
        <v>27.48</v>
      </c>
      <c r="I23" s="75">
        <v>23.62</v>
      </c>
      <c r="J23" s="32">
        <v>23.09</v>
      </c>
      <c r="K23" s="32">
        <v>21.46</v>
      </c>
      <c r="L23" s="32">
        <v>12.77</v>
      </c>
      <c r="M23" s="34">
        <v>11.71</v>
      </c>
      <c r="N23" s="33">
        <v>114.34</v>
      </c>
      <c r="O23" s="32">
        <v>127.67</v>
      </c>
      <c r="P23" s="32">
        <v>107.79</v>
      </c>
      <c r="Q23" s="32">
        <v>78.55</v>
      </c>
      <c r="R23" s="32">
        <v>79.540000000000006</v>
      </c>
      <c r="S23" s="34">
        <v>66.650000000000006</v>
      </c>
      <c r="T23" s="51"/>
    </row>
    <row r="24" spans="1:20" s="81" customFormat="1" ht="14.45" customHeight="1" x14ac:dyDescent="0.25">
      <c r="A24" s="38" t="s">
        <v>48</v>
      </c>
      <c r="B24" s="2">
        <f>'Income Statement - 1'!B21</f>
        <v>1.249475890985325</v>
      </c>
      <c r="C24" s="1">
        <f>'Income Statement - 1'!C21</f>
        <v>-0.52164502164502169</v>
      </c>
      <c r="D24" s="1">
        <f>'Income Statement - 1'!D21</f>
        <v>0.58924731182795698</v>
      </c>
      <c r="E24" s="1">
        <f>'Income Statement - 1'!E21</f>
        <v>-8.6092715231788075E-2</v>
      </c>
      <c r="F24" s="1">
        <f>'Income Statement - 1'!F21</f>
        <v>1.3687635574837311</v>
      </c>
      <c r="G24" s="3">
        <f>'Income Statement - 1'!G21</f>
        <v>2.5263157894736841</v>
      </c>
      <c r="H24" s="2">
        <f>'Income Statement - 2'!B21</f>
        <v>1.4139344262295082</v>
      </c>
      <c r="I24" s="1">
        <f>'Income Statement - 2'!C21</f>
        <v>3.6450079239302692E-2</v>
      </c>
      <c r="J24" s="1">
        <f>'Income Statement - 2'!D21</f>
        <v>2.175171363290175</v>
      </c>
      <c r="K24" s="1">
        <f>'Income Statement - 2'!E21</f>
        <v>1.987052551408987</v>
      </c>
      <c r="L24" s="1">
        <f>'Income Statement - 2'!F21</f>
        <v>2.459253617669459</v>
      </c>
      <c r="M24" s="3">
        <f>'Income Statement - 2'!G21</f>
        <v>1.3571966842501884</v>
      </c>
      <c r="N24" s="2">
        <f>'Income Statement - 3'!B21</f>
        <v>2.395818612690372</v>
      </c>
      <c r="O24" s="1">
        <f>'Income Statement - 3'!C21</f>
        <v>1.6438191485034477</v>
      </c>
      <c r="P24" s="1">
        <f>'Income Statement - 3'!D21</f>
        <v>2.6613834745858682</v>
      </c>
      <c r="Q24" s="1">
        <f>'Income Statement - 3'!E21</f>
        <v>2.293258697800884</v>
      </c>
      <c r="R24" s="1">
        <f>'Income Statement - 3'!F21</f>
        <v>1.7390147459979617</v>
      </c>
      <c r="S24" s="3">
        <f>'Income Statement - 3'!G21</f>
        <v>1.2690597369352989</v>
      </c>
      <c r="T24" s="51"/>
    </row>
    <row r="25" spans="1:20" s="81" customFormat="1" ht="14.45" customHeight="1" x14ac:dyDescent="0.25">
      <c r="A25" s="23" t="s">
        <v>9</v>
      </c>
      <c r="B25" s="65">
        <f t="shared" ref="B25:S25" si="0">B23/B24</f>
        <v>540.93880872483214</v>
      </c>
      <c r="C25" s="30">
        <f t="shared" si="0"/>
        <v>-594.94481327800827</v>
      </c>
      <c r="D25" s="30">
        <f t="shared" si="0"/>
        <v>676.77864963503657</v>
      </c>
      <c r="E25" s="30">
        <f t="shared" si="0"/>
        <v>-2913.9515384615388</v>
      </c>
      <c r="F25" s="30">
        <f t="shared" si="0"/>
        <v>126.46450079239301</v>
      </c>
      <c r="G25" s="61">
        <f t="shared" si="0"/>
        <v>71.25</v>
      </c>
      <c r="H25" s="65">
        <f t="shared" si="0"/>
        <v>19.435130434782611</v>
      </c>
      <c r="I25" s="30">
        <f t="shared" si="0"/>
        <v>648.00956521739135</v>
      </c>
      <c r="J25" s="30">
        <f t="shared" si="0"/>
        <v>10.615255602240897</v>
      </c>
      <c r="K25" s="30">
        <f t="shared" si="0"/>
        <v>10.799915676504408</v>
      </c>
      <c r="L25" s="30">
        <f t="shared" si="0"/>
        <v>5.1926323939300092</v>
      </c>
      <c r="M25" s="61">
        <f t="shared" si="0"/>
        <v>8.6280788450860637</v>
      </c>
      <c r="N25" s="65">
        <f t="shared" si="0"/>
        <v>47.724814973201369</v>
      </c>
      <c r="O25" s="30">
        <f t="shared" si="0"/>
        <v>77.666694731127976</v>
      </c>
      <c r="P25" s="30">
        <f t="shared" si="0"/>
        <v>40.501491434552833</v>
      </c>
      <c r="Q25" s="30">
        <f t="shared" si="0"/>
        <v>34.252568223255999</v>
      </c>
      <c r="R25" s="30">
        <f t="shared" si="0"/>
        <v>45.738542575931234</v>
      </c>
      <c r="S25" s="61">
        <f t="shared" si="0"/>
        <v>52.519198316822852</v>
      </c>
      <c r="T25" s="51"/>
    </row>
    <row r="26" spans="1:20" s="81" customFormat="1" ht="14.45" customHeight="1" x14ac:dyDescent="0.25">
      <c r="A26" s="38" t="s">
        <v>82</v>
      </c>
      <c r="B26" s="85" t="s">
        <v>148</v>
      </c>
      <c r="C26" s="86">
        <f t="shared" ref="B26:S26" si="1">C25/(C37*100)</f>
        <v>3.1557480535856031</v>
      </c>
      <c r="D26" s="180" t="s">
        <v>148</v>
      </c>
      <c r="E26" s="86">
        <f t="shared" si="1"/>
        <v>27.41515260937199</v>
      </c>
      <c r="F26" s="86">
        <f t="shared" si="1"/>
        <v>-2.7600418912457569</v>
      </c>
      <c r="G26" s="86">
        <f t="shared" si="1"/>
        <v>2.9943170671897987</v>
      </c>
      <c r="H26" s="85">
        <f t="shared" si="1"/>
        <v>5.1427956036080224E-3</v>
      </c>
      <c r="I26" s="86">
        <f t="shared" si="1"/>
        <v>-6.5905354751473029</v>
      </c>
      <c r="J26" s="86">
        <f t="shared" si="1"/>
        <v>1.1212632334512755</v>
      </c>
      <c r="K26" s="86">
        <f t="shared" si="1"/>
        <v>-0.56246657611988293</v>
      </c>
      <c r="L26" s="86">
        <f t="shared" si="1"/>
        <v>6.3947907352720934E-2</v>
      </c>
      <c r="M26" s="86">
        <f t="shared" si="1"/>
        <v>-0.33359783656615122</v>
      </c>
      <c r="N26" s="85">
        <f t="shared" si="1"/>
        <v>1.0432316570405418</v>
      </c>
      <c r="O26" s="86">
        <f t="shared" si="1"/>
        <v>-2.0313296426076461</v>
      </c>
      <c r="P26" s="86">
        <f t="shared" si="1"/>
        <v>2.5230683551747517</v>
      </c>
      <c r="Q26" s="86">
        <f t="shared" si="1"/>
        <v>1.0747202749760221</v>
      </c>
      <c r="R26" s="86">
        <f t="shared" si="1"/>
        <v>1.2351170152433824</v>
      </c>
      <c r="S26" s="112">
        <f t="shared" si="1"/>
        <v>0.76447346634815339</v>
      </c>
      <c r="T26" s="51"/>
    </row>
    <row r="27" spans="1:20" s="81" customFormat="1" ht="14.45" customHeight="1" x14ac:dyDescent="0.25">
      <c r="A27" s="23" t="s">
        <v>64</v>
      </c>
      <c r="B27" s="33">
        <f>('Balance Sheet - 1'!B6-'Balance Sheet - 1'!B17-'Balance Sheet - 1'!B21)/'Balance Sheet - 1'!B35</f>
        <v>24.262054507337528</v>
      </c>
      <c r="C27" s="32">
        <f>('Balance Sheet - 1'!C6-'Balance Sheet - 1'!C17-'Balance Sheet - 1'!C21)/'Balance Sheet - 1'!C35</f>
        <v>19.807359307359306</v>
      </c>
      <c r="D27" s="32">
        <f>('Balance Sheet - 1'!D6-'Balance Sheet - 1'!D17-'Balance Sheet - 1'!D21)/'Balance Sheet - 1'!D35</f>
        <v>19.905376344086022</v>
      </c>
      <c r="E27" s="32">
        <f>('Balance Sheet - 1'!E6-'Balance Sheet - 1'!E17-'Balance Sheet - 1'!E21)/'Balance Sheet - 1'!E35</f>
        <v>18.463576158940398</v>
      </c>
      <c r="F27" s="32">
        <f>('Balance Sheet - 1'!F6-'Balance Sheet - 1'!F17-'Balance Sheet - 1'!F21)/'Balance Sheet - 1'!F35</f>
        <v>20.219088937093275</v>
      </c>
      <c r="G27" s="34">
        <f>('Balance Sheet - 1'!G6-'Balance Sheet - 1'!G17-'Balance Sheet - 1'!G21)/'Balance Sheet - 1'!G35</f>
        <v>18.811403508771932</v>
      </c>
      <c r="H27" s="33">
        <f>('Balance Sheet - 2'!B6-'Balance Sheet - 2'!B17-'Balance Sheet - 2'!B21)/'Balance Sheet - 2'!B35</f>
        <v>-0.5311475409836065</v>
      </c>
      <c r="I27" s="32">
        <f>('Balance Sheet - 2'!C6-'Balance Sheet - 2'!C17-'Balance Sheet - 2'!C21)/'Balance Sheet - 2'!C35</f>
        <v>1.9580031695721078</v>
      </c>
      <c r="J27" s="32">
        <f>('Balance Sheet - 2'!D6-'Balance Sheet - 2'!D17-'Balance Sheet - 2'!D21)/'Balance Sheet - 2'!D35</f>
        <v>3.7334348819497336</v>
      </c>
      <c r="K27" s="32">
        <f>('Balance Sheet - 2'!E6-'Balance Sheet - 2'!E17-'Balance Sheet - 2'!E21)/'Balance Sheet - 2'!E35</f>
        <v>3.7235338918507237</v>
      </c>
      <c r="L27" s="32">
        <f>('Balance Sheet - 2'!F6-'Balance Sheet - 2'!F17-'Balance Sheet - 2'!F21)/'Balance Sheet - 2'!F35</f>
        <v>2.9238385376999236</v>
      </c>
      <c r="M27" s="34">
        <f>('Balance Sheet - 2'!G6-'Balance Sheet - 2'!G17-'Balance Sheet - 2'!G21)/'Balance Sheet - 2'!G35</f>
        <v>3.6382818387339864</v>
      </c>
      <c r="N27" s="33">
        <f>('Balance Sheet - 3'!B6-'Balance Sheet - 3'!B17-'Balance Sheet - 3'!B21)/'Balance Sheet - 3'!B35</f>
        <v>1.6461302373782942</v>
      </c>
      <c r="O27" s="32">
        <f>('Balance Sheet - 3'!C6-'Balance Sheet - 3'!C17-'Balance Sheet - 3'!C21)/'Balance Sheet - 3'!C35</f>
        <v>1.9959286027929051</v>
      </c>
      <c r="P27" s="32">
        <f>('Balance Sheet - 3'!D6-'Balance Sheet - 3'!D17-'Balance Sheet - 3'!D21)/'Balance Sheet - 3'!D35</f>
        <v>4.552778318830601</v>
      </c>
      <c r="Q27" s="32">
        <f>('Balance Sheet - 3'!E6-'Balance Sheet - 3'!E17-'Balance Sheet - 3'!E21)/'Balance Sheet - 3'!E35</f>
        <v>4.4176832540132986</v>
      </c>
      <c r="R27" s="32">
        <f>('Balance Sheet - 3'!F6-'Balance Sheet - 3'!F17-'Balance Sheet - 3'!F21)/'Balance Sheet - 3'!F35</f>
        <v>3.2168375403047471</v>
      </c>
      <c r="S27" s="34">
        <f>('Balance Sheet - 3'!G6-'Balance Sheet - 3'!G17-'Balance Sheet - 3'!G21)/'Balance Sheet - 3'!G35</f>
        <v>1.4017985153099684</v>
      </c>
      <c r="T27" s="51"/>
    </row>
    <row r="28" spans="1:20" s="81" customFormat="1" ht="14.45" customHeight="1" x14ac:dyDescent="0.25">
      <c r="A28" s="38" t="s">
        <v>65</v>
      </c>
      <c r="B28" s="2">
        <f>'Income Statement - 1'!B28/'Balance Sheet - 1'!B35</f>
        <v>15.368972746331236</v>
      </c>
      <c r="C28" s="1">
        <f>'Income Statement - 1'!C28/'Balance Sheet - 1'!C35</f>
        <v>4.2186147186147185</v>
      </c>
      <c r="D28" s="1">
        <f>'Income Statement - 1'!D28/'Balance Sheet - 1'!D35</f>
        <v>4.3677419354838714</v>
      </c>
      <c r="E28" s="1">
        <f>'Income Statement - 1'!E28/'Balance Sheet - 1'!E35</f>
        <v>0.87196467991169979</v>
      </c>
      <c r="F28" s="1">
        <f>'Income Statement - 1'!F28/'Balance Sheet - 1'!F35</f>
        <v>4.5379609544468549</v>
      </c>
      <c r="G28" s="3">
        <f>'Income Statement - 1'!G28/'Balance Sheet - 1'!G35</f>
        <v>5.5175438596491224</v>
      </c>
      <c r="H28" s="2">
        <f>'Income Statement - 2'!B28/'Balance Sheet - 2'!B35</f>
        <v>2.7581967213114753</v>
      </c>
      <c r="I28" s="1">
        <f>'Income Statement - 2'!C28/'Balance Sheet - 2'!C35</f>
        <v>3.4912836767036448</v>
      </c>
      <c r="J28" s="1">
        <f>'Income Statement - 2'!D28/'Balance Sheet - 2'!D35</f>
        <v>2.8522467631378521</v>
      </c>
      <c r="K28" s="1">
        <f>'Income Statement - 2'!E28/'Balance Sheet - 2'!E35</f>
        <v>1.9657273419649657</v>
      </c>
      <c r="L28" s="1">
        <f>'Income Statement - 2'!F28/'Balance Sheet - 2'!F35</f>
        <v>1.76009139375476</v>
      </c>
      <c r="M28" s="3">
        <f>'Income Statement - 2'!G28/'Balance Sheet - 2'!G35</f>
        <v>1.5237377543330821</v>
      </c>
      <c r="N28" s="2">
        <f>'Income Statement - 3'!B28/'Balance Sheet - 3'!B35</f>
        <v>3.5972721969178143</v>
      </c>
      <c r="O28" s="1">
        <f>'Income Statement - 3'!C28/'Balance Sheet - 3'!C35</f>
        <v>3.6772982417583018</v>
      </c>
      <c r="P28" s="1">
        <f>'Income Statement - 3'!D28/'Balance Sheet - 3'!D35</f>
        <v>0.6513093226672948</v>
      </c>
      <c r="Q28" s="1">
        <f>'Income Statement - 3'!E28/'Balance Sheet - 3'!E35</f>
        <v>2.7892061574495468</v>
      </c>
      <c r="R28" s="1">
        <f>'Income Statement - 3'!F28/'Balance Sheet - 3'!F35</f>
        <v>1.5968223186031296</v>
      </c>
      <c r="S28" s="3">
        <f>'Income Statement - 3'!G28/'Balance Sheet - 3'!G35</f>
        <v>1.2386385459187153</v>
      </c>
      <c r="T28" s="51"/>
    </row>
    <row r="29" spans="1:20" s="81" customFormat="1" ht="14.45" customHeight="1" x14ac:dyDescent="0.25">
      <c r="A29" s="23" t="s">
        <v>59</v>
      </c>
      <c r="B29" s="33">
        <f>('Balance Sheet - 1'!B26-'Balance Sheet - 1'!B32)/'Balance Sheet - 1'!B35</f>
        <v>20.178197064989519</v>
      </c>
      <c r="C29" s="32">
        <f>('Balance Sheet - 1'!C26-'Balance Sheet - 1'!C32)/'Balance Sheet - 1'!C35</f>
        <v>14.411255411255411</v>
      </c>
      <c r="D29" s="32">
        <f>('Balance Sheet - 1'!D26-'Balance Sheet - 1'!D32)/'Balance Sheet - 1'!D35</f>
        <v>13.86236559139785</v>
      </c>
      <c r="E29" s="32">
        <f>('Balance Sheet - 1'!E26-'Balance Sheet - 1'!E32)/'Balance Sheet - 1'!E35</f>
        <v>10.849889624724062</v>
      </c>
      <c r="F29" s="32">
        <f>('Balance Sheet - 1'!F26-'Balance Sheet - 1'!F32)/'Balance Sheet - 1'!F35</f>
        <v>11.182212581344903</v>
      </c>
      <c r="G29" s="34">
        <f>('Balance Sheet - 1'!G26-'Balance Sheet - 1'!G32)/'Balance Sheet - 1'!G35</f>
        <v>10.859649122807017</v>
      </c>
      <c r="H29" s="33">
        <f>('Balance Sheet - 2'!B26-'Balance Sheet - 2'!B32)/'Balance Sheet - 2'!B35</f>
        <v>1.6680327868852458</v>
      </c>
      <c r="I29" s="32">
        <f>('Balance Sheet - 2'!C26-'Balance Sheet - 2'!C32)/'Balance Sheet - 2'!C35</f>
        <v>8.1204437400950873</v>
      </c>
      <c r="J29" s="32">
        <f>('Balance Sheet - 2'!D26-'Balance Sheet - 2'!D32)/'Balance Sheet - 2'!D35</f>
        <v>10.235338918507235</v>
      </c>
      <c r="K29" s="32">
        <f>('Balance Sheet - 2'!E26-'Balance Sheet - 2'!E32)/'Balance Sheet - 2'!E35</f>
        <v>8.5300837776085299</v>
      </c>
      <c r="L29" s="32">
        <f>('Balance Sheet - 2'!F26-'Balance Sheet - 2'!F32)/'Balance Sheet - 2'!F35</f>
        <v>6.2140137090632139</v>
      </c>
      <c r="M29" s="34">
        <f>('Balance Sheet - 2'!G26-'Balance Sheet - 2'!G32)/'Balance Sheet - 2'!G35</f>
        <v>6.4566691785983421</v>
      </c>
      <c r="N29" s="33">
        <f>('Balance Sheet - 3'!B26-'Balance Sheet - 3'!B32)/'Balance Sheet - 3'!B35</f>
        <v>5.0711935587901715</v>
      </c>
      <c r="O29" s="32">
        <f>('Balance Sheet - 3'!C26-'Balance Sheet - 3'!C32)/'Balance Sheet - 3'!C35</f>
        <v>5.9742908913743582</v>
      </c>
      <c r="P29" s="32">
        <f>('Balance Sheet - 3'!D26-'Balance Sheet - 3'!D32)/'Balance Sheet - 3'!D35</f>
        <v>6.3822107191875448</v>
      </c>
      <c r="Q29" s="32">
        <f>('Balance Sheet - 3'!E26-'Balance Sheet - 3'!E32)/'Balance Sheet - 3'!E35</f>
        <v>5.0321152254284591</v>
      </c>
      <c r="R29" s="32">
        <f>('Balance Sheet - 3'!F26-'Balance Sheet - 3'!F32)/'Balance Sheet - 3'!F35</f>
        <v>3.4107654298998242</v>
      </c>
      <c r="S29" s="34">
        <f>('Balance Sheet - 3'!G26-'Balance Sheet - 3'!G32)/'Balance Sheet - 3'!G35</f>
        <v>2.4255524368234767</v>
      </c>
      <c r="T29" s="51"/>
    </row>
    <row r="30" spans="1:20" s="81" customFormat="1" ht="14.45" customHeight="1" x14ac:dyDescent="0.25">
      <c r="A30" s="38" t="s">
        <v>16</v>
      </c>
      <c r="B30" s="69">
        <f>B23/B29</f>
        <v>33.496055064935064</v>
      </c>
      <c r="C30" s="70">
        <f t="shared" ref="C30:S30" si="2">C23/C29</f>
        <v>21.535250826073899</v>
      </c>
      <c r="D30" s="70">
        <f t="shared" si="2"/>
        <v>28.767817251008378</v>
      </c>
      <c r="E30" s="70">
        <f t="shared" si="2"/>
        <v>23.121894201424212</v>
      </c>
      <c r="F30" s="70">
        <f t="shared" si="2"/>
        <v>15.479941804073714</v>
      </c>
      <c r="G30" s="71">
        <f t="shared" si="2"/>
        <v>16.575121163166397</v>
      </c>
      <c r="H30" s="69">
        <f t="shared" si="2"/>
        <v>16.474496314496317</v>
      </c>
      <c r="I30" s="70">
        <f t="shared" si="2"/>
        <v>2.9087080405932864</v>
      </c>
      <c r="J30" s="70">
        <f t="shared" si="2"/>
        <v>2.2559096658977604</v>
      </c>
      <c r="K30" s="70">
        <f t="shared" si="2"/>
        <v>2.5158017857142858</v>
      </c>
      <c r="L30" s="70">
        <f t="shared" si="2"/>
        <v>2.0550324794705235</v>
      </c>
      <c r="M30" s="71">
        <f t="shared" si="2"/>
        <v>1.8136286181139123</v>
      </c>
      <c r="N30" s="69">
        <f t="shared" si="2"/>
        <v>22.546960330829485</v>
      </c>
      <c r="O30" s="70">
        <f t="shared" si="2"/>
        <v>21.369900180844745</v>
      </c>
      <c r="P30" s="70">
        <f t="shared" si="2"/>
        <v>16.889132111532923</v>
      </c>
      <c r="Q30" s="70">
        <f t="shared" si="2"/>
        <v>15.609737949375328</v>
      </c>
      <c r="R30" s="70">
        <f t="shared" si="2"/>
        <v>23.320278581085574</v>
      </c>
      <c r="S30" s="71">
        <f t="shared" si="2"/>
        <v>27.478276283849542</v>
      </c>
      <c r="T30" s="51"/>
    </row>
    <row r="31" spans="1:20" s="81" customFormat="1" ht="14.45" customHeight="1" x14ac:dyDescent="0.25">
      <c r="A31" s="23" t="s">
        <v>10</v>
      </c>
      <c r="B31" s="33">
        <v>0</v>
      </c>
      <c r="C31" s="32">
        <v>0</v>
      </c>
      <c r="D31" s="32">
        <v>0</v>
      </c>
      <c r="E31" s="32">
        <v>0</v>
      </c>
      <c r="F31" s="32">
        <v>0</v>
      </c>
      <c r="G31" s="34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4">
        <v>0</v>
      </c>
      <c r="N31" s="33">
        <v>0.41199999999999998</v>
      </c>
      <c r="O31" s="32">
        <v>0.66400000000000003</v>
      </c>
      <c r="P31" s="32">
        <v>0.57199999999999995</v>
      </c>
      <c r="Q31" s="32">
        <f>0.109*4</f>
        <v>0.436</v>
      </c>
      <c r="R31" s="32">
        <f>0.08*4</f>
        <v>0.32</v>
      </c>
      <c r="S31" s="34">
        <v>0</v>
      </c>
      <c r="T31" s="51"/>
    </row>
    <row r="32" spans="1:20" s="81" customFormat="1" ht="14.45" customHeight="1" x14ac:dyDescent="0.25">
      <c r="A32" s="38" t="s">
        <v>11</v>
      </c>
      <c r="B32" s="122">
        <f t="shared" ref="B32:S32" si="3">B31/B23</f>
        <v>0</v>
      </c>
      <c r="C32" s="123">
        <f t="shared" si="3"/>
        <v>0</v>
      </c>
      <c r="D32" s="123">
        <f t="shared" si="3"/>
        <v>0</v>
      </c>
      <c r="E32" s="123">
        <f t="shared" si="3"/>
        <v>0</v>
      </c>
      <c r="F32" s="123">
        <f t="shared" si="3"/>
        <v>0</v>
      </c>
      <c r="G32" s="124">
        <f t="shared" si="3"/>
        <v>0</v>
      </c>
      <c r="H32" s="122">
        <f t="shared" si="3"/>
        <v>0</v>
      </c>
      <c r="I32" s="123">
        <f t="shared" si="3"/>
        <v>0</v>
      </c>
      <c r="J32" s="123">
        <f t="shared" si="3"/>
        <v>0</v>
      </c>
      <c r="K32" s="123">
        <f t="shared" si="3"/>
        <v>0</v>
      </c>
      <c r="L32" s="123">
        <f t="shared" si="3"/>
        <v>0</v>
      </c>
      <c r="M32" s="124">
        <f t="shared" si="3"/>
        <v>0</v>
      </c>
      <c r="N32" s="122">
        <f t="shared" si="3"/>
        <v>3.6032884379919535E-3</v>
      </c>
      <c r="O32" s="123">
        <f t="shared" si="3"/>
        <v>5.2009085924649492E-3</v>
      </c>
      <c r="P32" s="123">
        <f t="shared" si="3"/>
        <v>5.3066147137953417E-3</v>
      </c>
      <c r="Q32" s="123">
        <f t="shared" si="3"/>
        <v>5.5506047103755568E-3</v>
      </c>
      <c r="R32" s="123">
        <f t="shared" si="3"/>
        <v>4.023133014835303E-3</v>
      </c>
      <c r="S32" s="124">
        <f t="shared" si="3"/>
        <v>0</v>
      </c>
      <c r="T32" s="51"/>
    </row>
    <row r="33" spans="1:20" s="81" customFormat="1" ht="14.45" customHeight="1" x14ac:dyDescent="0.25">
      <c r="A33" s="24" t="s">
        <v>78</v>
      </c>
      <c r="B33" s="78"/>
      <c r="C33" s="79"/>
      <c r="D33" s="79"/>
      <c r="E33" s="79"/>
      <c r="F33" s="79"/>
      <c r="G33" s="80"/>
      <c r="H33" s="78"/>
      <c r="I33" s="79"/>
      <c r="J33" s="79"/>
      <c r="K33" s="79"/>
      <c r="L33" s="79"/>
      <c r="M33" s="80"/>
      <c r="N33" s="78"/>
      <c r="O33" s="79"/>
      <c r="P33" s="79"/>
      <c r="Q33" s="79"/>
      <c r="R33" s="79"/>
      <c r="S33" s="80"/>
      <c r="T33" s="51"/>
    </row>
    <row r="34" spans="1:20" s="81" customFormat="1" ht="14.45" customHeight="1" x14ac:dyDescent="0.25">
      <c r="A34" s="38" t="s">
        <v>37</v>
      </c>
      <c r="B34" s="72" t="s">
        <v>136</v>
      </c>
      <c r="C34" s="64" t="s">
        <v>137</v>
      </c>
      <c r="D34" s="64" t="s">
        <v>138</v>
      </c>
      <c r="E34" s="64" t="s">
        <v>139</v>
      </c>
      <c r="F34" s="64" t="s">
        <v>140</v>
      </c>
      <c r="G34" s="73" t="s">
        <v>141</v>
      </c>
      <c r="H34" s="74" t="s">
        <v>174</v>
      </c>
      <c r="I34" s="64" t="s">
        <v>175</v>
      </c>
      <c r="J34" s="64" t="s">
        <v>176</v>
      </c>
      <c r="K34" s="64" t="s">
        <v>177</v>
      </c>
      <c r="L34" s="64" t="s">
        <v>178</v>
      </c>
      <c r="M34" s="73" t="s">
        <v>179</v>
      </c>
      <c r="N34" s="74" t="s">
        <v>105</v>
      </c>
      <c r="O34" s="64" t="s">
        <v>106</v>
      </c>
      <c r="P34" s="64" t="s">
        <v>107</v>
      </c>
      <c r="Q34" s="64" t="s">
        <v>108</v>
      </c>
      <c r="R34" s="64" t="s">
        <v>109</v>
      </c>
      <c r="S34" s="73" t="s">
        <v>110</v>
      </c>
      <c r="T34" s="82"/>
    </row>
    <row r="35" spans="1:20" s="81" customFormat="1" ht="14.45" customHeight="1" x14ac:dyDescent="0.25">
      <c r="A35" s="23" t="s">
        <v>61</v>
      </c>
      <c r="B35" s="135">
        <f>('Income Statement - 1'!B6-'Income Statement - 1'!C6)/'Income Statement - 1'!C6</f>
        <v>0.20247673843664316</v>
      </c>
      <c r="C35" s="136">
        <f>('Income Statement - 1'!C6-'Income Statement - 1'!D6)/'Income Statement - 1'!D6</f>
        <v>0.19523988610111212</v>
      </c>
      <c r="D35" s="136">
        <f>('Income Statement - 1'!D6-'Income Statement - 1'!E6)/'Income Statement - 1'!E6</f>
        <v>0.21866662301736697</v>
      </c>
      <c r="E35" s="136">
        <f>('Income Statement - 1'!E6-'Income Statement - 1'!F6)/'Income Statement - 1'!F6</f>
        <v>0.27073236682821306</v>
      </c>
      <c r="F35" s="136">
        <f>('Income Statement - 1'!F6-'Income Statement - 1'!G6)/'Income Statement - 1'!G6</f>
        <v>0.40559583674424043</v>
      </c>
      <c r="G35" s="136">
        <f>('Income Statement - 1'!G6-'Income Statement - 1'!H6)/'Income Statement - 1'!H6</f>
        <v>0.3955689746623689</v>
      </c>
      <c r="H35" s="181">
        <f>('Income Statement - 2'!B6-'Income Statement - 2'!C6)/'Income Statement - 2'!C6</f>
        <v>-2.2525597269624574E-2</v>
      </c>
      <c r="I35" s="136">
        <f>('Income Statement - 2'!C6-'Income Statement - 2'!D6)/'Income Statement - 2'!D6</f>
        <v>6.4551289814702678E-2</v>
      </c>
      <c r="J35" s="137">
        <f>('Income Statement - 2'!D6-'Income Statement - 2'!E6)/'Income Statement - 2'!E6</f>
        <v>-0.41323194997157475</v>
      </c>
      <c r="K35" s="136">
        <f>('Income Statement - 2'!E6-'Income Statement - 2'!F6)/'Income Statement - 2'!F6</f>
        <v>0.20768966700995536</v>
      </c>
      <c r="L35" s="136">
        <f>('Income Statement - 2'!F6-'Income Statement - 2'!G6)/'Income Statement - 2'!G6</f>
        <v>0.27260812581913502</v>
      </c>
      <c r="M35" s="136">
        <f>('Income Statement - 2'!G6-'Income Statement - 2'!H6)/'Income Statement - 2'!H6</f>
        <v>4.9157786180818147E-2</v>
      </c>
      <c r="N35" s="135">
        <f>('Income Statement - 3'!B6-'Income Statement - 3'!C6)/'Income Statement - 3'!C6</f>
        <v>0.17115514539939913</v>
      </c>
      <c r="O35" s="136">
        <f>('Income Statement - 3'!C6-'Income Statement - 3'!D6)/'Income Statement - 3'!D6</f>
        <v>0.17761719865847078</v>
      </c>
      <c r="P35" s="136">
        <f>('Income Statement - 3'!D6-'Income Statement - 3'!E6)/'Income Statement - 3'!E6</f>
        <v>0.26497252416347922</v>
      </c>
      <c r="Q35" s="136">
        <f>('Income Statement - 3'!E6-'Income Statement - 3'!F6)/'Income Statement - 3'!F6</f>
        <v>0.24978590448663909</v>
      </c>
      <c r="R35" s="136">
        <f>('Income Statement - 3'!F6-'Income Statement - 3'!G6)/'Income Statement - 3'!G6</f>
        <v>0.37937208143376583</v>
      </c>
      <c r="S35" s="138">
        <f>('Income Statement - 3'!G6-'Income Statement - 3'!H6)/'Income Statement - 3'!H6</f>
        <v>0.25382425771215661</v>
      </c>
      <c r="T35" s="51"/>
    </row>
    <row r="36" spans="1:20" s="81" customFormat="1" ht="14.45" customHeight="1" x14ac:dyDescent="0.25">
      <c r="A36" s="38" t="s">
        <v>14</v>
      </c>
      <c r="B36" s="90" t="s">
        <v>142</v>
      </c>
      <c r="C36" s="179" t="s">
        <v>143</v>
      </c>
      <c r="D36" s="91" t="s">
        <v>144</v>
      </c>
      <c r="E36" s="179" t="s">
        <v>145</v>
      </c>
      <c r="F36" s="91" t="s">
        <v>146</v>
      </c>
      <c r="G36" s="92" t="s">
        <v>147</v>
      </c>
      <c r="H36" s="90" t="s">
        <v>180</v>
      </c>
      <c r="I36" s="91" t="s">
        <v>181</v>
      </c>
      <c r="J36" s="91" t="s">
        <v>182</v>
      </c>
      <c r="K36" s="91" t="s">
        <v>183</v>
      </c>
      <c r="L36" s="91" t="s">
        <v>184</v>
      </c>
      <c r="M36" s="92" t="s">
        <v>185</v>
      </c>
      <c r="N36" s="90" t="s">
        <v>111</v>
      </c>
      <c r="O36" s="91" t="s">
        <v>112</v>
      </c>
      <c r="P36" s="91" t="s">
        <v>92</v>
      </c>
      <c r="Q36" s="91" t="s">
        <v>113</v>
      </c>
      <c r="R36" s="91" t="s">
        <v>114</v>
      </c>
      <c r="S36" s="92" t="s">
        <v>115</v>
      </c>
      <c r="T36" s="51"/>
    </row>
    <row r="37" spans="1:20" s="83" customFormat="1" ht="14.45" customHeight="1" x14ac:dyDescent="0.25">
      <c r="A37" s="23" t="s">
        <v>71</v>
      </c>
      <c r="B37" s="135" t="s">
        <v>148</v>
      </c>
      <c r="C37" s="137">
        <f>('Income Statement - 1'!C21-'Income Statement - 1'!D21)/'Income Statement - 1'!D21</f>
        <v>-1.8852734856384494</v>
      </c>
      <c r="D37" s="136" t="s">
        <v>148</v>
      </c>
      <c r="E37" s="137">
        <f>('Income Statement - 1'!E21-'Income Statement - 1'!F21)/'Income Statement - 1'!F21</f>
        <v>-1.0628981643769482</v>
      </c>
      <c r="F37" s="137">
        <f>('Income Statement - 1'!F21-'Income Statement - 1'!G21)/'Income Statement - 1'!G21</f>
        <v>-0.45819775849602307</v>
      </c>
      <c r="G37" s="136">
        <f>('Income Statement - 1'!G21-'Income Statement - 1'!H21)/'Income Statement - 1'!H21</f>
        <v>0.23795075271326876</v>
      </c>
      <c r="H37" s="135">
        <f>('Income Statement - 2'!B21-'Income Statement - 2'!C21)/'Income Statement - 2'!C21</f>
        <v>37.790983606557376</v>
      </c>
      <c r="I37" s="137">
        <f>('Income Statement - 2'!C21-'Income Statement - 2'!D21)/'Income Statement - 2'!D21</f>
        <v>-0.98324266315083886</v>
      </c>
      <c r="J37" s="136">
        <f>('Income Statement - 2'!D21-'Income Statement - 2'!E21)/'Income Statement - 2'!E21</f>
        <v>9.4672288233039456E-2</v>
      </c>
      <c r="K37" s="137">
        <f>('Income Statement - 2'!E21-'Income Statement - 2'!F21)/'Income Statement - 2'!F21</f>
        <v>-0.19200991018891295</v>
      </c>
      <c r="L37" s="136">
        <f>('Income Statement - 2'!F21-'Income Statement - 2'!G21)/'Income Statement - 2'!G21</f>
        <v>0.81200974494579248</v>
      </c>
      <c r="M37" s="137">
        <f>('Income Statement - 2'!G21-'Income Statement - 2'!H21)/'Income Statement - 2'!H21</f>
        <v>-0.25863713427815194</v>
      </c>
      <c r="N37" s="135">
        <f>('Income Statement - 3'!B21-'Income Statement - 3'!C21)/'Income Statement - 3'!C21</f>
        <v>0.45747092365455988</v>
      </c>
      <c r="O37" s="137">
        <f>('Income Statement - 3'!C21-'Income Statement - 3'!D21)/'Income Statement - 3'!D21</f>
        <v>-0.38234412131861656</v>
      </c>
      <c r="P37" s="136">
        <f>('Income Statement - 3'!D21-'Income Statement - 3'!E21)/'Income Statement - 3'!E21</f>
        <v>0.16052474896879135</v>
      </c>
      <c r="Q37" s="136">
        <f>('Income Statement - 3'!E21-'Income Statement - 3'!F21)/'Income Statement - 3'!F21</f>
        <v>0.31871147330890542</v>
      </c>
      <c r="R37" s="136">
        <f>('Income Statement - 3'!F21-'Income Statement - 3'!G21)/'Income Statement - 3'!G21</f>
        <v>0.37031748418524024</v>
      </c>
      <c r="S37" s="138">
        <f>('Income Statement - 3'!G21-'Income Statement - 3'!H21)/'Income Statement - 3'!H21</f>
        <v>0.68699831490168117</v>
      </c>
      <c r="T37" s="52"/>
    </row>
    <row r="38" spans="1:20" s="81" customFormat="1" ht="14.45" customHeight="1" x14ac:dyDescent="0.25">
      <c r="A38" s="38" t="s">
        <v>67</v>
      </c>
      <c r="B38" s="139">
        <f>('Balance Sheet - 1'!B35-'Balance Sheet - 1'!C35)/'Balance Sheet - 1'!C35</f>
        <v>3.2467532467532464E-2</v>
      </c>
      <c r="C38" s="140">
        <f>('Balance Sheet - 1'!C35-'Balance Sheet - 1'!D35)/'Balance Sheet - 1'!D35</f>
        <v>-6.4516129032258064E-3</v>
      </c>
      <c r="D38" s="140">
        <f>('Balance Sheet - 1'!D35-'Balance Sheet - 1'!E35)/'Balance Sheet - 1'!E35</f>
        <v>2.6490066225165563E-2</v>
      </c>
      <c r="E38" s="140">
        <f>('Balance Sheet - 1'!E35-'Balance Sheet - 1'!F35)/'Balance Sheet - 1'!F35</f>
        <v>-1.735357917570499E-2</v>
      </c>
      <c r="F38" s="140">
        <f>('Balance Sheet - 1'!F35-'Balance Sheet - 1'!G35)/'Balance Sheet - 1'!G35</f>
        <v>1.0964912280701754E-2</v>
      </c>
      <c r="G38" s="140">
        <f>('Balance Sheet - 1'!G35-'Balance Sheet - 1'!H35)/'Balance Sheet - 1'!H35</f>
        <v>3.1674208144796379E-2</v>
      </c>
      <c r="H38" s="139">
        <f>('Balance Sheet - 2'!B35-'Balance Sheet - 2'!C35)/'Balance Sheet - 2'!C35</f>
        <v>-3.328050713153724E-2</v>
      </c>
      <c r="I38" s="140">
        <f>('Balance Sheet - 2'!C35-'Balance Sheet - 2'!D35)/'Balance Sheet - 2'!D35</f>
        <v>-3.8842345773038842E-2</v>
      </c>
      <c r="J38" s="140">
        <f>('Balance Sheet - 2'!D35-'Balance Sheet - 2'!E35)/'Balance Sheet - 2'!E35</f>
        <v>0</v>
      </c>
      <c r="K38" s="140">
        <f>('Balance Sheet - 2'!E35-'Balance Sheet - 2'!F35)/'Balance Sheet - 2'!F35</f>
        <v>0</v>
      </c>
      <c r="L38" s="140">
        <f>('Balance Sheet - 2'!F35-'Balance Sheet - 2'!G35)/'Balance Sheet - 2'!G35</f>
        <v>-1.0550113036925395E-2</v>
      </c>
      <c r="M38" s="140">
        <f>('Balance Sheet - 2'!G35-'Balance Sheet - 2'!H35)/'Balance Sheet - 2'!H35</f>
        <v>1.6873042596022476E-2</v>
      </c>
      <c r="N38" s="139">
        <f>('Balance Sheet - 3'!B35-'Balance Sheet - 3'!C35)/'Balance Sheet - 3'!C35</f>
        <v>4.0675923323123639E-5</v>
      </c>
      <c r="O38" s="140">
        <f>('Balance Sheet - 3'!C35-'Balance Sheet - 3'!D35)/'Balance Sheet - 3'!D35</f>
        <v>2.9080960124650662E-5</v>
      </c>
      <c r="P38" s="140">
        <f>('Balance Sheet - 3'!D35-'Balance Sheet - 3'!E35)/'Balance Sheet - 3'!E35</f>
        <v>6.2559685949361096E-5</v>
      </c>
      <c r="Q38" s="140">
        <f>('Balance Sheet - 3'!E35-'Balance Sheet - 3'!F35)/'Balance Sheet - 3'!F35</f>
        <v>-3.6216261771835491E-5</v>
      </c>
      <c r="R38" s="140">
        <f>('Balance Sheet - 3'!F35-'Balance Sheet - 3'!G35)/'Balance Sheet - 3'!G35</f>
        <v>1.0372199081524453E-4</v>
      </c>
      <c r="S38" s="141">
        <f>('Balance Sheet - 3'!G35-'Balance Sheet - 3'!H35)/'Balance Sheet - 3'!H35</f>
        <v>5.6405836413785847E-5</v>
      </c>
      <c r="T38" s="51"/>
    </row>
    <row r="39" spans="1:20" s="81" customFormat="1" ht="14.45" customHeight="1" x14ac:dyDescent="0.25">
      <c r="A39" s="23" t="s">
        <v>66</v>
      </c>
      <c r="B39" s="142">
        <f>('Balance Sheet - 1'!B8-'Balance Sheet - 1'!C8)/'Balance Sheet - 1'!C8</f>
        <v>0.23424508976985178</v>
      </c>
      <c r="C39" s="143">
        <f>('Balance Sheet - 1'!C8-'Balance Sheet - 1'!D8)/'Balance Sheet - 1'!D8</f>
        <v>0.11982188638510323</v>
      </c>
      <c r="D39" s="143">
        <f>('Balance Sheet - 1'!D8-'Balance Sheet - 1'!E8)/'Balance Sheet - 1'!E8</f>
        <v>0.22881777483004476</v>
      </c>
      <c r="E39" s="143">
        <f>('Balance Sheet - 1'!E8-'Balance Sheet - 1'!F8)/'Balance Sheet - 1'!F8</f>
        <v>0.20813301282051283</v>
      </c>
      <c r="F39" s="143">
        <f>('Balance Sheet - 1'!F8-'Balance Sheet - 1'!G8)/'Balance Sheet - 1'!G8</f>
        <v>0.55902560899437848</v>
      </c>
      <c r="G39" s="143">
        <f>('Balance Sheet - 1'!G8-'Balance Sheet - 1'!H8)/'Balance Sheet - 1'!H8</f>
        <v>0.47489636112390604</v>
      </c>
      <c r="H39" s="142" t="s">
        <v>51</v>
      </c>
      <c r="I39" s="143" t="s">
        <v>51</v>
      </c>
      <c r="J39" s="143" t="s">
        <v>51</v>
      </c>
      <c r="K39" s="143" t="s">
        <v>51</v>
      </c>
      <c r="L39" s="143" t="s">
        <v>51</v>
      </c>
      <c r="M39" s="143" t="s">
        <v>51</v>
      </c>
      <c r="N39" s="142" t="s">
        <v>51</v>
      </c>
      <c r="O39" s="143" t="s">
        <v>51</v>
      </c>
      <c r="P39" s="143" t="s">
        <v>51</v>
      </c>
      <c r="Q39" s="143" t="s">
        <v>51</v>
      </c>
      <c r="R39" s="143" t="s">
        <v>51</v>
      </c>
      <c r="S39" s="144" t="s">
        <v>51</v>
      </c>
      <c r="T39" s="51"/>
    </row>
    <row r="40" spans="1:20" s="81" customFormat="1" ht="14.45" customHeight="1" x14ac:dyDescent="0.25">
      <c r="A40" s="38" t="s">
        <v>13</v>
      </c>
      <c r="B40" s="90" t="s">
        <v>149</v>
      </c>
      <c r="C40" s="91" t="s">
        <v>150</v>
      </c>
      <c r="D40" s="91" t="s">
        <v>151</v>
      </c>
      <c r="E40" s="91" t="s">
        <v>152</v>
      </c>
      <c r="F40" s="91" t="s">
        <v>153</v>
      </c>
      <c r="G40" s="92" t="s">
        <v>154</v>
      </c>
      <c r="H40" s="90" t="s">
        <v>186</v>
      </c>
      <c r="I40" s="91" t="s">
        <v>187</v>
      </c>
      <c r="J40" s="91" t="s">
        <v>188</v>
      </c>
      <c r="K40" s="91" t="s">
        <v>189</v>
      </c>
      <c r="L40" s="91" t="s">
        <v>190</v>
      </c>
      <c r="M40" s="92" t="s">
        <v>191</v>
      </c>
      <c r="N40" s="90" t="s">
        <v>116</v>
      </c>
      <c r="O40" s="91" t="s">
        <v>117</v>
      </c>
      <c r="P40" s="91" t="s">
        <v>118</v>
      </c>
      <c r="Q40" s="91" t="s">
        <v>119</v>
      </c>
      <c r="R40" s="91" t="s">
        <v>120</v>
      </c>
      <c r="S40" s="92" t="s">
        <v>121</v>
      </c>
      <c r="T40" s="53"/>
    </row>
    <row r="41" spans="1:20" s="81" customFormat="1" ht="14.45" customHeight="1" x14ac:dyDescent="0.25">
      <c r="A41" s="23" t="s">
        <v>58</v>
      </c>
      <c r="B41" s="84" t="s">
        <v>155</v>
      </c>
      <c r="C41" s="35" t="s">
        <v>156</v>
      </c>
      <c r="D41" s="35" t="s">
        <v>157</v>
      </c>
      <c r="E41" s="35" t="s">
        <v>158</v>
      </c>
      <c r="F41" s="35" t="s">
        <v>88</v>
      </c>
      <c r="G41" s="56" t="s">
        <v>159</v>
      </c>
      <c r="H41" s="84" t="s">
        <v>90</v>
      </c>
      <c r="I41" s="35" t="s">
        <v>192</v>
      </c>
      <c r="J41" s="35" t="s">
        <v>193</v>
      </c>
      <c r="K41" s="35" t="s">
        <v>89</v>
      </c>
      <c r="L41" s="35" t="s">
        <v>194</v>
      </c>
      <c r="M41" s="56" t="s">
        <v>195</v>
      </c>
      <c r="N41" s="84" t="s">
        <v>122</v>
      </c>
      <c r="O41" s="35" t="s">
        <v>91</v>
      </c>
      <c r="P41" s="35" t="s">
        <v>123</v>
      </c>
      <c r="Q41" s="35" t="s">
        <v>124</v>
      </c>
      <c r="R41" s="35" t="s">
        <v>125</v>
      </c>
      <c r="S41" s="56" t="s">
        <v>126</v>
      </c>
      <c r="T41" s="53"/>
    </row>
    <row r="42" spans="1:20" s="81" customFormat="1" ht="14.45" customHeight="1" x14ac:dyDescent="0.25">
      <c r="A42" s="38" t="s">
        <v>15</v>
      </c>
      <c r="B42" s="88" t="s">
        <v>160</v>
      </c>
      <c r="C42" s="43" t="s">
        <v>161</v>
      </c>
      <c r="D42" s="43" t="s">
        <v>162</v>
      </c>
      <c r="E42" s="43" t="s">
        <v>163</v>
      </c>
      <c r="F42" s="43" t="s">
        <v>164</v>
      </c>
      <c r="G42" s="62" t="s">
        <v>165</v>
      </c>
      <c r="H42" s="88" t="s">
        <v>196</v>
      </c>
      <c r="I42" s="43" t="s">
        <v>197</v>
      </c>
      <c r="J42" s="43" t="s">
        <v>198</v>
      </c>
      <c r="K42" s="43" t="s">
        <v>199</v>
      </c>
      <c r="L42" s="43" t="s">
        <v>200</v>
      </c>
      <c r="M42" s="62" t="s">
        <v>201</v>
      </c>
      <c r="N42" s="88" t="s">
        <v>127</v>
      </c>
      <c r="O42" s="43" t="s">
        <v>128</v>
      </c>
      <c r="P42" s="43" t="s">
        <v>110</v>
      </c>
      <c r="Q42" s="43" t="s">
        <v>129</v>
      </c>
      <c r="R42" s="43" t="s">
        <v>130</v>
      </c>
      <c r="S42" s="62" t="s">
        <v>131</v>
      </c>
      <c r="T42" s="51"/>
    </row>
    <row r="43" spans="1:20" s="81" customFormat="1" ht="14.45" customHeight="1" x14ac:dyDescent="0.25">
      <c r="A43" s="63" t="s">
        <v>12</v>
      </c>
      <c r="B43" s="102" t="s">
        <v>166</v>
      </c>
      <c r="C43" s="103" t="s">
        <v>167</v>
      </c>
      <c r="D43" s="103" t="s">
        <v>168</v>
      </c>
      <c r="E43" s="103" t="s">
        <v>87</v>
      </c>
      <c r="F43" s="103" t="s">
        <v>169</v>
      </c>
      <c r="G43" s="104" t="s">
        <v>170</v>
      </c>
      <c r="H43" s="102" t="s">
        <v>202</v>
      </c>
      <c r="I43" s="103" t="s">
        <v>203</v>
      </c>
      <c r="J43" s="103" t="s">
        <v>85</v>
      </c>
      <c r="K43" s="103" t="s">
        <v>204</v>
      </c>
      <c r="L43" s="103" t="s">
        <v>88</v>
      </c>
      <c r="M43" s="105" t="s">
        <v>205</v>
      </c>
      <c r="N43" s="102" t="s">
        <v>132</v>
      </c>
      <c r="O43" s="103" t="s">
        <v>133</v>
      </c>
      <c r="P43" s="103" t="s">
        <v>134</v>
      </c>
      <c r="Q43" s="103" t="s">
        <v>135</v>
      </c>
      <c r="R43" s="103" t="s">
        <v>135</v>
      </c>
      <c r="S43" s="105" t="s">
        <v>135</v>
      </c>
      <c r="T43" s="51"/>
    </row>
    <row r="44" spans="1:20" s="81" customFormat="1" ht="14.45" customHeight="1" x14ac:dyDescent="0.25">
      <c r="A44" s="39" t="s">
        <v>79</v>
      </c>
      <c r="B44" s="93"/>
      <c r="C44" s="94"/>
      <c r="D44" s="94"/>
      <c r="E44" s="94"/>
      <c r="F44" s="94"/>
      <c r="G44" s="95"/>
      <c r="H44" s="93"/>
      <c r="I44" s="94"/>
      <c r="J44" s="94"/>
      <c r="K44" s="94"/>
      <c r="L44" s="94"/>
      <c r="M44" s="95"/>
      <c r="N44" s="93"/>
      <c r="O44" s="94"/>
      <c r="P44" s="94"/>
      <c r="Q44" s="94"/>
      <c r="R44" s="94"/>
      <c r="S44" s="95"/>
      <c r="T44" s="51"/>
    </row>
    <row r="45" spans="1:20" ht="14.45" customHeight="1" x14ac:dyDescent="0.2">
      <c r="A45" s="106"/>
      <c r="B45" s="107"/>
      <c r="C45" s="108"/>
      <c r="D45" s="108"/>
      <c r="E45" s="108"/>
      <c r="F45" s="108"/>
      <c r="G45" s="109"/>
      <c r="H45" s="107" t="s">
        <v>206</v>
      </c>
      <c r="I45" s="108"/>
      <c r="J45" s="108"/>
      <c r="K45" s="108"/>
      <c r="L45" s="108"/>
      <c r="M45" s="109"/>
      <c r="N45" s="107"/>
      <c r="O45" s="108"/>
      <c r="P45" s="108"/>
      <c r="Q45" s="108"/>
      <c r="R45" s="108"/>
      <c r="S45" s="109"/>
    </row>
    <row r="46" spans="1:20" ht="14.45" customHeight="1" x14ac:dyDescent="0.2">
      <c r="A46" s="38"/>
      <c r="B46" s="45"/>
      <c r="C46" s="44"/>
      <c r="D46" s="44"/>
      <c r="E46" s="44"/>
      <c r="F46" s="96"/>
      <c r="G46" s="46"/>
      <c r="H46" s="45" t="s">
        <v>207</v>
      </c>
      <c r="I46" s="44"/>
      <c r="J46" s="44"/>
      <c r="K46" s="44"/>
      <c r="L46" s="44"/>
      <c r="M46" s="46"/>
      <c r="N46" s="45"/>
      <c r="O46" s="44"/>
      <c r="P46" s="44"/>
      <c r="Q46" s="44"/>
      <c r="S46" s="46"/>
    </row>
    <row r="47" spans="1:20" ht="14.45" customHeight="1" x14ac:dyDescent="0.2">
      <c r="A47" s="23"/>
      <c r="B47" s="47"/>
      <c r="C47" s="48"/>
      <c r="D47" s="48"/>
      <c r="E47" s="48"/>
      <c r="F47" s="48"/>
      <c r="G47" s="49"/>
      <c r="H47" s="47"/>
      <c r="I47" s="48"/>
      <c r="J47" s="48"/>
      <c r="K47" s="48"/>
      <c r="L47" s="48"/>
      <c r="M47" s="49"/>
      <c r="N47" s="47"/>
      <c r="O47" s="48"/>
      <c r="P47" s="48"/>
      <c r="Q47" s="48"/>
      <c r="R47" s="48"/>
      <c r="S47" s="49"/>
    </row>
    <row r="48" spans="1:20" ht="14.45" customHeight="1" x14ac:dyDescent="0.2">
      <c r="A48" s="42"/>
      <c r="B48" s="97"/>
      <c r="C48" s="98"/>
      <c r="D48" s="98"/>
      <c r="E48" s="98"/>
      <c r="F48" s="99"/>
      <c r="G48" s="100"/>
      <c r="H48" s="101"/>
      <c r="I48" s="99"/>
      <c r="J48" s="99"/>
      <c r="K48" s="99"/>
      <c r="L48" s="99"/>
      <c r="M48" s="100"/>
      <c r="N48" s="101"/>
      <c r="O48" s="99"/>
      <c r="P48" s="99"/>
      <c r="Q48" s="99"/>
      <c r="R48" s="99"/>
      <c r="S48" s="100"/>
    </row>
  </sheetData>
  <mergeCells count="4">
    <mergeCell ref="A2:A3"/>
    <mergeCell ref="H2:M2"/>
    <mergeCell ref="B2:G2"/>
    <mergeCell ref="N2:S2"/>
  </mergeCells>
  <pageMargins left="0.45" right="0.45" top="0.33" bottom="0.33" header="0.3" footer="0.1"/>
  <pageSetup scale="80" orientation="landscape" horizontalDpi="300" verticalDpi="300" r:id="rId1"/>
  <headerFooter>
    <oddFooter>&amp;R&amp;"Times New Roman,Regular"&amp;8February 27,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pane ySplit="4" topLeftCell="A5" activePane="bottomLeft" state="frozen"/>
      <selection activeCell="I8" sqref="I8:L8"/>
      <selection pane="bottomLeft" activeCell="B6" sqref="B6"/>
    </sheetView>
  </sheetViews>
  <sheetFormatPr defaultColWidth="12.7109375" defaultRowHeight="15" x14ac:dyDescent="0.25"/>
  <cols>
    <col min="1" max="1" width="37.42578125" style="11" customWidth="1"/>
    <col min="2" max="5" width="12.7109375" style="16" customWidth="1"/>
    <col min="6" max="7" width="13.42578125" style="16" bestFit="1" customWidth="1"/>
    <col min="8" max="16384" width="12.7109375" style="16"/>
  </cols>
  <sheetData>
    <row r="1" spans="1:10" s="11" customFormat="1" x14ac:dyDescent="0.25">
      <c r="A1" s="174" t="s">
        <v>99</v>
      </c>
      <c r="B1" s="174"/>
      <c r="C1" s="174"/>
      <c r="D1" s="174"/>
      <c r="E1" s="174"/>
      <c r="F1" s="174"/>
      <c r="G1" s="174"/>
      <c r="H1" s="174"/>
    </row>
    <row r="2" spans="1:10" s="11" customFormat="1" x14ac:dyDescent="0.25">
      <c r="A2" s="174" t="s">
        <v>26</v>
      </c>
      <c r="B2" s="174"/>
      <c r="C2" s="174"/>
      <c r="D2" s="174"/>
      <c r="E2" s="174"/>
      <c r="F2" s="174"/>
      <c r="G2" s="174"/>
      <c r="H2" s="174"/>
    </row>
    <row r="3" spans="1:10" s="11" customFormat="1" ht="15.75" thickBot="1" x14ac:dyDescent="0.3">
      <c r="A3" s="175" t="s">
        <v>27</v>
      </c>
      <c r="B3" s="175"/>
      <c r="C3" s="175"/>
      <c r="D3" s="175"/>
      <c r="E3" s="175"/>
      <c r="F3" s="175"/>
      <c r="G3" s="175"/>
      <c r="H3" s="175"/>
    </row>
    <row r="4" spans="1:10" s="11" customFormat="1" x14ac:dyDescent="0.25">
      <c r="A4" s="22" t="s">
        <v>83</v>
      </c>
      <c r="B4" s="13">
        <v>2015</v>
      </c>
      <c r="C4" s="13">
        <v>2014</v>
      </c>
      <c r="D4" s="13">
        <v>2013</v>
      </c>
      <c r="E4" s="13">
        <v>2012</v>
      </c>
      <c r="F4" s="13">
        <v>2011</v>
      </c>
      <c r="G4" s="13">
        <v>2010</v>
      </c>
      <c r="H4" s="110">
        <v>2009</v>
      </c>
    </row>
    <row r="5" spans="1:10" x14ac:dyDescent="0.25">
      <c r="A5" s="12" t="s">
        <v>25</v>
      </c>
      <c r="B5" s="15"/>
      <c r="C5" s="15"/>
      <c r="D5" s="15"/>
      <c r="E5" s="15"/>
    </row>
    <row r="6" spans="1:10" x14ac:dyDescent="0.25">
      <c r="A6" s="11" t="s">
        <v>17</v>
      </c>
      <c r="B6" s="16">
        <f>15890+3918</f>
        <v>19808</v>
      </c>
      <c r="C6" s="16">
        <f>14557+2859</f>
        <v>17416</v>
      </c>
      <c r="D6" s="16">
        <f>8658+3789</f>
        <v>12447</v>
      </c>
      <c r="E6" s="16">
        <f>8084+3364</f>
        <v>11448</v>
      </c>
      <c r="F6" s="16">
        <f>5269+4307</f>
        <v>9576</v>
      </c>
      <c r="G6" s="16">
        <f>3777+4985</f>
        <v>8762</v>
      </c>
      <c r="H6" s="16">
        <f>3444+2922</f>
        <v>6366</v>
      </c>
      <c r="J6" s="16" t="s">
        <v>172</v>
      </c>
    </row>
    <row r="7" spans="1:10" x14ac:dyDescent="0.25">
      <c r="A7" s="11" t="s">
        <v>18</v>
      </c>
      <c r="B7" s="16">
        <v>6423</v>
      </c>
      <c r="C7" s="16">
        <v>5612</v>
      </c>
      <c r="D7" s="16">
        <v>4767</v>
      </c>
      <c r="E7" s="16">
        <v>3817</v>
      </c>
      <c r="F7" s="16">
        <v>2571</v>
      </c>
      <c r="G7" s="16">
        <v>1587</v>
      </c>
      <c r="H7" s="16">
        <v>988</v>
      </c>
    </row>
    <row r="8" spans="1:10" x14ac:dyDescent="0.25">
      <c r="A8" s="11" t="s">
        <v>19</v>
      </c>
      <c r="B8" s="16">
        <v>10243</v>
      </c>
      <c r="C8" s="16">
        <v>8299</v>
      </c>
      <c r="D8" s="16">
        <v>7411</v>
      </c>
      <c r="E8" s="16">
        <v>6031</v>
      </c>
      <c r="F8" s="16">
        <v>4992</v>
      </c>
      <c r="G8" s="16">
        <v>3202</v>
      </c>
      <c r="H8" s="16">
        <v>2171</v>
      </c>
    </row>
    <row r="9" spans="1:10" x14ac:dyDescent="0.25">
      <c r="A9" s="11" t="s">
        <v>20</v>
      </c>
      <c r="B9" s="17">
        <v>0</v>
      </c>
      <c r="C9" s="17">
        <v>0</v>
      </c>
      <c r="D9" s="17">
        <f>24625-D8-D7-D6</f>
        <v>0</v>
      </c>
      <c r="E9" s="17">
        <f>21296-E8-E7-E6</f>
        <v>0</v>
      </c>
      <c r="F9" s="17">
        <f>17490-F8-F7-F6</f>
        <v>351</v>
      </c>
      <c r="G9" s="17">
        <f>13747-G8-G7-G6</f>
        <v>196</v>
      </c>
      <c r="H9" s="17">
        <v>272</v>
      </c>
    </row>
    <row r="10" spans="1:10" x14ac:dyDescent="0.25">
      <c r="A10" s="12" t="s">
        <v>21</v>
      </c>
      <c r="B10" s="18">
        <f t="shared" ref="B10:G10" si="0">SUM(B5:B9)</f>
        <v>36474</v>
      </c>
      <c r="C10" s="18">
        <f t="shared" ref="C10:H10" si="1">SUM(C5:C9)</f>
        <v>31327</v>
      </c>
      <c r="D10" s="18">
        <f>SUM(D5:D9)</f>
        <v>24625</v>
      </c>
      <c r="E10" s="18">
        <f>SUM(E5:E9)</f>
        <v>21296</v>
      </c>
      <c r="F10" s="18">
        <f>SUM(F5:F9)</f>
        <v>17490</v>
      </c>
      <c r="G10" s="18">
        <f>SUM(G5:G9)</f>
        <v>13747</v>
      </c>
      <c r="H10" s="18">
        <f t="shared" si="1"/>
        <v>9797</v>
      </c>
    </row>
    <row r="12" spans="1:10" x14ac:dyDescent="0.25">
      <c r="A12" s="11" t="s">
        <v>22</v>
      </c>
      <c r="B12" s="17">
        <f>65444-B10</f>
        <v>28970</v>
      </c>
      <c r="C12" s="17">
        <f>54505-C10</f>
        <v>23178</v>
      </c>
      <c r="D12" s="17">
        <f>40159-D10</f>
        <v>15534</v>
      </c>
      <c r="E12" s="17">
        <f>32555-E10</f>
        <v>11259</v>
      </c>
      <c r="F12" s="17">
        <f>25278-F10</f>
        <v>7788</v>
      </c>
      <c r="G12" s="17">
        <f>18797-G10</f>
        <v>5050</v>
      </c>
      <c r="H12" s="17">
        <f>13813-H10</f>
        <v>4016</v>
      </c>
    </row>
    <row r="13" spans="1:10" x14ac:dyDescent="0.25">
      <c r="A13" s="12" t="s">
        <v>23</v>
      </c>
      <c r="B13" s="18">
        <f t="shared" ref="B13:G13" si="2">SUM(B10:B12)</f>
        <v>65444</v>
      </c>
      <c r="C13" s="18">
        <f t="shared" si="2"/>
        <v>54505</v>
      </c>
      <c r="D13" s="18">
        <f t="shared" si="2"/>
        <v>40159</v>
      </c>
      <c r="E13" s="18">
        <f t="shared" si="2"/>
        <v>32555</v>
      </c>
      <c r="F13" s="18">
        <f t="shared" si="2"/>
        <v>25278</v>
      </c>
      <c r="G13" s="18">
        <f t="shared" si="2"/>
        <v>18797</v>
      </c>
      <c r="H13" s="18">
        <f t="shared" ref="H13" si="3">SUM(H10:H12)</f>
        <v>13813</v>
      </c>
    </row>
    <row r="14" spans="1:10" x14ac:dyDescent="0.25">
      <c r="C14" s="87"/>
      <c r="D14" s="87"/>
      <c r="E14" s="87"/>
      <c r="F14" s="87"/>
      <c r="G14" s="87"/>
      <c r="H14" s="87"/>
    </row>
    <row r="15" spans="1:10" x14ac:dyDescent="0.25">
      <c r="A15" s="12" t="s">
        <v>24</v>
      </c>
      <c r="C15" s="87"/>
      <c r="D15" s="87"/>
      <c r="E15" s="87"/>
      <c r="F15" s="87"/>
      <c r="G15" s="87"/>
      <c r="H15" s="87"/>
    </row>
    <row r="16" spans="1:10" x14ac:dyDescent="0.25">
      <c r="A16" s="11" t="s">
        <v>80</v>
      </c>
      <c r="B16" s="16">
        <v>20397</v>
      </c>
      <c r="C16" s="16">
        <v>16459</v>
      </c>
      <c r="D16" s="16">
        <v>15133</v>
      </c>
      <c r="E16" s="16">
        <v>13318</v>
      </c>
      <c r="F16" s="16">
        <v>11145</v>
      </c>
      <c r="G16" s="16">
        <v>8051</v>
      </c>
      <c r="H16" s="16">
        <v>3594</v>
      </c>
    </row>
    <row r="17" spans="1:8" x14ac:dyDescent="0.25">
      <c r="A17" s="11" t="s">
        <v>30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x14ac:dyDescent="0.25">
      <c r="A18" s="11" t="s">
        <v>28</v>
      </c>
      <c r="B18" s="17">
        <f>33899-B16-B17</f>
        <v>13502</v>
      </c>
      <c r="C18" s="17">
        <f>28089-C16-C17</f>
        <v>11630</v>
      </c>
      <c r="D18" s="17">
        <f>22980-D17-D16</f>
        <v>7847</v>
      </c>
      <c r="E18" s="17">
        <f>19002-E17-E16</f>
        <v>5684</v>
      </c>
      <c r="F18" s="17">
        <f>14896-F17-F16</f>
        <v>3751</v>
      </c>
      <c r="G18" s="17">
        <f>10372-G17-G16</f>
        <v>2321</v>
      </c>
      <c r="H18" s="17">
        <f>7364-H16-H17</f>
        <v>3770</v>
      </c>
    </row>
    <row r="19" spans="1:8" x14ac:dyDescent="0.25">
      <c r="A19" s="12" t="s">
        <v>29</v>
      </c>
      <c r="B19" s="18">
        <f t="shared" ref="B19:G19" si="4">SUM(B16:B18)</f>
        <v>33899</v>
      </c>
      <c r="C19" s="18">
        <f t="shared" si="4"/>
        <v>28089</v>
      </c>
      <c r="D19" s="18">
        <f t="shared" si="4"/>
        <v>22980</v>
      </c>
      <c r="E19" s="18">
        <f t="shared" si="4"/>
        <v>19002</v>
      </c>
      <c r="F19" s="18">
        <f t="shared" si="4"/>
        <v>14896</v>
      </c>
      <c r="G19" s="18">
        <f t="shared" si="4"/>
        <v>10372</v>
      </c>
      <c r="H19" s="18">
        <f t="shared" ref="H19" si="5">SUM(H16:H18)</f>
        <v>7364</v>
      </c>
    </row>
    <row r="20" spans="1:8" x14ac:dyDescent="0.25">
      <c r="C20" s="87"/>
      <c r="D20" s="87"/>
      <c r="E20" s="87"/>
      <c r="F20" s="87"/>
      <c r="G20" s="87"/>
      <c r="H20" s="87"/>
    </row>
    <row r="21" spans="1:8" x14ac:dyDescent="0.25">
      <c r="A21" s="11" t="s">
        <v>52</v>
      </c>
      <c r="B21" s="16">
        <v>8235</v>
      </c>
      <c r="C21" s="16">
        <v>8265</v>
      </c>
      <c r="D21" s="16">
        <v>3191</v>
      </c>
      <c r="E21" s="16">
        <v>3084</v>
      </c>
      <c r="F21" s="16">
        <v>255</v>
      </c>
      <c r="G21" s="16">
        <v>184</v>
      </c>
      <c r="H21" s="16">
        <v>109</v>
      </c>
    </row>
    <row r="22" spans="1:8" x14ac:dyDescent="0.25">
      <c r="A22" s="11" t="s">
        <v>31</v>
      </c>
      <c r="B22" s="17">
        <v>9926</v>
      </c>
      <c r="C22" s="17">
        <v>7410</v>
      </c>
      <c r="D22" s="17">
        <f>4242</f>
        <v>4242</v>
      </c>
      <c r="E22" s="17">
        <v>2277</v>
      </c>
      <c r="F22" s="17">
        <f>14896+2625-F21-F19</f>
        <v>2370</v>
      </c>
      <c r="G22" s="17">
        <f>10372+1561-G21-G19</f>
        <v>1377</v>
      </c>
      <c r="H22" s="17">
        <f>7364+1192-H21-H19</f>
        <v>1083</v>
      </c>
    </row>
    <row r="23" spans="1:8" x14ac:dyDescent="0.25">
      <c r="A23" s="12" t="s">
        <v>32</v>
      </c>
      <c r="B23" s="18">
        <f>SUM(B19:B22)</f>
        <v>52060</v>
      </c>
      <c r="C23" s="18">
        <f t="shared" ref="C23:G23" si="6">SUM(C19:C22)</f>
        <v>43764</v>
      </c>
      <c r="D23" s="18">
        <f t="shared" si="6"/>
        <v>30413</v>
      </c>
      <c r="E23" s="18">
        <f t="shared" si="6"/>
        <v>24363</v>
      </c>
      <c r="F23" s="18">
        <f t="shared" si="6"/>
        <v>17521</v>
      </c>
      <c r="G23" s="18">
        <f t="shared" si="6"/>
        <v>11933</v>
      </c>
      <c r="H23" s="18">
        <f t="shared" ref="H23" si="7">SUM(H19:H22)</f>
        <v>8556</v>
      </c>
    </row>
    <row r="24" spans="1:8" x14ac:dyDescent="0.25">
      <c r="C24" s="87"/>
      <c r="D24" s="87"/>
      <c r="E24" s="87"/>
      <c r="F24" s="87"/>
      <c r="G24" s="87"/>
      <c r="H24" s="87"/>
    </row>
    <row r="25" spans="1:8" x14ac:dyDescent="0.25">
      <c r="A25" s="12" t="s">
        <v>35</v>
      </c>
      <c r="C25" s="87"/>
      <c r="D25" s="87"/>
      <c r="E25" s="87"/>
      <c r="F25" s="87"/>
      <c r="G25" s="87"/>
      <c r="H25" s="87"/>
    </row>
    <row r="26" spans="1:8" x14ac:dyDescent="0.25">
      <c r="A26" s="11" t="s">
        <v>33</v>
      </c>
      <c r="B26" s="17">
        <v>13384</v>
      </c>
      <c r="C26" s="17">
        <v>10741</v>
      </c>
      <c r="D26" s="17">
        <v>9746</v>
      </c>
      <c r="E26" s="17">
        <v>8192</v>
      </c>
      <c r="F26" s="17">
        <v>7757</v>
      </c>
      <c r="G26" s="17">
        <v>6864</v>
      </c>
      <c r="H26" s="17">
        <v>5257</v>
      </c>
    </row>
    <row r="27" spans="1:8" x14ac:dyDescent="0.25">
      <c r="A27" s="12" t="s">
        <v>34</v>
      </c>
      <c r="B27" s="18">
        <f>SUM(B23:B26)</f>
        <v>65444</v>
      </c>
      <c r="C27" s="18">
        <f t="shared" ref="C27:G27" si="8">SUM(C23:C26)</f>
        <v>54505</v>
      </c>
      <c r="D27" s="18">
        <f t="shared" si="8"/>
        <v>40159</v>
      </c>
      <c r="E27" s="18">
        <f t="shared" si="8"/>
        <v>32555</v>
      </c>
      <c r="F27" s="18">
        <f t="shared" si="8"/>
        <v>25278</v>
      </c>
      <c r="G27" s="18">
        <f t="shared" si="8"/>
        <v>18797</v>
      </c>
      <c r="H27" s="18">
        <f t="shared" ref="H27" si="9">SUM(H23:H26)</f>
        <v>13813</v>
      </c>
    </row>
    <row r="28" spans="1:8" x14ac:dyDescent="0.25">
      <c r="B28" s="16">
        <f t="shared" ref="B28:G28" si="10">B13-B27</f>
        <v>0</v>
      </c>
      <c r="C28" s="16">
        <f t="shared" si="10"/>
        <v>0</v>
      </c>
      <c r="D28" s="16">
        <f t="shared" si="10"/>
        <v>0</v>
      </c>
      <c r="E28" s="16">
        <f t="shared" si="10"/>
        <v>0</v>
      </c>
      <c r="F28" s="16">
        <f t="shared" si="10"/>
        <v>0</v>
      </c>
      <c r="G28" s="16">
        <f t="shared" si="10"/>
        <v>0</v>
      </c>
      <c r="H28" s="16">
        <f t="shared" ref="H28" si="11">H13-H27</f>
        <v>0</v>
      </c>
    </row>
    <row r="29" spans="1:8" x14ac:dyDescent="0.25">
      <c r="B29" s="87"/>
      <c r="C29" s="87"/>
      <c r="D29" s="87"/>
      <c r="E29" s="87"/>
      <c r="F29" s="87"/>
      <c r="G29" s="87"/>
      <c r="H29" s="87"/>
    </row>
    <row r="30" spans="1:8" x14ac:dyDescent="0.25">
      <c r="A30" s="11" t="s">
        <v>54</v>
      </c>
      <c r="B30" s="16">
        <v>3759</v>
      </c>
      <c r="C30" s="16">
        <v>3319</v>
      </c>
      <c r="D30" s="16">
        <v>2655</v>
      </c>
      <c r="E30" s="16">
        <v>2552</v>
      </c>
      <c r="F30" s="16">
        <v>1955</v>
      </c>
      <c r="G30" s="16">
        <v>1349</v>
      </c>
      <c r="H30" s="16">
        <v>1234</v>
      </c>
    </row>
    <row r="31" spans="1:8" x14ac:dyDescent="0.25">
      <c r="A31" s="11" t="s">
        <v>55</v>
      </c>
      <c r="B31" s="16">
        <v>0</v>
      </c>
      <c r="C31" s="16">
        <v>764</v>
      </c>
      <c r="D31" s="16">
        <v>645</v>
      </c>
      <c r="E31" s="16">
        <v>725</v>
      </c>
      <c r="F31" s="16">
        <v>647</v>
      </c>
      <c r="G31" s="16">
        <v>563</v>
      </c>
      <c r="H31" s="16">
        <v>567</v>
      </c>
    </row>
    <row r="32" spans="1:8" ht="15.75" thickBot="1" x14ac:dyDescent="0.3">
      <c r="A32" s="11" t="s">
        <v>56</v>
      </c>
      <c r="B32" s="37">
        <f t="shared" ref="B32:G32" si="12">SUM(B30:B31)</f>
        <v>3759</v>
      </c>
      <c r="C32" s="37">
        <f t="shared" si="12"/>
        <v>4083</v>
      </c>
      <c r="D32" s="37">
        <f t="shared" si="12"/>
        <v>3300</v>
      </c>
      <c r="E32" s="37">
        <f t="shared" si="12"/>
        <v>3277</v>
      </c>
      <c r="F32" s="37">
        <f t="shared" si="12"/>
        <v>2602</v>
      </c>
      <c r="G32" s="37">
        <f t="shared" si="12"/>
        <v>1912</v>
      </c>
      <c r="H32" s="37">
        <f t="shared" ref="H32" si="13">SUM(H30:H31)</f>
        <v>1801</v>
      </c>
    </row>
    <row r="33" spans="1:8" ht="15.75" thickTop="1" x14ac:dyDescent="0.25"/>
    <row r="34" spans="1:8" x14ac:dyDescent="0.25">
      <c r="A34" s="12" t="s">
        <v>46</v>
      </c>
      <c r="B34" s="16">
        <v>467</v>
      </c>
      <c r="C34" s="16">
        <v>462</v>
      </c>
      <c r="D34" s="16">
        <v>457</v>
      </c>
      <c r="E34" s="16">
        <v>453</v>
      </c>
      <c r="F34" s="16">
        <v>453</v>
      </c>
      <c r="G34" s="16">
        <v>447</v>
      </c>
      <c r="H34" s="16">
        <v>433</v>
      </c>
    </row>
    <row r="35" spans="1:8" x14ac:dyDescent="0.25">
      <c r="A35" s="12" t="s">
        <v>47</v>
      </c>
      <c r="B35" s="16">
        <v>477</v>
      </c>
      <c r="C35" s="16">
        <v>462</v>
      </c>
      <c r="D35" s="16">
        <v>465</v>
      </c>
      <c r="E35" s="16">
        <v>453</v>
      </c>
      <c r="F35" s="16">
        <v>461</v>
      </c>
      <c r="G35" s="16">
        <v>456</v>
      </c>
      <c r="H35" s="16">
        <v>442</v>
      </c>
    </row>
    <row r="37" spans="1:8" x14ac:dyDescent="0.25">
      <c r="A37" s="11" t="s">
        <v>93</v>
      </c>
      <c r="B37" s="16">
        <f>((1-(-'Income Statement - 1'!B16/'Income Statement - 1'!B14))*('Income Statement - 1'!B18-'Income Statement - 1'!B16+'Income Statement - 1'!B23))</f>
        <v>790.23596938775506</v>
      </c>
      <c r="C37" s="16">
        <f>((1-(-'Income Statement - 1'!C16/'Income Statement - 1'!C14))*('Income Statement - 1'!C18-'Income Statement - 1'!C16+'Income Statement - 1'!C23))</f>
        <v>340.61261261261262</v>
      </c>
      <c r="D37" s="16">
        <f>((1-(-'Income Statement - 1'!D16/'Income Statement - 1'!D14))*('Income Statement - 1'!D18-'Income Statement - 1'!D16+'Income Statement - 1'!D23))</f>
        <v>392.72727272727275</v>
      </c>
      <c r="E37" s="16">
        <f>((1-(-'Income Statement - 1'!E16/'Income Statement - 1'!E14))*('Income Statement - 1'!E18-'Income Statement - 1'!E16+'Income Statement - 1'!E23))</f>
        <v>102.56617647058825</v>
      </c>
      <c r="F37" s="16">
        <f>((1-(-'Income Statement - 1'!F16/'Income Statement - 1'!F14))*('Income Statement - 1'!F18-'Income Statement - 1'!F16+'Income Statement - 1'!F23))</f>
        <v>679.48715203426127</v>
      </c>
      <c r="G37" s="16">
        <f>((1-(-'Income Statement - 1'!G16/'Income Statement - 1'!G14))*('Income Statement - 1'!G18-'Income Statement - 1'!G16+'Income Statement - 1'!G23))</f>
        <v>1180.1837007348031</v>
      </c>
      <c r="H37" s="16">
        <f>((1-(-'Income Statement - 1'!H16/'Income Statement - 1'!H14))*('Income Statement - 1'!H18-'Income Statement - 1'!H16+'Income Statement - 1'!H23))</f>
        <v>929.89836347975881</v>
      </c>
    </row>
    <row r="38" spans="1:8" x14ac:dyDescent="0.25">
      <c r="A38" s="11" t="s">
        <v>95</v>
      </c>
      <c r="B38" s="16">
        <f>B26+B22+B21+B17-B6</f>
        <v>11737</v>
      </c>
      <c r="C38" s="16">
        <f t="shared" ref="C38:H38" si="14">C26+C22+C21+C17-C6</f>
        <v>9000</v>
      </c>
      <c r="D38" s="16">
        <f t="shared" si="14"/>
        <v>4732</v>
      </c>
      <c r="E38" s="16">
        <f t="shared" si="14"/>
        <v>2105</v>
      </c>
      <c r="F38" s="16">
        <f t="shared" si="14"/>
        <v>806</v>
      </c>
      <c r="G38" s="16">
        <f t="shared" si="14"/>
        <v>-337</v>
      </c>
      <c r="H38" s="16">
        <f t="shared" si="14"/>
        <v>83</v>
      </c>
    </row>
    <row r="40" spans="1:8" x14ac:dyDescent="0.25">
      <c r="A40" s="11" t="s">
        <v>97</v>
      </c>
      <c r="B40" s="114">
        <v>0.29266999999999999</v>
      </c>
      <c r="C40" s="16">
        <f>'Income Statement - 1'!B18-'Income Statement - 1'!B16+'Income Statement - 1'!B23</f>
        <v>2005</v>
      </c>
      <c r="D40" s="16" t="s">
        <v>98</v>
      </c>
    </row>
    <row r="41" spans="1:8" x14ac:dyDescent="0.25">
      <c r="A41" s="11" t="s">
        <v>96</v>
      </c>
      <c r="B41" s="113">
        <f>1-B40</f>
        <v>0.70733000000000001</v>
      </c>
      <c r="C41" s="16">
        <f>C40*B41</f>
        <v>1418.1966500000001</v>
      </c>
      <c r="D41" s="16" t="s">
        <v>93</v>
      </c>
    </row>
    <row r="43" spans="1:8" x14ac:dyDescent="0.25">
      <c r="B43" s="89"/>
      <c r="C43" s="89"/>
      <c r="D43" s="89"/>
      <c r="E43" s="89"/>
      <c r="F43" s="89"/>
      <c r="G43" s="89"/>
      <c r="H43" s="89"/>
    </row>
    <row r="44" spans="1:8" x14ac:dyDescent="0.25">
      <c r="B44" s="115"/>
      <c r="C44" s="115"/>
      <c r="D44" s="115"/>
      <c r="E44" s="115"/>
      <c r="F44" s="115"/>
      <c r="G44" s="115"/>
      <c r="H44" s="1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4" topLeftCell="A5" activePane="bottomLeft" state="frozen"/>
      <selection pane="bottomLeft" activeCell="B6" sqref="B6"/>
    </sheetView>
  </sheetViews>
  <sheetFormatPr defaultColWidth="12.7109375" defaultRowHeight="15" x14ac:dyDescent="0.25"/>
  <cols>
    <col min="1" max="1" width="37.42578125" style="11" customWidth="1"/>
    <col min="2" max="5" width="12.7109375" style="16" customWidth="1"/>
    <col min="6" max="16384" width="12.7109375" style="16"/>
  </cols>
  <sheetData>
    <row r="1" spans="1:10" s="11" customFormat="1" x14ac:dyDescent="0.25">
      <c r="A1" s="174" t="s">
        <v>99</v>
      </c>
      <c r="B1" s="174"/>
      <c r="C1" s="174"/>
      <c r="D1" s="174"/>
      <c r="E1" s="174"/>
      <c r="F1" s="174"/>
      <c r="G1" s="174"/>
      <c r="H1" s="174"/>
    </row>
    <row r="2" spans="1:10" s="11" customFormat="1" x14ac:dyDescent="0.25">
      <c r="A2" s="174" t="s">
        <v>36</v>
      </c>
      <c r="B2" s="174"/>
      <c r="C2" s="174"/>
      <c r="D2" s="174"/>
      <c r="E2" s="174"/>
      <c r="F2" s="174"/>
      <c r="G2" s="174"/>
      <c r="H2" s="174"/>
    </row>
    <row r="3" spans="1:10" s="11" customFormat="1" ht="15.75" thickBot="1" x14ac:dyDescent="0.3">
      <c r="A3" s="175" t="s">
        <v>27</v>
      </c>
      <c r="B3" s="175"/>
      <c r="C3" s="175"/>
      <c r="D3" s="175"/>
      <c r="E3" s="175"/>
      <c r="F3" s="175"/>
      <c r="G3" s="175"/>
      <c r="H3" s="175"/>
    </row>
    <row r="4" spans="1:10" s="11" customFormat="1" x14ac:dyDescent="0.25">
      <c r="A4" s="22" t="s">
        <v>83</v>
      </c>
      <c r="B4" s="13">
        <v>2015</v>
      </c>
      <c r="C4" s="13">
        <v>2014</v>
      </c>
      <c r="D4" s="13">
        <v>2013</v>
      </c>
      <c r="E4" s="13">
        <v>2012</v>
      </c>
      <c r="F4" s="13">
        <v>2011</v>
      </c>
      <c r="G4" s="13">
        <v>2010</v>
      </c>
      <c r="H4" s="110">
        <v>2009</v>
      </c>
    </row>
    <row r="5" spans="1:10" s="11" customFormat="1" x14ac:dyDescent="0.25">
      <c r="B5" s="14"/>
      <c r="C5" s="14"/>
      <c r="D5" s="14"/>
      <c r="E5" s="14"/>
      <c r="F5" s="14"/>
      <c r="G5" s="14"/>
    </row>
    <row r="6" spans="1:10" x14ac:dyDescent="0.25">
      <c r="A6" s="11" t="s">
        <v>37</v>
      </c>
      <c r="B6" s="15">
        <v>107006</v>
      </c>
      <c r="C6" s="15">
        <v>88988</v>
      </c>
      <c r="D6" s="15">
        <v>74452</v>
      </c>
      <c r="E6" s="15">
        <v>61093</v>
      </c>
      <c r="F6" s="15">
        <v>48077</v>
      </c>
      <c r="G6" s="15">
        <v>34204</v>
      </c>
      <c r="H6" s="15">
        <v>24509</v>
      </c>
      <c r="J6" s="16" t="s">
        <v>172</v>
      </c>
    </row>
    <row r="7" spans="1:10" x14ac:dyDescent="0.25">
      <c r="A7" s="11" t="s">
        <v>38</v>
      </c>
      <c r="B7" s="17">
        <v>71651</v>
      </c>
      <c r="C7" s="17">
        <v>62752</v>
      </c>
      <c r="D7" s="17">
        <v>54181</v>
      </c>
      <c r="E7" s="17">
        <v>45971</v>
      </c>
      <c r="F7" s="17">
        <v>37288</v>
      </c>
      <c r="G7" s="17">
        <v>26561</v>
      </c>
      <c r="H7" s="17">
        <v>18978</v>
      </c>
    </row>
    <row r="8" spans="1:10" x14ac:dyDescent="0.25">
      <c r="A8" s="12" t="s">
        <v>39</v>
      </c>
      <c r="B8" s="19">
        <f t="shared" ref="B8:H8" si="0">B6-B7</f>
        <v>35355</v>
      </c>
      <c r="C8" s="19">
        <f t="shared" si="0"/>
        <v>26236</v>
      </c>
      <c r="D8" s="19">
        <f>D6-D7</f>
        <v>20271</v>
      </c>
      <c r="E8" s="19">
        <f>E6-E7</f>
        <v>15122</v>
      </c>
      <c r="F8" s="19">
        <f>F6-F7</f>
        <v>10789</v>
      </c>
      <c r="G8" s="19">
        <f>G6-G7</f>
        <v>7643</v>
      </c>
      <c r="H8" s="19">
        <f t="shared" si="0"/>
        <v>5531</v>
      </c>
    </row>
    <row r="9" spans="1:10" x14ac:dyDescent="0.25">
      <c r="B9" s="19"/>
      <c r="C9" s="19"/>
      <c r="D9" s="19"/>
      <c r="E9" s="19"/>
      <c r="F9" s="19"/>
      <c r="G9" s="19"/>
      <c r="H9" s="19"/>
    </row>
    <row r="10" spans="1:10" x14ac:dyDescent="0.25">
      <c r="A10" s="11" t="s">
        <v>53</v>
      </c>
      <c r="B10" s="17">
        <f>104773-B7</f>
        <v>33122</v>
      </c>
      <c r="C10" s="17">
        <f>88810-C7</f>
        <v>26058</v>
      </c>
      <c r="D10" s="17">
        <f>73707-D7</f>
        <v>19526</v>
      </c>
      <c r="E10" s="17">
        <f>60417-E7</f>
        <v>14446</v>
      </c>
      <c r="F10" s="17">
        <f>47215-F7</f>
        <v>9927</v>
      </c>
      <c r="G10" s="17">
        <f>32798-G7</f>
        <v>6237</v>
      </c>
      <c r="H10" s="17">
        <f>23380-H7</f>
        <v>4402</v>
      </c>
    </row>
    <row r="11" spans="1:10" x14ac:dyDescent="0.25">
      <c r="A11" s="12" t="s">
        <v>40</v>
      </c>
      <c r="B11" s="20">
        <f t="shared" ref="B11:H11" si="1">B8-B10</f>
        <v>2233</v>
      </c>
      <c r="C11" s="20">
        <f t="shared" si="1"/>
        <v>178</v>
      </c>
      <c r="D11" s="20">
        <f>D8-D10</f>
        <v>745</v>
      </c>
      <c r="E11" s="20">
        <f>E8-E10</f>
        <v>676</v>
      </c>
      <c r="F11" s="20">
        <f>F8-F10</f>
        <v>862</v>
      </c>
      <c r="G11" s="20">
        <f>G8-G10</f>
        <v>1406</v>
      </c>
      <c r="H11" s="20">
        <f t="shared" si="1"/>
        <v>1129</v>
      </c>
    </row>
    <row r="12" spans="1:10" x14ac:dyDescent="0.25">
      <c r="B12" s="19"/>
      <c r="C12" s="19"/>
      <c r="D12" s="19"/>
      <c r="E12" s="19"/>
      <c r="F12" s="19"/>
      <c r="G12" s="19"/>
      <c r="H12" s="19"/>
    </row>
    <row r="13" spans="1:10" x14ac:dyDescent="0.25">
      <c r="A13" s="11" t="s">
        <v>41</v>
      </c>
      <c r="B13" s="17">
        <v>-665</v>
      </c>
      <c r="C13" s="17">
        <v>-289</v>
      </c>
      <c r="D13" s="17">
        <v>-239</v>
      </c>
      <c r="E13" s="17">
        <v>-132</v>
      </c>
      <c r="F13" s="17">
        <v>72</v>
      </c>
      <c r="G13" s="17">
        <v>91</v>
      </c>
      <c r="H13" s="17">
        <v>32</v>
      </c>
    </row>
    <row r="14" spans="1:10" x14ac:dyDescent="0.25">
      <c r="A14" s="12" t="s">
        <v>42</v>
      </c>
      <c r="B14" s="19">
        <f t="shared" ref="B14:H14" si="2">B11+B13</f>
        <v>1568</v>
      </c>
      <c r="C14" s="19">
        <f t="shared" si="2"/>
        <v>-111</v>
      </c>
      <c r="D14" s="19">
        <f>D11+D13</f>
        <v>506</v>
      </c>
      <c r="E14" s="19">
        <f>E11+E13</f>
        <v>544</v>
      </c>
      <c r="F14" s="19">
        <f>F11+F13</f>
        <v>934</v>
      </c>
      <c r="G14" s="19">
        <f>G11+G13</f>
        <v>1497</v>
      </c>
      <c r="H14" s="19">
        <f t="shared" si="2"/>
        <v>1161</v>
      </c>
    </row>
    <row r="15" spans="1:10" x14ac:dyDescent="0.25">
      <c r="A15" s="12"/>
      <c r="B15" s="20"/>
      <c r="C15" s="20"/>
      <c r="D15" s="20"/>
      <c r="E15" s="20"/>
      <c r="F15" s="20"/>
      <c r="G15" s="20"/>
      <c r="H15" s="20"/>
    </row>
    <row r="16" spans="1:10" x14ac:dyDescent="0.25">
      <c r="A16" s="11" t="s">
        <v>43</v>
      </c>
      <c r="B16" s="19">
        <v>-950</v>
      </c>
      <c r="C16" s="19">
        <v>-167</v>
      </c>
      <c r="D16" s="19">
        <v>-161</v>
      </c>
      <c r="E16" s="19">
        <v>-428</v>
      </c>
      <c r="F16" s="19">
        <v>-291</v>
      </c>
      <c r="G16" s="19">
        <v>-352</v>
      </c>
      <c r="H16" s="19">
        <v>-253</v>
      </c>
    </row>
    <row r="17" spans="1:8" x14ac:dyDescent="0.25">
      <c r="A17" s="11" t="s">
        <v>84</v>
      </c>
      <c r="B17" s="17">
        <v>-22</v>
      </c>
      <c r="C17" s="17">
        <v>37</v>
      </c>
      <c r="D17" s="17">
        <v>-71</v>
      </c>
      <c r="E17" s="17">
        <v>-155</v>
      </c>
      <c r="F17" s="17">
        <v>-12</v>
      </c>
      <c r="G17" s="17">
        <v>7</v>
      </c>
      <c r="H17" s="17">
        <v>-6</v>
      </c>
    </row>
    <row r="18" spans="1:8" x14ac:dyDescent="0.25">
      <c r="A18" s="12" t="s">
        <v>14</v>
      </c>
      <c r="B18" s="20">
        <f>B14+B16+B17</f>
        <v>596</v>
      </c>
      <c r="C18" s="20">
        <f t="shared" ref="C18:G18" si="3">C14+C16+C17</f>
        <v>-241</v>
      </c>
      <c r="D18" s="20">
        <f t="shared" si="3"/>
        <v>274</v>
      </c>
      <c r="E18" s="20">
        <f t="shared" si="3"/>
        <v>-39</v>
      </c>
      <c r="F18" s="20">
        <f t="shared" si="3"/>
        <v>631</v>
      </c>
      <c r="G18" s="20">
        <f t="shared" si="3"/>
        <v>1152</v>
      </c>
      <c r="H18" s="20">
        <f t="shared" ref="H18" si="4">H14+H16+H17</f>
        <v>902</v>
      </c>
    </row>
    <row r="19" spans="1:8" x14ac:dyDescent="0.25">
      <c r="B19" s="19"/>
      <c r="C19" s="19"/>
      <c r="D19" s="19"/>
      <c r="E19" s="19"/>
      <c r="F19" s="19"/>
      <c r="G19" s="19"/>
      <c r="H19" s="19"/>
    </row>
    <row r="20" spans="1:8" x14ac:dyDescent="0.25">
      <c r="A20" s="12" t="s">
        <v>44</v>
      </c>
      <c r="B20" s="21">
        <f>B18/'Balance Sheet - 1'!B34</f>
        <v>1.2762312633832977</v>
      </c>
      <c r="C20" s="21">
        <f>C18/'Balance Sheet - 1'!C34</f>
        <v>-0.52164502164502169</v>
      </c>
      <c r="D20" s="21">
        <f>D18/'Balance Sheet - 1'!D34</f>
        <v>0.59956236323851209</v>
      </c>
      <c r="E20" s="21">
        <f>E18/'Balance Sheet - 1'!E34</f>
        <v>-8.6092715231788075E-2</v>
      </c>
      <c r="F20" s="21">
        <f>F18/'Balance Sheet - 1'!F34</f>
        <v>1.3929359823399559</v>
      </c>
      <c r="G20" s="21">
        <f>G18/'Balance Sheet - 1'!G34</f>
        <v>2.5771812080536911</v>
      </c>
      <c r="H20" s="21">
        <f>H18/'Balance Sheet - 1'!H34</f>
        <v>2.0831408775981526</v>
      </c>
    </row>
    <row r="21" spans="1:8" x14ac:dyDescent="0.25">
      <c r="A21" s="12" t="s">
        <v>45</v>
      </c>
      <c r="B21" s="21">
        <f>B18/'Balance Sheet - 1'!B35</f>
        <v>1.249475890985325</v>
      </c>
      <c r="C21" s="21">
        <f>C18/'Balance Sheet - 1'!C35</f>
        <v>-0.52164502164502169</v>
      </c>
      <c r="D21" s="21">
        <f>D18/'Balance Sheet - 1'!D35</f>
        <v>0.58924731182795698</v>
      </c>
      <c r="E21" s="21">
        <f>E18/'Balance Sheet - 1'!E35</f>
        <v>-8.6092715231788075E-2</v>
      </c>
      <c r="F21" s="21">
        <f>F18/'Balance Sheet - 1'!F35</f>
        <v>1.3687635574837311</v>
      </c>
      <c r="G21" s="21">
        <f>G18/'Balance Sheet - 1'!G35</f>
        <v>2.5263157894736841</v>
      </c>
      <c r="H21" s="21">
        <f>H18/'Balance Sheet - 1'!H35</f>
        <v>2.0407239819004523</v>
      </c>
    </row>
    <row r="22" spans="1:8" x14ac:dyDescent="0.25">
      <c r="A22" s="12"/>
      <c r="B22" s="19"/>
      <c r="C22" s="19"/>
      <c r="D22" s="19"/>
      <c r="E22" s="19"/>
      <c r="F22" s="19"/>
      <c r="G22" s="19"/>
      <c r="H22" s="19"/>
    </row>
    <row r="23" spans="1:8" x14ac:dyDescent="0.25">
      <c r="A23" s="178" t="s">
        <v>50</v>
      </c>
      <c r="B23" s="19">
        <v>459</v>
      </c>
      <c r="C23" s="19">
        <v>210</v>
      </c>
      <c r="D23" s="19">
        <v>141</v>
      </c>
      <c r="E23" s="19">
        <v>92</v>
      </c>
      <c r="F23" s="19">
        <v>65</v>
      </c>
      <c r="G23" s="19">
        <v>39</v>
      </c>
      <c r="H23" s="19">
        <v>34</v>
      </c>
    </row>
    <row r="24" spans="1:8" x14ac:dyDescent="0.25">
      <c r="B24" s="19"/>
      <c r="C24" s="19"/>
      <c r="D24" s="19"/>
      <c r="E24" s="19"/>
      <c r="F24" s="19"/>
      <c r="G24" s="19"/>
      <c r="H24" s="19"/>
    </row>
    <row r="25" spans="1:8" x14ac:dyDescent="0.25">
      <c r="B25" s="19"/>
      <c r="C25" s="19"/>
      <c r="D25" s="19"/>
      <c r="E25" s="19"/>
      <c r="F25" s="19"/>
      <c r="G25" s="19"/>
      <c r="H25" s="19"/>
    </row>
    <row r="26" spans="1:8" x14ac:dyDescent="0.25">
      <c r="A26" s="11" t="s">
        <v>62</v>
      </c>
      <c r="B26" s="19">
        <v>11920</v>
      </c>
      <c r="C26" s="19">
        <v>6842</v>
      </c>
      <c r="D26" s="19">
        <v>5475</v>
      </c>
      <c r="E26" s="19">
        <v>4180</v>
      </c>
      <c r="F26" s="19">
        <v>3903</v>
      </c>
      <c r="G26" s="19">
        <v>3495</v>
      </c>
      <c r="H26" s="19">
        <v>3293</v>
      </c>
    </row>
    <row r="27" spans="1:8" x14ac:dyDescent="0.25">
      <c r="A27" s="11" t="s">
        <v>63</v>
      </c>
      <c r="B27" s="19">
        <v>-4589</v>
      </c>
      <c r="C27" s="19">
        <v>-4893</v>
      </c>
      <c r="D27" s="19">
        <v>-3444</v>
      </c>
      <c r="E27" s="19">
        <v>-3785</v>
      </c>
      <c r="F27" s="19">
        <v>-1811</v>
      </c>
      <c r="G27" s="19">
        <v>-979</v>
      </c>
      <c r="H27" s="19">
        <v>-373</v>
      </c>
    </row>
    <row r="28" spans="1:8" ht="15.75" thickBot="1" x14ac:dyDescent="0.3">
      <c r="A28" s="11" t="s">
        <v>60</v>
      </c>
      <c r="B28" s="37">
        <f t="shared" ref="B28:G28" si="5">SUM(B26:B27)</f>
        <v>7331</v>
      </c>
      <c r="C28" s="37">
        <f t="shared" si="5"/>
        <v>1949</v>
      </c>
      <c r="D28" s="37">
        <f t="shared" si="5"/>
        <v>2031</v>
      </c>
      <c r="E28" s="37">
        <f t="shared" si="5"/>
        <v>395</v>
      </c>
      <c r="F28" s="37">
        <f t="shared" si="5"/>
        <v>2092</v>
      </c>
      <c r="G28" s="37">
        <f t="shared" si="5"/>
        <v>2516</v>
      </c>
      <c r="H28" s="37">
        <f t="shared" ref="H28" si="6">SUM(H26:H27)</f>
        <v>2920</v>
      </c>
    </row>
    <row r="29" spans="1:8" ht="15.75" thickTop="1" x14ac:dyDescent="0.25">
      <c r="B29" s="19"/>
      <c r="C29" s="19"/>
      <c r="D29" s="19"/>
      <c r="E29" s="19"/>
    </row>
    <row r="30" spans="1:8" x14ac:dyDescent="0.25">
      <c r="A30" s="12"/>
      <c r="B30" s="20"/>
      <c r="C30" s="20"/>
      <c r="D30" s="20"/>
      <c r="E30" s="20"/>
    </row>
    <row r="31" spans="1:8" x14ac:dyDescent="0.25">
      <c r="B31" s="19"/>
      <c r="C31" s="19"/>
      <c r="D31" s="19"/>
      <c r="E31" s="19"/>
    </row>
    <row r="32" spans="1:8" x14ac:dyDescent="0.25">
      <c r="B32" s="19"/>
      <c r="C32" s="19"/>
      <c r="D32" s="19"/>
      <c r="E32" s="19"/>
    </row>
    <row r="33" spans="2:5" x14ac:dyDescent="0.25">
      <c r="B33" s="19"/>
      <c r="C33" s="19"/>
      <c r="D33" s="19"/>
      <c r="E33" s="19"/>
    </row>
    <row r="34" spans="2:5" x14ac:dyDescent="0.25">
      <c r="B34" s="19"/>
      <c r="C34" s="19"/>
      <c r="D34" s="19"/>
      <c r="E34" s="19"/>
    </row>
    <row r="35" spans="2:5" x14ac:dyDescent="0.25">
      <c r="B35" s="19"/>
      <c r="C35" s="19"/>
      <c r="D35" s="19"/>
      <c r="E35" s="19"/>
    </row>
    <row r="36" spans="2:5" x14ac:dyDescent="0.25">
      <c r="B36" s="19"/>
      <c r="C36" s="19"/>
      <c r="D36" s="19"/>
      <c r="E36" s="19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pane ySplit="4" topLeftCell="A5" activePane="bottomLeft" state="frozen"/>
      <selection pane="bottomLeft" activeCell="G17" activeCellId="1" sqref="G21 G17"/>
    </sheetView>
  </sheetViews>
  <sheetFormatPr defaultColWidth="12.7109375" defaultRowHeight="15" x14ac:dyDescent="0.25"/>
  <cols>
    <col min="1" max="1" width="37.42578125" style="11" customWidth="1"/>
    <col min="2" max="5" width="12.7109375" style="16" customWidth="1"/>
    <col min="6" max="16384" width="12.7109375" style="16"/>
  </cols>
  <sheetData>
    <row r="1" spans="1:8" s="11" customFormat="1" x14ac:dyDescent="0.25">
      <c r="A1" s="174" t="s">
        <v>171</v>
      </c>
      <c r="B1" s="174"/>
      <c r="C1" s="174"/>
      <c r="D1" s="174"/>
      <c r="E1" s="174"/>
      <c r="F1" s="174"/>
      <c r="G1" s="174"/>
      <c r="H1" s="174"/>
    </row>
    <row r="2" spans="1:8" s="11" customFormat="1" x14ac:dyDescent="0.25">
      <c r="A2" s="174" t="s">
        <v>26</v>
      </c>
      <c r="B2" s="174"/>
      <c r="C2" s="174"/>
      <c r="D2" s="174"/>
      <c r="E2" s="174"/>
      <c r="F2" s="174"/>
      <c r="G2" s="174"/>
      <c r="H2" s="174"/>
    </row>
    <row r="3" spans="1:8" s="11" customFormat="1" ht="15.75" thickBot="1" x14ac:dyDescent="0.3">
      <c r="A3" s="175" t="s">
        <v>27</v>
      </c>
      <c r="B3" s="175"/>
      <c r="C3" s="175"/>
      <c r="D3" s="175"/>
      <c r="E3" s="175"/>
      <c r="F3" s="175"/>
      <c r="G3" s="175"/>
      <c r="H3" s="175"/>
    </row>
    <row r="4" spans="1:8" s="11" customFormat="1" x14ac:dyDescent="0.25">
      <c r="A4" s="22" t="s">
        <v>83</v>
      </c>
      <c r="B4" s="13">
        <v>2015</v>
      </c>
      <c r="C4" s="13">
        <v>2014</v>
      </c>
      <c r="D4" s="13">
        <v>2013</v>
      </c>
      <c r="E4" s="13">
        <v>2012</v>
      </c>
      <c r="F4" s="13">
        <v>2011</v>
      </c>
      <c r="G4" s="13">
        <v>2010</v>
      </c>
      <c r="H4" s="145">
        <v>2009</v>
      </c>
    </row>
    <row r="5" spans="1:8" x14ac:dyDescent="0.25">
      <c r="A5" s="12" t="s">
        <v>25</v>
      </c>
      <c r="B5" s="15"/>
      <c r="C5" s="15"/>
      <c r="D5" s="15"/>
      <c r="E5" s="15"/>
    </row>
    <row r="6" spans="1:8" x14ac:dyDescent="0.25">
      <c r="A6" s="11" t="s">
        <v>17</v>
      </c>
      <c r="B6" s="16">
        <f>1832+4299</f>
        <v>6131</v>
      </c>
      <c r="C6" s="16">
        <f>6328+3770</f>
        <v>10098</v>
      </c>
      <c r="D6" s="16">
        <f>4494+4531</f>
        <v>9025</v>
      </c>
      <c r="E6" s="16">
        <f>6817+2591</f>
        <v>9408</v>
      </c>
      <c r="F6" s="16">
        <f>4691+1238</f>
        <v>5929</v>
      </c>
      <c r="G6" s="16">
        <f>5577+1045</f>
        <v>6622</v>
      </c>
      <c r="H6" s="16">
        <f>4000+944</f>
        <v>4944</v>
      </c>
    </row>
    <row r="7" spans="1:8" x14ac:dyDescent="0.25">
      <c r="A7" s="11" t="s">
        <v>18</v>
      </c>
      <c r="B7" s="16">
        <v>619</v>
      </c>
      <c r="C7" s="16">
        <v>797</v>
      </c>
      <c r="D7" s="16">
        <v>899</v>
      </c>
      <c r="E7" s="16">
        <v>822</v>
      </c>
      <c r="F7" s="16">
        <v>682</v>
      </c>
      <c r="G7" s="16">
        <v>454</v>
      </c>
      <c r="H7" s="16">
        <v>408</v>
      </c>
    </row>
    <row r="8" spans="1:8" x14ac:dyDescent="0.25">
      <c r="A8" s="11" t="s">
        <v>19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8" x14ac:dyDescent="0.25">
      <c r="A9" s="11" t="s">
        <v>20</v>
      </c>
      <c r="B9" s="17">
        <f>7904-B8-B7-B6</f>
        <v>1154</v>
      </c>
      <c r="C9" s="17">
        <f>26531-C8-C7-C6</f>
        <v>15636</v>
      </c>
      <c r="D9" s="17">
        <f>23283-D8-D7-D6</f>
        <v>13359</v>
      </c>
      <c r="E9" s="17">
        <f>21398-E8-E7-E6</f>
        <v>11168</v>
      </c>
      <c r="F9" s="17">
        <f>12661-F8-F7-F6</f>
        <v>6050</v>
      </c>
      <c r="G9" s="17">
        <f>11065-G8-G7-G6</f>
        <v>3989</v>
      </c>
      <c r="H9" s="17">
        <f>8460-H8-H7-H6</f>
        <v>3108</v>
      </c>
    </row>
    <row r="10" spans="1:8" x14ac:dyDescent="0.25">
      <c r="A10" s="12" t="s">
        <v>21</v>
      </c>
      <c r="B10" s="18">
        <f t="shared" ref="B10:G10" si="0">SUM(B5:B9)</f>
        <v>7904</v>
      </c>
      <c r="C10" s="18">
        <f t="shared" ref="C10:H10" si="1">SUM(C5:C9)</f>
        <v>26531</v>
      </c>
      <c r="D10" s="18">
        <f t="shared" si="1"/>
        <v>23283</v>
      </c>
      <c r="E10" s="18">
        <f t="shared" si="1"/>
        <v>21398</v>
      </c>
      <c r="F10" s="18">
        <f t="shared" si="1"/>
        <v>12661</v>
      </c>
      <c r="G10" s="18">
        <f t="shared" si="1"/>
        <v>11065</v>
      </c>
      <c r="H10" s="18">
        <f t="shared" si="1"/>
        <v>8460</v>
      </c>
    </row>
    <row r="12" spans="1:8" x14ac:dyDescent="0.25">
      <c r="A12" s="11" t="s">
        <v>22</v>
      </c>
      <c r="B12" s="17">
        <f>17785-B10</f>
        <v>9881</v>
      </c>
      <c r="C12" s="17">
        <f>45132-C10</f>
        <v>18601</v>
      </c>
      <c r="D12" s="17">
        <f>41488-D10</f>
        <v>18205</v>
      </c>
      <c r="E12" s="17">
        <f>37074-E10</f>
        <v>15676</v>
      </c>
      <c r="F12" s="17">
        <f>27320-F10</f>
        <v>14659</v>
      </c>
      <c r="G12" s="17">
        <f>22004-G10</f>
        <v>10939</v>
      </c>
      <c r="H12" s="17">
        <f>18408-H10</f>
        <v>9948</v>
      </c>
    </row>
    <row r="13" spans="1:8" x14ac:dyDescent="0.25">
      <c r="A13" s="12" t="s">
        <v>23</v>
      </c>
      <c r="B13" s="18">
        <f t="shared" ref="B13:G13" si="2">SUM(B10:B12)</f>
        <v>17785</v>
      </c>
      <c r="C13" s="18">
        <f t="shared" si="2"/>
        <v>45132</v>
      </c>
      <c r="D13" s="18">
        <f t="shared" si="2"/>
        <v>41488</v>
      </c>
      <c r="E13" s="18">
        <f t="shared" si="2"/>
        <v>37074</v>
      </c>
      <c r="F13" s="18">
        <f t="shared" si="2"/>
        <v>27320</v>
      </c>
      <c r="G13" s="18">
        <f t="shared" si="2"/>
        <v>22004</v>
      </c>
      <c r="H13" s="18">
        <f t="shared" ref="H13" si="3">SUM(H10:H12)</f>
        <v>18408</v>
      </c>
    </row>
    <row r="15" spans="1:8" x14ac:dyDescent="0.25">
      <c r="A15" s="12" t="s">
        <v>24</v>
      </c>
    </row>
    <row r="16" spans="1:8" x14ac:dyDescent="0.25">
      <c r="A16" s="11" t="s">
        <v>80</v>
      </c>
      <c r="B16" s="16">
        <v>349</v>
      </c>
      <c r="C16" s="16">
        <v>107</v>
      </c>
      <c r="D16" s="16">
        <v>309</v>
      </c>
      <c r="E16" s="16">
        <v>301</v>
      </c>
      <c r="F16" s="16">
        <v>283</v>
      </c>
      <c r="G16" s="16">
        <v>185</v>
      </c>
      <c r="H16" s="16">
        <v>192</v>
      </c>
    </row>
    <row r="17" spans="1:8" x14ac:dyDescent="0.25">
      <c r="A17" s="11" t="s">
        <v>30</v>
      </c>
      <c r="B17" s="16">
        <v>0</v>
      </c>
      <c r="C17" s="16">
        <v>850</v>
      </c>
      <c r="D17" s="16">
        <v>6</v>
      </c>
      <c r="E17" s="16">
        <v>413</v>
      </c>
      <c r="F17" s="16">
        <v>565</v>
      </c>
      <c r="G17" s="16">
        <v>300</v>
      </c>
      <c r="H17" s="16">
        <v>0</v>
      </c>
    </row>
    <row r="18" spans="1:8" x14ac:dyDescent="0.25">
      <c r="A18" s="11" t="s">
        <v>28</v>
      </c>
      <c r="B18" s="17">
        <f>2263-B17-B16</f>
        <v>1914</v>
      </c>
      <c r="C18" s="17">
        <f>17531-C17-C16</f>
        <v>16574</v>
      </c>
      <c r="D18" s="17">
        <f>12639-D17-D16</f>
        <v>12324</v>
      </c>
      <c r="E18" s="17">
        <f>10924-E17-E16</f>
        <v>10210</v>
      </c>
      <c r="F18" s="17">
        <f>6734-F17-F16</f>
        <v>5886</v>
      </c>
      <c r="G18" s="17">
        <f>4517-G17-G16</f>
        <v>4032</v>
      </c>
      <c r="H18" s="17">
        <f>3642-H17-H16</f>
        <v>3450</v>
      </c>
    </row>
    <row r="19" spans="1:8" x14ac:dyDescent="0.25">
      <c r="A19" s="12" t="s">
        <v>29</v>
      </c>
      <c r="B19" s="18">
        <f t="shared" ref="B19:G19" si="4">SUM(B16:B18)</f>
        <v>2263</v>
      </c>
      <c r="C19" s="18">
        <f t="shared" si="4"/>
        <v>17531</v>
      </c>
      <c r="D19" s="18">
        <f t="shared" si="4"/>
        <v>12639</v>
      </c>
      <c r="E19" s="18">
        <f t="shared" si="4"/>
        <v>10924</v>
      </c>
      <c r="F19" s="18">
        <f t="shared" si="4"/>
        <v>6734</v>
      </c>
      <c r="G19" s="18">
        <f>SUM(G16:G18)</f>
        <v>4517</v>
      </c>
      <c r="H19" s="18">
        <f t="shared" ref="H19" si="5">SUM(H16:H18)</f>
        <v>3642</v>
      </c>
    </row>
    <row r="21" spans="1:8" x14ac:dyDescent="0.25">
      <c r="A21" s="11" t="s">
        <v>52</v>
      </c>
      <c r="B21" s="16">
        <v>6779</v>
      </c>
      <c r="C21" s="16">
        <v>6777</v>
      </c>
      <c r="D21" s="16">
        <v>4117</v>
      </c>
      <c r="E21" s="16">
        <v>4106</v>
      </c>
      <c r="F21" s="16">
        <v>1525</v>
      </c>
      <c r="G21" s="16">
        <v>1494</v>
      </c>
      <c r="H21" s="16">
        <v>0</v>
      </c>
    </row>
    <row r="22" spans="1:8" x14ac:dyDescent="0.25">
      <c r="A22" s="11" t="s">
        <v>31</v>
      </c>
      <c r="B22" s="17">
        <f>11209-B21-B19</f>
        <v>2167</v>
      </c>
      <c r="C22" s="17">
        <f>25226-C21-C19</f>
        <v>918</v>
      </c>
      <c r="D22" s="17">
        <f>17841-D21-D19</f>
        <v>1085</v>
      </c>
      <c r="E22" s="17">
        <f>16209-E21-E19</f>
        <v>1179</v>
      </c>
      <c r="F22" s="17">
        <f>9390-F21-F19</f>
        <v>1131</v>
      </c>
      <c r="G22" s="17">
        <f>6702-G21-G19</f>
        <v>691</v>
      </c>
      <c r="H22" s="17">
        <f>4621-H21-H19</f>
        <v>979</v>
      </c>
    </row>
    <row r="23" spans="1:8" x14ac:dyDescent="0.25">
      <c r="A23" s="12" t="s">
        <v>32</v>
      </c>
      <c r="B23" s="18">
        <f t="shared" ref="B23:G23" si="6">SUM(B19:B22)</f>
        <v>11209</v>
      </c>
      <c r="C23" s="18">
        <f t="shared" si="6"/>
        <v>25226</v>
      </c>
      <c r="D23" s="18">
        <f t="shared" si="6"/>
        <v>17841</v>
      </c>
      <c r="E23" s="18">
        <f t="shared" si="6"/>
        <v>16209</v>
      </c>
      <c r="F23" s="18">
        <f t="shared" si="6"/>
        <v>9390</v>
      </c>
      <c r="G23" s="18">
        <f t="shared" si="6"/>
        <v>6702</v>
      </c>
      <c r="H23" s="18">
        <f t="shared" ref="H23" si="7">SUM(H19:H22)</f>
        <v>4621</v>
      </c>
    </row>
    <row r="25" spans="1:8" x14ac:dyDescent="0.25">
      <c r="A25" s="12" t="s">
        <v>35</v>
      </c>
    </row>
    <row r="26" spans="1:8" x14ac:dyDescent="0.25">
      <c r="A26" s="11" t="s">
        <v>33</v>
      </c>
      <c r="B26" s="17">
        <v>6576</v>
      </c>
      <c r="C26" s="17">
        <v>19906</v>
      </c>
      <c r="D26" s="17">
        <v>23647</v>
      </c>
      <c r="E26" s="17">
        <v>20865</v>
      </c>
      <c r="F26" s="17">
        <v>17930</v>
      </c>
      <c r="G26" s="17">
        <v>15302</v>
      </c>
      <c r="H26" s="17">
        <v>13787</v>
      </c>
    </row>
    <row r="27" spans="1:8" x14ac:dyDescent="0.25">
      <c r="A27" s="12" t="s">
        <v>34</v>
      </c>
      <c r="B27" s="18">
        <f t="shared" ref="B27:G27" si="8">SUM(B23:B26)</f>
        <v>17785</v>
      </c>
      <c r="C27" s="18">
        <f t="shared" si="8"/>
        <v>45132</v>
      </c>
      <c r="D27" s="18">
        <f t="shared" si="8"/>
        <v>41488</v>
      </c>
      <c r="E27" s="18">
        <f t="shared" si="8"/>
        <v>37074</v>
      </c>
      <c r="F27" s="18">
        <f t="shared" si="8"/>
        <v>27320</v>
      </c>
      <c r="G27" s="18">
        <f t="shared" si="8"/>
        <v>22004</v>
      </c>
      <c r="H27" s="18">
        <f t="shared" ref="H27" si="9">SUM(H23:H26)</f>
        <v>18408</v>
      </c>
    </row>
    <row r="28" spans="1:8" x14ac:dyDescent="0.25">
      <c r="B28" s="16">
        <f t="shared" ref="B28:G28" si="10">B13-B27</f>
        <v>0</v>
      </c>
      <c r="C28" s="16">
        <f t="shared" si="10"/>
        <v>0</v>
      </c>
      <c r="D28" s="16">
        <f t="shared" si="10"/>
        <v>0</v>
      </c>
      <c r="E28" s="16">
        <f t="shared" si="10"/>
        <v>0</v>
      </c>
      <c r="F28" s="16">
        <f t="shared" si="10"/>
        <v>0</v>
      </c>
      <c r="G28" s="16">
        <f t="shared" si="10"/>
        <v>0</v>
      </c>
      <c r="H28" s="16">
        <f t="shared" ref="H28" si="11">H13-H27</f>
        <v>0</v>
      </c>
    </row>
    <row r="30" spans="1:8" x14ac:dyDescent="0.25">
      <c r="A30" s="11" t="s">
        <v>54</v>
      </c>
      <c r="B30" s="16">
        <v>4451</v>
      </c>
      <c r="C30" s="16">
        <v>9094</v>
      </c>
      <c r="D30" s="16">
        <v>9267</v>
      </c>
      <c r="E30" s="16">
        <v>8537</v>
      </c>
      <c r="F30" s="16">
        <v>8365</v>
      </c>
      <c r="G30" s="16">
        <v>6193</v>
      </c>
      <c r="H30" s="16">
        <v>6143</v>
      </c>
    </row>
    <row r="31" spans="1:8" x14ac:dyDescent="0.25">
      <c r="A31" s="11" t="s">
        <v>55</v>
      </c>
      <c r="B31" s="16">
        <v>90</v>
      </c>
      <c r="C31" s="16">
        <v>564</v>
      </c>
      <c r="D31" s="16">
        <v>941</v>
      </c>
      <c r="E31" s="16">
        <v>1128</v>
      </c>
      <c r="F31" s="16">
        <v>1406</v>
      </c>
      <c r="G31" s="16">
        <v>541</v>
      </c>
      <c r="H31" s="16">
        <v>768</v>
      </c>
    </row>
    <row r="32" spans="1:8" ht="15.75" thickBot="1" x14ac:dyDescent="0.3">
      <c r="A32" s="11" t="s">
        <v>56</v>
      </c>
      <c r="B32" s="37">
        <f t="shared" ref="B32:G32" si="12">SUM(B30:B31)</f>
        <v>4541</v>
      </c>
      <c r="C32" s="37">
        <f t="shared" si="12"/>
        <v>9658</v>
      </c>
      <c r="D32" s="37">
        <f t="shared" si="12"/>
        <v>10208</v>
      </c>
      <c r="E32" s="37">
        <f t="shared" si="12"/>
        <v>9665</v>
      </c>
      <c r="F32" s="37">
        <f t="shared" si="12"/>
        <v>9771</v>
      </c>
      <c r="G32" s="37">
        <f t="shared" si="12"/>
        <v>6734</v>
      </c>
      <c r="H32" s="37">
        <f t="shared" ref="H32" si="13">SUM(H30:H31)</f>
        <v>6911</v>
      </c>
    </row>
    <row r="33" spans="1:8" ht="15.75" thickTop="1" x14ac:dyDescent="0.25"/>
    <row r="34" spans="1:8" x14ac:dyDescent="0.25">
      <c r="A34" s="12" t="s">
        <v>46</v>
      </c>
      <c r="B34" s="16">
        <v>1208</v>
      </c>
      <c r="C34" s="16">
        <v>1251</v>
      </c>
      <c r="D34" s="16">
        <v>1295</v>
      </c>
      <c r="E34" s="16">
        <v>1292</v>
      </c>
      <c r="F34" s="16">
        <v>1293</v>
      </c>
      <c r="G34" s="16">
        <v>1306</v>
      </c>
      <c r="H34" s="16">
        <v>1289.848</v>
      </c>
    </row>
    <row r="35" spans="1:8" x14ac:dyDescent="0.25">
      <c r="A35" s="12" t="s">
        <v>47</v>
      </c>
      <c r="B35" s="16">
        <v>1220</v>
      </c>
      <c r="C35" s="16">
        <v>1262</v>
      </c>
      <c r="D35" s="16">
        <v>1313</v>
      </c>
      <c r="E35" s="16">
        <v>1313</v>
      </c>
      <c r="F35" s="16">
        <v>1313</v>
      </c>
      <c r="G35" s="16">
        <v>1327</v>
      </c>
      <c r="H35" s="16">
        <v>1304.981</v>
      </c>
    </row>
    <row r="37" spans="1:8" x14ac:dyDescent="0.25">
      <c r="A37" s="11" t="s">
        <v>93</v>
      </c>
      <c r="B37" s="16">
        <f>((1-(-'Income Statement - 2'!B16/'Income Statement - 2'!B14))*('Income Statement - 2'!B18-'Income Statement - 2'!B16+'Income Statement - 2'!B23))</f>
        <v>1883.8802992518704</v>
      </c>
      <c r="C37" s="16">
        <f>((1-(-'Income Statement - 2'!C16/'Income Statement - 2'!C14))*('Income Statement - 2'!C18-'Income Statement - 2'!C16+'Income Statement - 2'!C23))</f>
        <v>-1215.8151093439367</v>
      </c>
      <c r="D37" s="16">
        <f>((1-(-'Income Statement - 2'!D16/'Income Statement - 2'!D14))*('Income Statement - 2'!D18-'Income Statement - 2'!D16+'Income Statement - 2'!D23))</f>
        <v>2777.7071178529754</v>
      </c>
      <c r="E37" s="16">
        <f>((1-(-'Income Statement - 2'!E16/'Income Statement - 2'!E14))*('Income Statement - 2'!E18-'Income Statement - 2'!E16+'Income Statement - 2'!E23))</f>
        <v>2662.2966926070039</v>
      </c>
      <c r="F37" s="16">
        <f>((1-(-'Income Statement - 2'!F16/'Income Statement - 2'!F14))*('Income Statement - 2'!F18-'Income Statement - 2'!F16+'Income Statement - 2'!F23))</f>
        <v>3249.6457800511507</v>
      </c>
      <c r="G37" s="16">
        <f>((1-(-'Income Statement - 2'!G16/'Income Statement - 2'!G14))*('Income Statement - 2'!G18-'Income Statement - 2'!G16+'Income Statement - 2'!G23))</f>
        <v>1804.4337464251669</v>
      </c>
      <c r="H37" s="16">
        <f>((1-(-'Income Statement - 2'!H16/'Income Statement - 2'!H14))*('Income Statement - 2'!H18-'Income Statement - 2'!H16+'Income Statement - 2'!H23))</f>
        <v>2389</v>
      </c>
    </row>
    <row r="38" spans="1:8" x14ac:dyDescent="0.25">
      <c r="A38" s="11" t="s">
        <v>95</v>
      </c>
      <c r="B38" s="16">
        <f>B26+B22+B21+B17-B6</f>
        <v>9391</v>
      </c>
      <c r="C38" s="16">
        <f t="shared" ref="C38:H38" si="14">C26+C22+C21+C17-C6</f>
        <v>18353</v>
      </c>
      <c r="D38" s="16">
        <f t="shared" si="14"/>
        <v>19830</v>
      </c>
      <c r="E38" s="16">
        <f t="shared" si="14"/>
        <v>17155</v>
      </c>
      <c r="F38" s="16">
        <f t="shared" si="14"/>
        <v>15222</v>
      </c>
      <c r="G38" s="16">
        <f t="shared" si="14"/>
        <v>11165</v>
      </c>
      <c r="H38" s="16">
        <f t="shared" si="14"/>
        <v>9822</v>
      </c>
    </row>
    <row r="41" spans="1:8" x14ac:dyDescent="0.25">
      <c r="B41" s="89"/>
      <c r="C41" s="89"/>
      <c r="D41" s="89"/>
      <c r="E41" s="89"/>
      <c r="F41" s="89"/>
      <c r="G41" s="89"/>
      <c r="H41" s="89"/>
    </row>
    <row r="42" spans="1:8" x14ac:dyDescent="0.25">
      <c r="B42" s="115"/>
      <c r="C42" s="115"/>
      <c r="D42" s="115"/>
      <c r="E42" s="115"/>
      <c r="F42" s="115"/>
      <c r="G42" s="1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4" topLeftCell="A23" activePane="bottomLeft" state="frozen"/>
      <selection pane="bottomLeft" activeCell="B24" sqref="B24"/>
    </sheetView>
  </sheetViews>
  <sheetFormatPr defaultColWidth="12.7109375" defaultRowHeight="15" x14ac:dyDescent="0.25"/>
  <cols>
    <col min="1" max="1" width="37.42578125" style="11" customWidth="1"/>
    <col min="2" max="5" width="12.7109375" style="16" customWidth="1"/>
    <col min="6" max="16384" width="12.7109375" style="16"/>
  </cols>
  <sheetData>
    <row r="1" spans="1:8" s="11" customFormat="1" x14ac:dyDescent="0.25">
      <c r="A1" s="174" t="s">
        <v>171</v>
      </c>
      <c r="B1" s="174"/>
      <c r="C1" s="174"/>
      <c r="D1" s="174"/>
      <c r="E1" s="174"/>
      <c r="F1" s="174"/>
      <c r="G1" s="174"/>
      <c r="H1" s="174"/>
    </row>
    <row r="2" spans="1:8" s="11" customFormat="1" x14ac:dyDescent="0.25">
      <c r="A2" s="174" t="s">
        <v>36</v>
      </c>
      <c r="B2" s="174"/>
      <c r="C2" s="174"/>
      <c r="D2" s="174"/>
      <c r="E2" s="174"/>
      <c r="F2" s="174"/>
      <c r="G2" s="174"/>
      <c r="H2" s="174"/>
    </row>
    <row r="3" spans="1:8" s="11" customFormat="1" ht="15.75" thickBot="1" x14ac:dyDescent="0.3">
      <c r="A3" s="175" t="s">
        <v>27</v>
      </c>
      <c r="B3" s="175"/>
      <c r="C3" s="175"/>
      <c r="D3" s="175"/>
      <c r="E3" s="175"/>
      <c r="F3" s="175"/>
      <c r="G3" s="175"/>
      <c r="H3" s="175"/>
    </row>
    <row r="4" spans="1:8" s="11" customFormat="1" x14ac:dyDescent="0.25">
      <c r="A4" s="22" t="s">
        <v>83</v>
      </c>
      <c r="B4" s="13">
        <v>2015</v>
      </c>
      <c r="C4" s="13">
        <v>2014</v>
      </c>
      <c r="D4" s="13">
        <v>2013</v>
      </c>
      <c r="E4" s="13">
        <v>2012</v>
      </c>
      <c r="F4" s="13">
        <v>2011</v>
      </c>
      <c r="G4" s="13">
        <v>2010</v>
      </c>
      <c r="H4" s="145">
        <v>2009</v>
      </c>
    </row>
    <row r="5" spans="1:8" s="11" customFormat="1" x14ac:dyDescent="0.25">
      <c r="B5" s="14"/>
      <c r="C5" s="14"/>
      <c r="D5" s="14"/>
      <c r="E5" s="14"/>
      <c r="F5" s="14"/>
      <c r="G5" s="14"/>
    </row>
    <row r="6" spans="1:8" x14ac:dyDescent="0.25">
      <c r="A6" s="11" t="s">
        <v>37</v>
      </c>
      <c r="B6" s="15">
        <v>8592</v>
      </c>
      <c r="C6" s="15">
        <v>8790</v>
      </c>
      <c r="D6" s="15">
        <v>8257</v>
      </c>
      <c r="E6" s="15">
        <v>14072</v>
      </c>
      <c r="F6" s="15">
        <v>11652</v>
      </c>
      <c r="G6" s="15">
        <v>9156</v>
      </c>
      <c r="H6" s="15">
        <v>8727</v>
      </c>
    </row>
    <row r="7" spans="1:8" x14ac:dyDescent="0.25">
      <c r="A7" s="11" t="s">
        <v>38</v>
      </c>
      <c r="B7" s="17">
        <v>1771</v>
      </c>
      <c r="C7" s="17">
        <v>1663</v>
      </c>
      <c r="D7" s="17">
        <v>1492</v>
      </c>
      <c r="E7" s="17">
        <v>4216</v>
      </c>
      <c r="F7" s="17">
        <v>3461</v>
      </c>
      <c r="G7" s="17">
        <v>2564</v>
      </c>
      <c r="H7" s="17">
        <v>2479</v>
      </c>
    </row>
    <row r="8" spans="1:8" x14ac:dyDescent="0.25">
      <c r="A8" s="12" t="s">
        <v>39</v>
      </c>
      <c r="B8" s="19">
        <f t="shared" ref="B8:H8" si="0">B6-B7</f>
        <v>6821</v>
      </c>
      <c r="C8" s="19">
        <f t="shared" si="0"/>
        <v>7127</v>
      </c>
      <c r="D8" s="19">
        <f t="shared" si="0"/>
        <v>6765</v>
      </c>
      <c r="E8" s="19">
        <f t="shared" si="0"/>
        <v>9856</v>
      </c>
      <c r="F8" s="19">
        <f t="shared" si="0"/>
        <v>8191</v>
      </c>
      <c r="G8" s="19">
        <f t="shared" si="0"/>
        <v>6592</v>
      </c>
      <c r="H8" s="19">
        <f t="shared" si="0"/>
        <v>6248</v>
      </c>
    </row>
    <row r="9" spans="1:8" x14ac:dyDescent="0.25">
      <c r="B9" s="19"/>
      <c r="C9" s="19"/>
      <c r="D9" s="19"/>
      <c r="E9" s="19"/>
      <c r="F9" s="19"/>
      <c r="G9" s="19"/>
      <c r="H9" s="19"/>
    </row>
    <row r="10" spans="1:8" x14ac:dyDescent="0.25">
      <c r="A10" s="11" t="s">
        <v>53</v>
      </c>
      <c r="B10" s="17">
        <v>4624</v>
      </c>
      <c r="C10" s="17">
        <v>4651</v>
      </c>
      <c r="D10" s="17">
        <v>4311</v>
      </c>
      <c r="E10" s="17">
        <v>6968</v>
      </c>
      <c r="F10" s="17">
        <v>5818</v>
      </c>
      <c r="G10" s="17">
        <v>4538</v>
      </c>
      <c r="H10" s="17">
        <v>4791</v>
      </c>
    </row>
    <row r="11" spans="1:8" x14ac:dyDescent="0.25">
      <c r="A11" s="12" t="s">
        <v>40</v>
      </c>
      <c r="B11" s="20">
        <f t="shared" ref="B11:H11" si="1">B8-B10</f>
        <v>2197</v>
      </c>
      <c r="C11" s="20">
        <f t="shared" si="1"/>
        <v>2476</v>
      </c>
      <c r="D11" s="20">
        <f t="shared" si="1"/>
        <v>2454</v>
      </c>
      <c r="E11" s="20">
        <f t="shared" si="1"/>
        <v>2888</v>
      </c>
      <c r="F11" s="20">
        <f t="shared" si="1"/>
        <v>2373</v>
      </c>
      <c r="G11" s="20">
        <f t="shared" si="1"/>
        <v>2054</v>
      </c>
      <c r="H11" s="20">
        <f t="shared" si="1"/>
        <v>1457</v>
      </c>
    </row>
    <row r="12" spans="1:8" x14ac:dyDescent="0.25">
      <c r="B12" s="19"/>
      <c r="C12" s="19"/>
      <c r="D12" s="19"/>
      <c r="E12" s="19"/>
      <c r="F12" s="19"/>
      <c r="G12" s="19"/>
      <c r="H12" s="19"/>
    </row>
    <row r="13" spans="1:8" x14ac:dyDescent="0.25">
      <c r="A13" s="11" t="s">
        <v>41</v>
      </c>
      <c r="B13" s="17">
        <v>209</v>
      </c>
      <c r="C13" s="17">
        <v>39</v>
      </c>
      <c r="D13" s="17">
        <v>117</v>
      </c>
      <c r="E13" s="17">
        <v>196</v>
      </c>
      <c r="F13" s="17">
        <v>1537</v>
      </c>
      <c r="G13" s="17">
        <v>44</v>
      </c>
      <c r="H13" s="17">
        <v>1422</v>
      </c>
    </row>
    <row r="14" spans="1:8" x14ac:dyDescent="0.25">
      <c r="A14" s="12" t="s">
        <v>42</v>
      </c>
      <c r="B14" s="19">
        <f t="shared" ref="B14:H14" si="2">B11+B13</f>
        <v>2406</v>
      </c>
      <c r="C14" s="19">
        <f t="shared" si="2"/>
        <v>2515</v>
      </c>
      <c r="D14" s="19">
        <f t="shared" si="2"/>
        <v>2571</v>
      </c>
      <c r="E14" s="19">
        <f t="shared" si="2"/>
        <v>3084</v>
      </c>
      <c r="F14" s="19">
        <f t="shared" si="2"/>
        <v>3910</v>
      </c>
      <c r="G14" s="19">
        <f t="shared" si="2"/>
        <v>2098</v>
      </c>
      <c r="H14" s="19">
        <f t="shared" si="2"/>
        <v>2879</v>
      </c>
    </row>
    <row r="15" spans="1:8" x14ac:dyDescent="0.25">
      <c r="A15" s="12"/>
      <c r="B15" s="20"/>
      <c r="C15" s="20"/>
      <c r="D15" s="20"/>
      <c r="E15" s="20"/>
      <c r="F15" s="20"/>
      <c r="G15" s="20"/>
      <c r="H15" s="20"/>
    </row>
    <row r="16" spans="1:8" x14ac:dyDescent="0.25">
      <c r="A16" s="11" t="s">
        <v>43</v>
      </c>
      <c r="B16" s="19">
        <v>-459</v>
      </c>
      <c r="C16" s="19">
        <v>-3380</v>
      </c>
      <c r="D16" s="19">
        <v>-504</v>
      </c>
      <c r="E16" s="19">
        <v>-475</v>
      </c>
      <c r="F16" s="19">
        <v>-681</v>
      </c>
      <c r="G16" s="19">
        <v>-297</v>
      </c>
      <c r="H16" s="19">
        <v>-490</v>
      </c>
    </row>
    <row r="17" spans="1:8" x14ac:dyDescent="0.25">
      <c r="A17" s="11" t="s">
        <v>173</v>
      </c>
      <c r="B17" s="17">
        <v>-222</v>
      </c>
      <c r="C17" s="17">
        <v>911</v>
      </c>
      <c r="D17" s="17">
        <v>789</v>
      </c>
      <c r="E17" s="17">
        <v>0</v>
      </c>
      <c r="F17" s="17">
        <v>0</v>
      </c>
      <c r="G17" s="17">
        <v>0</v>
      </c>
      <c r="H17" s="17">
        <v>0</v>
      </c>
    </row>
    <row r="18" spans="1:8" x14ac:dyDescent="0.25">
      <c r="A18" s="12" t="s">
        <v>14</v>
      </c>
      <c r="B18" s="20">
        <f>B14+B16+B17</f>
        <v>1725</v>
      </c>
      <c r="C18" s="20">
        <f>C14+C16+C17</f>
        <v>46</v>
      </c>
      <c r="D18" s="20">
        <f t="shared" ref="D18:G18" si="3">D14+D16+D17</f>
        <v>2856</v>
      </c>
      <c r="E18" s="20">
        <f t="shared" si="3"/>
        <v>2609</v>
      </c>
      <c r="F18" s="20">
        <f t="shared" si="3"/>
        <v>3229</v>
      </c>
      <c r="G18" s="20">
        <f t="shared" si="3"/>
        <v>1801</v>
      </c>
      <c r="H18" s="20">
        <f t="shared" ref="H18" si="4">H14+H16+H17</f>
        <v>2389</v>
      </c>
    </row>
    <row r="19" spans="1:8" x14ac:dyDescent="0.25">
      <c r="B19" s="19"/>
      <c r="C19" s="19"/>
      <c r="D19" s="19"/>
      <c r="E19" s="19"/>
      <c r="F19" s="19"/>
      <c r="G19" s="19"/>
      <c r="H19" s="19"/>
    </row>
    <row r="20" spans="1:8" x14ac:dyDescent="0.25">
      <c r="A20" s="12" t="s">
        <v>44</v>
      </c>
      <c r="B20" s="21">
        <f>B18/'Balance Sheet - 2'!B34</f>
        <v>1.4279801324503312</v>
      </c>
      <c r="C20" s="21">
        <f>C18/'Balance Sheet - 2'!C34</f>
        <v>3.6770583533173459E-2</v>
      </c>
      <c r="D20" s="21">
        <f>D18/'Balance Sheet - 2'!D34</f>
        <v>2.2054054054054055</v>
      </c>
      <c r="E20" s="21">
        <f>E18/'Balance Sheet - 2'!E34</f>
        <v>2.0193498452012384</v>
      </c>
      <c r="F20" s="21">
        <f>F18/'Balance Sheet - 2'!F34</f>
        <v>2.497293116782676</v>
      </c>
      <c r="G20" s="21">
        <f>G18/'Balance Sheet - 2'!G34</f>
        <v>1.3790199081163859</v>
      </c>
      <c r="H20" s="21">
        <f>H18/'Balance Sheet - 2'!H34</f>
        <v>1.8521562230588411</v>
      </c>
    </row>
    <row r="21" spans="1:8" x14ac:dyDescent="0.25">
      <c r="A21" s="12" t="s">
        <v>45</v>
      </c>
      <c r="B21" s="21">
        <f>B18/'Balance Sheet - 2'!B35</f>
        <v>1.4139344262295082</v>
      </c>
      <c r="C21" s="21">
        <f>C18/'Balance Sheet - 2'!C35</f>
        <v>3.6450079239302692E-2</v>
      </c>
      <c r="D21" s="21">
        <f>D18/'Balance Sheet - 2'!D35</f>
        <v>2.175171363290175</v>
      </c>
      <c r="E21" s="21">
        <f>E18/'Balance Sheet - 2'!E35</f>
        <v>1.987052551408987</v>
      </c>
      <c r="F21" s="21">
        <f>F18/'Balance Sheet - 2'!F35</f>
        <v>2.459253617669459</v>
      </c>
      <c r="G21" s="21">
        <f>G18/'Balance Sheet - 2'!G35</f>
        <v>1.3571966842501884</v>
      </c>
      <c r="H21" s="21">
        <f>H18/'Balance Sheet - 2'!H35</f>
        <v>1.8306779945455145</v>
      </c>
    </row>
    <row r="22" spans="1:8" x14ac:dyDescent="0.25">
      <c r="A22" s="12"/>
      <c r="B22" s="19"/>
      <c r="C22" s="19"/>
      <c r="D22" s="19"/>
      <c r="E22" s="19"/>
      <c r="F22" s="19"/>
      <c r="G22" s="19"/>
      <c r="H22" s="19"/>
    </row>
    <row r="23" spans="1:8" x14ac:dyDescent="0.25">
      <c r="A23" s="11" t="s">
        <v>50</v>
      </c>
      <c r="B23" s="19">
        <v>144</v>
      </c>
      <c r="C23" s="19">
        <v>109</v>
      </c>
      <c r="D23" s="19">
        <v>95</v>
      </c>
      <c r="E23" s="19">
        <v>63</v>
      </c>
      <c r="F23" s="19">
        <v>25</v>
      </c>
      <c r="G23" s="19">
        <v>4</v>
      </c>
      <c r="H23" s="19">
        <v>0</v>
      </c>
    </row>
    <row r="24" spans="1:8" x14ac:dyDescent="0.25">
      <c r="B24" s="19"/>
      <c r="C24" s="19"/>
      <c r="D24" s="19"/>
      <c r="E24" s="19"/>
      <c r="F24" s="19"/>
      <c r="G24" s="19"/>
      <c r="H24" s="19"/>
    </row>
    <row r="25" spans="1:8" x14ac:dyDescent="0.25">
      <c r="B25" s="19"/>
      <c r="C25" s="19"/>
      <c r="D25" s="19"/>
      <c r="E25" s="19"/>
      <c r="F25" s="19"/>
      <c r="G25" s="19"/>
      <c r="H25" s="19"/>
    </row>
    <row r="26" spans="1:8" x14ac:dyDescent="0.25">
      <c r="A26" s="11" t="s">
        <v>62</v>
      </c>
      <c r="B26" s="19">
        <v>4033</v>
      </c>
      <c r="C26" s="19">
        <v>5677</v>
      </c>
      <c r="D26" s="19">
        <v>4995</v>
      </c>
      <c r="E26" s="19">
        <v>3838</v>
      </c>
      <c r="F26" s="19">
        <v>3274</v>
      </c>
      <c r="G26" s="19">
        <v>2746</v>
      </c>
      <c r="H26" s="19">
        <v>2908</v>
      </c>
    </row>
    <row r="27" spans="1:8" x14ac:dyDescent="0.25">
      <c r="A27" s="11" t="s">
        <v>63</v>
      </c>
      <c r="B27" s="19">
        <v>-668</v>
      </c>
      <c r="C27" s="19">
        <v>-1271</v>
      </c>
      <c r="D27" s="19">
        <v>-1250</v>
      </c>
      <c r="E27" s="19">
        <v>-1257</v>
      </c>
      <c r="F27" s="19">
        <v>-963</v>
      </c>
      <c r="G27" s="19">
        <v>-724</v>
      </c>
      <c r="H27" s="19">
        <v>-567</v>
      </c>
    </row>
    <row r="28" spans="1:8" ht="15.75" thickBot="1" x14ac:dyDescent="0.3">
      <c r="A28" s="11" t="s">
        <v>60</v>
      </c>
      <c r="B28" s="37">
        <f t="shared" ref="B28:G28" si="5">SUM(B26:B27)</f>
        <v>3365</v>
      </c>
      <c r="C28" s="37">
        <f t="shared" si="5"/>
        <v>4406</v>
      </c>
      <c r="D28" s="37">
        <f t="shared" si="5"/>
        <v>3745</v>
      </c>
      <c r="E28" s="37">
        <f t="shared" si="5"/>
        <v>2581</v>
      </c>
      <c r="F28" s="37">
        <f t="shared" si="5"/>
        <v>2311</v>
      </c>
      <c r="G28" s="37">
        <f t="shared" si="5"/>
        <v>2022</v>
      </c>
      <c r="H28" s="37">
        <f t="shared" ref="H28" si="6">SUM(H26:H27)</f>
        <v>2341</v>
      </c>
    </row>
    <row r="29" spans="1:8" ht="15.75" thickTop="1" x14ac:dyDescent="0.25">
      <c r="B29" s="19"/>
      <c r="C29" s="19"/>
      <c r="D29" s="19"/>
      <c r="E29" s="19"/>
    </row>
    <row r="30" spans="1:8" x14ac:dyDescent="0.25">
      <c r="A30" s="12"/>
      <c r="B30" s="20"/>
      <c r="C30" s="20"/>
      <c r="D30" s="20"/>
      <c r="E30" s="20"/>
    </row>
    <row r="31" spans="1:8" x14ac:dyDescent="0.25">
      <c r="B31" s="19"/>
      <c r="C31" s="19"/>
      <c r="D31" s="19"/>
      <c r="E31" s="19"/>
    </row>
    <row r="32" spans="1:8" x14ac:dyDescent="0.25">
      <c r="B32" s="19"/>
      <c r="C32" s="19"/>
      <c r="D32" s="19"/>
      <c r="E32" s="19"/>
    </row>
    <row r="33" spans="2:5" x14ac:dyDescent="0.25">
      <c r="B33" s="19"/>
      <c r="C33" s="19"/>
      <c r="D33" s="19"/>
      <c r="E33" s="19"/>
    </row>
    <row r="34" spans="2:5" x14ac:dyDescent="0.25">
      <c r="B34" s="19"/>
      <c r="C34" s="19"/>
      <c r="D34" s="19"/>
      <c r="E34" s="19"/>
    </row>
    <row r="35" spans="2:5" x14ac:dyDescent="0.25">
      <c r="B35" s="19"/>
      <c r="C35" s="19"/>
      <c r="D35" s="19"/>
      <c r="E35" s="19"/>
    </row>
    <row r="36" spans="2:5" x14ac:dyDescent="0.25">
      <c r="B36" s="19"/>
      <c r="C36" s="19"/>
      <c r="D36" s="19"/>
      <c r="E36" s="19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4" topLeftCell="A5" activePane="bottomLeft" state="frozen"/>
      <selection pane="bottomLeft" activeCell="B6" sqref="B6"/>
    </sheetView>
  </sheetViews>
  <sheetFormatPr defaultColWidth="12.7109375" defaultRowHeight="15" x14ac:dyDescent="0.25"/>
  <cols>
    <col min="1" max="1" width="37.42578125" style="11" customWidth="1"/>
    <col min="2" max="2" width="12.7109375" style="16" customWidth="1"/>
    <col min="3" max="8" width="13.85546875" style="16" customWidth="1"/>
    <col min="9" max="16384" width="12.7109375" style="16"/>
  </cols>
  <sheetData>
    <row r="1" spans="1:10" s="11" customFormat="1" x14ac:dyDescent="0.25">
      <c r="A1" s="174" t="s">
        <v>101</v>
      </c>
      <c r="B1" s="174"/>
      <c r="C1" s="174"/>
      <c r="D1" s="174"/>
      <c r="E1" s="174"/>
      <c r="F1" s="174"/>
      <c r="G1" s="174"/>
      <c r="H1" s="174"/>
    </row>
    <row r="2" spans="1:10" s="11" customFormat="1" x14ac:dyDescent="0.25">
      <c r="A2" s="174" t="s">
        <v>26</v>
      </c>
      <c r="B2" s="174"/>
      <c r="C2" s="174"/>
      <c r="D2" s="174"/>
      <c r="E2" s="174"/>
      <c r="F2" s="174"/>
      <c r="G2" s="174"/>
      <c r="H2" s="174"/>
    </row>
    <row r="3" spans="1:10" s="11" customFormat="1" ht="15.75" thickBot="1" x14ac:dyDescent="0.3">
      <c r="A3" s="175" t="s">
        <v>27</v>
      </c>
      <c r="B3" s="175"/>
      <c r="C3" s="175"/>
      <c r="D3" s="175"/>
      <c r="E3" s="175"/>
      <c r="F3" s="175"/>
      <c r="G3" s="175"/>
      <c r="H3" s="175"/>
    </row>
    <row r="4" spans="1:10" s="11" customFormat="1" x14ac:dyDescent="0.25">
      <c r="A4" s="22" t="s">
        <v>104</v>
      </c>
      <c r="B4" s="13">
        <v>2015</v>
      </c>
      <c r="C4" s="13">
        <v>2014</v>
      </c>
      <c r="D4" s="13">
        <v>2013</v>
      </c>
      <c r="E4" s="13">
        <v>2012</v>
      </c>
      <c r="F4" s="13">
        <v>2011</v>
      </c>
      <c r="G4" s="13">
        <v>2010</v>
      </c>
      <c r="H4" s="145">
        <v>2009</v>
      </c>
    </row>
    <row r="5" spans="1:10" x14ac:dyDescent="0.25">
      <c r="A5" s="12" t="s">
        <v>25</v>
      </c>
      <c r="B5" s="15"/>
      <c r="C5" s="15"/>
      <c r="D5" s="15"/>
      <c r="E5" s="15"/>
    </row>
    <row r="6" spans="1:10" x14ac:dyDescent="0.25">
      <c r="A6" s="11" t="s">
        <v>17</v>
      </c>
      <c r="B6" s="16">
        <f>166881+202112</f>
        <v>368993</v>
      </c>
      <c r="C6" s="16">
        <v>371954</v>
      </c>
      <c r="D6" s="16">
        <v>216878</v>
      </c>
      <c r="E6" s="16">
        <v>195184</v>
      </c>
      <c r="F6" s="16">
        <v>142310</v>
      </c>
      <c r="G6" s="16">
        <v>62173</v>
      </c>
      <c r="H6" s="16">
        <v>64384</v>
      </c>
      <c r="J6" s="16" t="s">
        <v>172</v>
      </c>
    </row>
    <row r="7" spans="1:10" x14ac:dyDescent="0.25">
      <c r="A7" s="11" t="s">
        <v>18</v>
      </c>
      <c r="B7" s="16">
        <v>28428</v>
      </c>
      <c r="C7" s="16">
        <v>46672</v>
      </c>
      <c r="D7" s="16">
        <v>25884</v>
      </c>
      <c r="E7" s="16">
        <v>19837</v>
      </c>
      <c r="F7" s="16">
        <v>16815</v>
      </c>
      <c r="G7" s="16">
        <v>12618</v>
      </c>
      <c r="H7" s="16">
        <v>4868</v>
      </c>
    </row>
    <row r="8" spans="1:10" x14ac:dyDescent="0.25">
      <c r="A8" s="11" t="s">
        <v>19</v>
      </c>
      <c r="B8" s="16">
        <v>222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10" x14ac:dyDescent="0.25">
      <c r="A9" s="11" t="s">
        <v>20</v>
      </c>
      <c r="B9" s="17">
        <f>557463-B8-B7-B6</f>
        <v>159820</v>
      </c>
      <c r="C9" s="17">
        <f>532750-C8-C7-C6</f>
        <v>114124</v>
      </c>
      <c r="D9" s="17">
        <f>326164-D8-D7-D6</f>
        <v>83402</v>
      </c>
      <c r="E9" s="17">
        <f>275361-E8-E7-E6</f>
        <v>60340</v>
      </c>
      <c r="F9" s="17">
        <f>200246-F8-F7-F6</f>
        <v>41121</v>
      </c>
      <c r="G9" s="17">
        <f>101635-G8-G7-G6</f>
        <v>26844</v>
      </c>
      <c r="H9" s="17">
        <f>82135-H8-H7-H6</f>
        <v>12883</v>
      </c>
    </row>
    <row r="10" spans="1:10" x14ac:dyDescent="0.25">
      <c r="A10" s="12" t="s">
        <v>21</v>
      </c>
      <c r="B10" s="18">
        <f t="shared" ref="B10:H10" si="0">SUM(B5:B9)</f>
        <v>557463</v>
      </c>
      <c r="C10" s="18">
        <f t="shared" si="0"/>
        <v>532750</v>
      </c>
      <c r="D10" s="18">
        <f>SUM(D5:D9)</f>
        <v>326164</v>
      </c>
      <c r="E10" s="18">
        <f>SUM(E5:E9)</f>
        <v>275361</v>
      </c>
      <c r="F10" s="18">
        <f>SUM(F5:F9)</f>
        <v>200246</v>
      </c>
      <c r="G10" s="18">
        <f>SUM(G5:G9)</f>
        <v>101635</v>
      </c>
      <c r="H10" s="18">
        <f t="shared" si="0"/>
        <v>82135</v>
      </c>
    </row>
    <row r="12" spans="1:10" x14ac:dyDescent="0.25">
      <c r="A12" s="11" t="s">
        <v>22</v>
      </c>
      <c r="B12" s="17">
        <f>1003606-B10</f>
        <v>446143</v>
      </c>
      <c r="C12" s="17">
        <f>966847-C10</f>
        <v>434097</v>
      </c>
      <c r="D12" s="17">
        <f>592363-D10</f>
        <v>266199</v>
      </c>
      <c r="E12" s="17">
        <f>478669-E10</f>
        <v>203308</v>
      </c>
      <c r="F12" s="17">
        <f>355931-F10</f>
        <v>155685</v>
      </c>
      <c r="G12" s="17">
        <f>269683-G10</f>
        <v>168048</v>
      </c>
      <c r="H12" s="17">
        <f>182614-H10</f>
        <v>100479</v>
      </c>
    </row>
    <row r="13" spans="1:10" x14ac:dyDescent="0.25">
      <c r="A13" s="12" t="s">
        <v>23</v>
      </c>
      <c r="B13" s="18">
        <f t="shared" ref="B13:G13" si="1">SUM(B10:B12)</f>
        <v>1003606</v>
      </c>
      <c r="C13" s="18">
        <f t="shared" si="1"/>
        <v>966847</v>
      </c>
      <c r="D13" s="18">
        <f t="shared" si="1"/>
        <v>592363</v>
      </c>
      <c r="E13" s="18">
        <f t="shared" si="1"/>
        <v>478669</v>
      </c>
      <c r="F13" s="18">
        <f t="shared" si="1"/>
        <v>355931</v>
      </c>
      <c r="G13" s="18">
        <f t="shared" si="1"/>
        <v>269683</v>
      </c>
      <c r="H13" s="18">
        <f t="shared" ref="H13" si="2">SUM(H10:H12)</f>
        <v>182614</v>
      </c>
    </row>
    <row r="15" spans="1:10" x14ac:dyDescent="0.25">
      <c r="A15" s="12" t="s">
        <v>24</v>
      </c>
    </row>
    <row r="16" spans="1:10" x14ac:dyDescent="0.25">
      <c r="A16" s="11" t="s">
        <v>80</v>
      </c>
      <c r="B16" s="16">
        <v>62038</v>
      </c>
      <c r="C16" s="161">
        <v>58006</v>
      </c>
      <c r="D16" s="161">
        <v>34405</v>
      </c>
      <c r="E16" s="162">
        <v>23976</v>
      </c>
      <c r="F16" s="162">
        <v>20251</v>
      </c>
      <c r="G16" s="162">
        <v>17232</v>
      </c>
      <c r="H16" s="162">
        <v>11600</v>
      </c>
    </row>
    <row r="17" spans="1:8" x14ac:dyDescent="0.25">
      <c r="A17" s="11" t="s">
        <v>30</v>
      </c>
      <c r="B17" s="16">
        <v>1965</v>
      </c>
      <c r="C17" s="16">
        <v>1642</v>
      </c>
      <c r="D17" s="16">
        <v>13371</v>
      </c>
      <c r="E17" s="16">
        <v>85</v>
      </c>
      <c r="F17" s="16">
        <v>146</v>
      </c>
      <c r="G17" s="16">
        <v>100</v>
      </c>
      <c r="H17" s="16">
        <v>3214</v>
      </c>
    </row>
    <row r="18" spans="1:8" x14ac:dyDescent="0.25">
      <c r="A18" s="11" t="s">
        <v>28</v>
      </c>
      <c r="B18" s="17">
        <f>325026-B17-B16</f>
        <v>261023</v>
      </c>
      <c r="C18" s="17">
        <f>292623-C17-C16</f>
        <v>232975</v>
      </c>
      <c r="D18" s="17">
        <f>224166-D17-D16</f>
        <v>176390</v>
      </c>
      <c r="E18" s="17">
        <f>169531-E17-E16</f>
        <v>145470</v>
      </c>
      <c r="F18" s="17">
        <f>118304-F17-F16</f>
        <v>97907</v>
      </c>
      <c r="G18" s="17">
        <f>88394-G17-G16</f>
        <v>71062</v>
      </c>
      <c r="H18" s="17">
        <f>60493-H17-H16</f>
        <v>45679</v>
      </c>
    </row>
    <row r="19" spans="1:8" x14ac:dyDescent="0.25">
      <c r="A19" s="12" t="s">
        <v>29</v>
      </c>
      <c r="B19" s="18">
        <f t="shared" ref="B19:G19" si="3">SUM(B16:B18)</f>
        <v>325026</v>
      </c>
      <c r="C19" s="18">
        <f t="shared" si="3"/>
        <v>292623</v>
      </c>
      <c r="D19" s="18">
        <f>SUM(D16:D18)</f>
        <v>224166</v>
      </c>
      <c r="E19" s="18">
        <f t="shared" si="3"/>
        <v>169531</v>
      </c>
      <c r="F19" s="18">
        <f t="shared" si="3"/>
        <v>118304</v>
      </c>
      <c r="G19" s="18">
        <f t="shared" si="3"/>
        <v>88394</v>
      </c>
      <c r="H19" s="18">
        <f t="shared" ref="H19" si="4">SUM(H16:H18)</f>
        <v>60493</v>
      </c>
    </row>
    <row r="21" spans="1:8" x14ac:dyDescent="0.25">
      <c r="A21" s="11" t="s">
        <v>52</v>
      </c>
      <c r="B21" s="16">
        <v>294342</v>
      </c>
      <c r="C21" s="16">
        <v>282184</v>
      </c>
      <c r="D21" s="16">
        <v>2490</v>
      </c>
      <c r="E21" s="16">
        <v>59</v>
      </c>
      <c r="F21" s="16">
        <v>136</v>
      </c>
      <c r="G21" s="16">
        <v>188</v>
      </c>
      <c r="H21" s="16">
        <v>0</v>
      </c>
    </row>
    <row r="22" spans="1:8" x14ac:dyDescent="0.25">
      <c r="A22" s="11" t="s">
        <v>31</v>
      </c>
      <c r="B22" s="17">
        <f>664148-B21-B19</f>
        <v>44780</v>
      </c>
      <c r="C22" s="17">
        <f>611059-C21-C19</f>
        <v>36252</v>
      </c>
      <c r="D22" s="17">
        <f>244879+4000-D21-D19</f>
        <v>22223</v>
      </c>
      <c r="E22" s="17">
        <f>184856+4000-E21-E19</f>
        <v>19266</v>
      </c>
      <c r="F22" s="17">
        <f>132752+4000-F21-F19</f>
        <v>18312</v>
      </c>
      <c r="G22" s="17">
        <f>97965-G21-G19</f>
        <v>9383</v>
      </c>
      <c r="H22" s="17">
        <f>68421-H21-H19</f>
        <v>7928</v>
      </c>
    </row>
    <row r="23" spans="1:8" x14ac:dyDescent="0.25">
      <c r="A23" s="12" t="s">
        <v>32</v>
      </c>
      <c r="B23" s="18">
        <f t="shared" ref="B23:G23" si="5">SUM(B19:B22)</f>
        <v>664148</v>
      </c>
      <c r="C23" s="18">
        <f>SUM(C19:C22)</f>
        <v>611059</v>
      </c>
      <c r="D23" s="18">
        <f t="shared" si="5"/>
        <v>248879</v>
      </c>
      <c r="E23" s="18">
        <f t="shared" si="5"/>
        <v>188856</v>
      </c>
      <c r="F23" s="18">
        <f t="shared" si="5"/>
        <v>136752</v>
      </c>
      <c r="G23" s="18">
        <f t="shared" si="5"/>
        <v>97965</v>
      </c>
      <c r="H23" s="18">
        <f t="shared" ref="H23" si="6">SUM(H19:H22)</f>
        <v>68421</v>
      </c>
    </row>
    <row r="25" spans="1:8" x14ac:dyDescent="0.25">
      <c r="A25" s="12" t="s">
        <v>35</v>
      </c>
    </row>
    <row r="26" spans="1:8" x14ac:dyDescent="0.25">
      <c r="A26" s="11" t="s">
        <v>33</v>
      </c>
      <c r="B26" s="17">
        <v>339458</v>
      </c>
      <c r="C26" s="17">
        <v>355788</v>
      </c>
      <c r="D26" s="17">
        <v>343484</v>
      </c>
      <c r="E26" s="17">
        <v>289813</v>
      </c>
      <c r="F26" s="17">
        <v>219179</v>
      </c>
      <c r="G26" s="17">
        <v>171718</v>
      </c>
      <c r="H26" s="17">
        <v>114193</v>
      </c>
    </row>
    <row r="27" spans="1:8" x14ac:dyDescent="0.25">
      <c r="A27" s="12" t="s">
        <v>34</v>
      </c>
      <c r="B27" s="18">
        <f t="shared" ref="B27:G27" si="7">SUM(B23:B26)</f>
        <v>1003606</v>
      </c>
      <c r="C27" s="18">
        <f t="shared" si="7"/>
        <v>966847</v>
      </c>
      <c r="D27" s="18">
        <f t="shared" si="7"/>
        <v>592363</v>
      </c>
      <c r="E27" s="18">
        <f t="shared" si="7"/>
        <v>478669</v>
      </c>
      <c r="F27" s="18">
        <f t="shared" si="7"/>
        <v>355931</v>
      </c>
      <c r="G27" s="18">
        <f t="shared" si="7"/>
        <v>269683</v>
      </c>
      <c r="H27" s="18">
        <f t="shared" ref="H27" si="8">SUM(H23:H26)</f>
        <v>182614</v>
      </c>
    </row>
    <row r="28" spans="1:8" x14ac:dyDescent="0.25">
      <c r="B28" s="16">
        <f t="shared" ref="B28:G28" si="9">B13-B27</f>
        <v>0</v>
      </c>
      <c r="C28" s="16">
        <f t="shared" si="9"/>
        <v>0</v>
      </c>
      <c r="D28" s="16">
        <f t="shared" si="9"/>
        <v>0</v>
      </c>
      <c r="E28" s="16">
        <f t="shared" si="9"/>
        <v>0</v>
      </c>
      <c r="F28" s="16">
        <f t="shared" si="9"/>
        <v>0</v>
      </c>
      <c r="G28" s="16">
        <f t="shared" si="9"/>
        <v>0</v>
      </c>
      <c r="H28" s="16">
        <f t="shared" ref="H28" si="10">H13-H27</f>
        <v>0</v>
      </c>
    </row>
    <row r="29" spans="1:8" x14ac:dyDescent="0.25">
      <c r="C29" s="89"/>
      <c r="D29" s="89"/>
      <c r="E29" s="89"/>
      <c r="F29" s="89"/>
      <c r="G29" s="89"/>
      <c r="H29" s="89"/>
    </row>
    <row r="30" spans="1:8" x14ac:dyDescent="0.25">
      <c r="A30" s="11" t="s">
        <v>54</v>
      </c>
      <c r="B30" s="16">
        <v>86545</v>
      </c>
      <c r="C30" s="89">
        <v>68828.504000000001</v>
      </c>
      <c r="D30" s="89">
        <v>55101.218000000001</v>
      </c>
      <c r="E30" s="89">
        <v>60366.063000000002</v>
      </c>
      <c r="F30" s="89">
        <v>62093.947999999997</v>
      </c>
      <c r="G30" s="89">
        <v>60496.313999999998</v>
      </c>
      <c r="H30" s="89">
        <v>59822.745999999999</v>
      </c>
    </row>
    <row r="31" spans="1:8" x14ac:dyDescent="0.25">
      <c r="A31" s="11" t="s">
        <v>55</v>
      </c>
      <c r="B31" s="16">
        <v>28991</v>
      </c>
      <c r="C31" s="89">
        <v>23171.348999999998</v>
      </c>
      <c r="D31" s="89">
        <v>6591.585</v>
      </c>
      <c r="E31" s="89">
        <v>7279.8649999999998</v>
      </c>
      <c r="F31" s="89">
        <v>6494.857</v>
      </c>
      <c r="G31" s="89">
        <v>4141.1670000000004</v>
      </c>
      <c r="H31" s="89">
        <v>4515.8180000000002</v>
      </c>
    </row>
    <row r="32" spans="1:8" ht="15.75" thickBot="1" x14ac:dyDescent="0.3">
      <c r="A32" s="11" t="s">
        <v>56</v>
      </c>
      <c r="B32" s="37">
        <f t="shared" ref="B32:G32" si="11">SUM(B30:B31)</f>
        <v>115536</v>
      </c>
      <c r="C32" s="37">
        <f t="shared" si="11"/>
        <v>91999.853000000003</v>
      </c>
      <c r="D32" s="37">
        <f t="shared" si="11"/>
        <v>61692.803</v>
      </c>
      <c r="E32" s="37">
        <f t="shared" si="11"/>
        <v>67645.928</v>
      </c>
      <c r="F32" s="37">
        <f t="shared" si="11"/>
        <v>68588.804999999993</v>
      </c>
      <c r="G32" s="37">
        <f t="shared" si="11"/>
        <v>64637.481</v>
      </c>
      <c r="H32" s="37">
        <f t="shared" ref="H32" si="12">SUM(H30:H31)</f>
        <v>64338.563999999998</v>
      </c>
    </row>
    <row r="33" spans="1:8" ht="15.75" thickTop="1" x14ac:dyDescent="0.25"/>
    <row r="34" spans="1:8" x14ac:dyDescent="0.25">
      <c r="A34" s="12" t="s">
        <v>46</v>
      </c>
      <c r="B34" s="16">
        <v>44155.68</v>
      </c>
      <c r="C34" s="16">
        <v>44153.883999999998</v>
      </c>
      <c r="D34" s="16">
        <v>44152.6</v>
      </c>
      <c r="E34" s="16">
        <v>44147.860999999997</v>
      </c>
      <c r="F34" s="16">
        <v>44138.396999999997</v>
      </c>
      <c r="G34" s="16">
        <v>44124.017999999996</v>
      </c>
      <c r="H34" s="16">
        <v>44086.892</v>
      </c>
    </row>
    <row r="35" spans="1:8" x14ac:dyDescent="0.25">
      <c r="A35" s="12" t="s">
        <v>47</v>
      </c>
      <c r="B35" s="16">
        <v>44155.68</v>
      </c>
      <c r="C35" s="16">
        <v>44153.883999999998</v>
      </c>
      <c r="D35" s="16">
        <v>44152.6</v>
      </c>
      <c r="E35" s="16">
        <v>44149.838000000003</v>
      </c>
      <c r="F35" s="16">
        <v>44151.436999999998</v>
      </c>
      <c r="G35" s="16">
        <v>44146.858</v>
      </c>
      <c r="H35" s="16">
        <v>44144.368000000002</v>
      </c>
    </row>
    <row r="37" spans="1:8" x14ac:dyDescent="0.25">
      <c r="A37" s="11" t="s">
        <v>93</v>
      </c>
      <c r="B37" s="16">
        <f>((1-(-'Income Statement - 3'!B16/'Income Statement - 3'!B14))*('Income Statement - 3'!B17-'Income Statement - 3'!B16+'Income Statement - 3'!B22))</f>
        <v>31423.672365789316</v>
      </c>
      <c r="C37" s="16">
        <f>((1-(-'Income Statement - 3'!C16/'Income Statement - 3'!C14))*('Income Statement - 3'!C17-'Income Statement - 3'!C16+'Income Statement - 3'!C22))</f>
        <v>29271.530780978028</v>
      </c>
      <c r="D37" s="16">
        <f>((1-(-'Income Statement - 3'!D16/'Income Statement - 3'!D14))*('Income Statement - 3'!D17-'Income Statement - 3'!D16+'Income Statement - 3'!D22))</f>
        <v>32830.528444169235</v>
      </c>
      <c r="E37" s="16">
        <f>((1-(-'Income Statement - 3'!E16/'Income Statement - 3'!E14))*('Income Statement - 3'!E17-'Income Statement - 3'!E16+'Income Statement - 3'!E22))</f>
        <v>28023.614197993109</v>
      </c>
      <c r="F37" s="16">
        <f>((1-(-'Income Statement - 3'!F16/'Income Statement - 3'!F14))*('Income Statement - 3'!F17-'Income Statement - 3'!F16+'Income Statement - 3'!F22))</f>
        <v>22406.622261562294</v>
      </c>
      <c r="G37" s="16">
        <f>((1-(-'Income Statement - 3'!G16/'Income Statement - 3'!G14))*('Income Statement - 3'!G17-'Income Statement - 3'!G16+'Income Statement - 3'!G22))</f>
        <v>12348.653725735756</v>
      </c>
      <c r="H37" s="16">
        <f>((1-(-'Income Statement - 3'!H16/'Income Statement - 3'!H14))*('Income Statement - 3'!H17-'Income Statement - 3'!H16+'Income Statement - 3'!H22))</f>
        <v>7389.2309421239934</v>
      </c>
    </row>
    <row r="38" spans="1:8" x14ac:dyDescent="0.25">
      <c r="A38" s="11" t="s">
        <v>95</v>
      </c>
      <c r="B38" s="16">
        <f>B26+B22+B21+B17-B6</f>
        <v>311552</v>
      </c>
      <c r="C38" s="16">
        <f t="shared" ref="C38:H38" si="13">C26+C22+C21+C17-C6</f>
        <v>303912</v>
      </c>
      <c r="D38" s="16">
        <f t="shared" si="13"/>
        <v>164690</v>
      </c>
      <c r="E38" s="16">
        <f t="shared" si="13"/>
        <v>114039</v>
      </c>
      <c r="F38" s="16">
        <f t="shared" si="13"/>
        <v>95463</v>
      </c>
      <c r="G38" s="16">
        <f t="shared" si="13"/>
        <v>119216</v>
      </c>
      <c r="H38" s="16">
        <f t="shared" si="13"/>
        <v>60951</v>
      </c>
    </row>
    <row r="40" spans="1:8" x14ac:dyDescent="0.25">
      <c r="B40" s="89"/>
      <c r="C40" s="89"/>
      <c r="D40" s="89"/>
      <c r="E40" s="89"/>
      <c r="F40" s="89"/>
      <c r="G40" s="89"/>
    </row>
    <row r="41" spans="1:8" x14ac:dyDescent="0.25">
      <c r="B41" s="115"/>
      <c r="C41" s="115"/>
      <c r="D41" s="115"/>
      <c r="E41" s="115"/>
      <c r="F41" s="115"/>
      <c r="G41" s="1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4" topLeftCell="A5" activePane="bottomLeft" state="frozen"/>
      <selection pane="bottomLeft" activeCell="B6" sqref="B6"/>
    </sheetView>
  </sheetViews>
  <sheetFormatPr defaultColWidth="12.7109375" defaultRowHeight="15" x14ac:dyDescent="0.25"/>
  <cols>
    <col min="1" max="1" width="37.42578125" style="11" customWidth="1"/>
    <col min="2" max="2" width="12.7109375" style="16" customWidth="1"/>
    <col min="3" max="8" width="13.85546875" style="16" customWidth="1"/>
    <col min="9" max="16384" width="12.7109375" style="16"/>
  </cols>
  <sheetData>
    <row r="1" spans="1:10" s="11" customFormat="1" x14ac:dyDescent="0.25">
      <c r="A1" s="174" t="s">
        <v>101</v>
      </c>
      <c r="B1" s="174"/>
      <c r="C1" s="174"/>
      <c r="D1" s="174"/>
      <c r="E1" s="174"/>
      <c r="F1" s="174"/>
      <c r="G1" s="174"/>
      <c r="H1" s="174"/>
    </row>
    <row r="2" spans="1:10" s="11" customFormat="1" x14ac:dyDescent="0.25">
      <c r="A2" s="174" t="s">
        <v>36</v>
      </c>
      <c r="B2" s="174"/>
      <c r="C2" s="174"/>
      <c r="D2" s="174"/>
      <c r="E2" s="174"/>
      <c r="F2" s="174"/>
      <c r="G2" s="174"/>
      <c r="H2" s="174"/>
    </row>
    <row r="3" spans="1:10" s="11" customFormat="1" ht="15.75" thickBot="1" x14ac:dyDescent="0.3">
      <c r="A3" s="175" t="s">
        <v>27</v>
      </c>
      <c r="B3" s="175"/>
      <c r="C3" s="175"/>
      <c r="D3" s="175"/>
      <c r="E3" s="175"/>
      <c r="F3" s="175"/>
      <c r="G3" s="175"/>
      <c r="H3" s="175"/>
    </row>
    <row r="4" spans="1:10" s="11" customFormat="1" x14ac:dyDescent="0.25">
      <c r="A4" s="22" t="s">
        <v>104</v>
      </c>
      <c r="B4" s="13">
        <v>2015</v>
      </c>
      <c r="C4" s="13">
        <v>2014</v>
      </c>
      <c r="D4" s="13">
        <v>2013</v>
      </c>
      <c r="E4" s="13">
        <v>2012</v>
      </c>
      <c r="F4" s="13">
        <v>2011</v>
      </c>
      <c r="G4" s="13">
        <v>2010</v>
      </c>
      <c r="H4" s="145">
        <v>2009</v>
      </c>
    </row>
    <row r="5" spans="1:10" s="11" customFormat="1" x14ac:dyDescent="0.25">
      <c r="B5" s="14"/>
      <c r="C5" s="14"/>
      <c r="D5" s="14"/>
      <c r="E5" s="14"/>
      <c r="F5" s="14"/>
      <c r="G5" s="14"/>
    </row>
    <row r="6" spans="1:10" x14ac:dyDescent="0.25">
      <c r="A6" s="11" t="s">
        <v>37</v>
      </c>
      <c r="B6" s="15">
        <v>651790</v>
      </c>
      <c r="C6" s="15">
        <v>556536</v>
      </c>
      <c r="D6" s="15">
        <v>472595</v>
      </c>
      <c r="E6" s="15">
        <v>373601</v>
      </c>
      <c r="F6" s="15">
        <v>298932</v>
      </c>
      <c r="G6" s="15">
        <v>216716</v>
      </c>
      <c r="H6" s="15">
        <v>172844</v>
      </c>
      <c r="J6" s="16" t="s">
        <v>172</v>
      </c>
    </row>
    <row r="7" spans="1:10" x14ac:dyDescent="0.25">
      <c r="A7" s="11" t="s">
        <v>38</v>
      </c>
      <c r="B7" s="17">
        <v>214994</v>
      </c>
      <c r="C7" s="17">
        <v>158978</v>
      </c>
      <c r="D7" s="17">
        <v>130077</v>
      </c>
      <c r="E7" s="17">
        <v>98085</v>
      </c>
      <c r="F7" s="17">
        <v>72056</v>
      </c>
      <c r="G7" s="17">
        <v>46550</v>
      </c>
      <c r="H7" s="17">
        <v>35958</v>
      </c>
    </row>
    <row r="8" spans="1:10" x14ac:dyDescent="0.25">
      <c r="A8" s="12" t="s">
        <v>39</v>
      </c>
      <c r="B8" s="19">
        <f t="shared" ref="B8:C8" si="0">B6-B7</f>
        <v>436796</v>
      </c>
      <c r="C8" s="19">
        <f t="shared" si="0"/>
        <v>397558</v>
      </c>
      <c r="D8" s="19">
        <f>D6-D7</f>
        <v>342518</v>
      </c>
      <c r="E8" s="19">
        <f>E6-E7</f>
        <v>275516</v>
      </c>
      <c r="F8" s="19">
        <f>F6-F7</f>
        <v>226876</v>
      </c>
      <c r="G8" s="19">
        <f>G6-G7</f>
        <v>170166</v>
      </c>
      <c r="H8" s="19">
        <f t="shared" ref="H8" si="1">H6-H7</f>
        <v>136886</v>
      </c>
    </row>
    <row r="9" spans="1:10" x14ac:dyDescent="0.25">
      <c r="B9" s="19"/>
      <c r="C9" s="19"/>
      <c r="D9" s="19"/>
      <c r="E9" s="19"/>
      <c r="F9" s="19"/>
      <c r="G9" s="19"/>
      <c r="H9" s="19"/>
    </row>
    <row r="10" spans="1:10" x14ac:dyDescent="0.25">
      <c r="A10" s="11" t="s">
        <v>53</v>
      </c>
      <c r="B10" s="17">
        <v>297600</v>
      </c>
      <c r="C10" s="17">
        <v>277087</v>
      </c>
      <c r="D10" s="17">
        <v>188979</v>
      </c>
      <c r="E10" s="17">
        <v>145858</v>
      </c>
      <c r="F10" s="17">
        <v>127104</v>
      </c>
      <c r="G10" s="17">
        <f>95567</f>
        <v>95567</v>
      </c>
      <c r="H10" s="17">
        <v>80852</v>
      </c>
    </row>
    <row r="11" spans="1:10" x14ac:dyDescent="0.25">
      <c r="A11" s="12" t="s">
        <v>40</v>
      </c>
      <c r="B11" s="20">
        <f t="shared" ref="B11:C11" si="2">B8-B10</f>
        <v>139196</v>
      </c>
      <c r="C11" s="20">
        <f t="shared" si="2"/>
        <v>120471</v>
      </c>
      <c r="D11" s="20">
        <f>D8-D10</f>
        <v>153539</v>
      </c>
      <c r="E11" s="20">
        <f>E8-E10</f>
        <v>129658</v>
      </c>
      <c r="F11" s="20">
        <f>F8-F10</f>
        <v>99772</v>
      </c>
      <c r="G11" s="20">
        <f>G8-G10</f>
        <v>74599</v>
      </c>
      <c r="H11" s="20">
        <f t="shared" ref="H11" si="3">H8-H10</f>
        <v>56034</v>
      </c>
    </row>
    <row r="12" spans="1:10" x14ac:dyDescent="0.25">
      <c r="B12" s="19"/>
      <c r="C12" s="19"/>
      <c r="D12" s="19"/>
      <c r="E12" s="19"/>
      <c r="F12" s="19"/>
      <c r="G12" s="19"/>
      <c r="H12" s="19"/>
    </row>
    <row r="13" spans="1:10" x14ac:dyDescent="0.25">
      <c r="A13" s="11" t="s">
        <v>41</v>
      </c>
      <c r="B13" s="17">
        <f>150491-B11</f>
        <v>11295</v>
      </c>
      <c r="C13" s="17">
        <f>121796-C11</f>
        <v>1325</v>
      </c>
      <c r="D13" s="17">
        <f>163109-D11</f>
        <v>9570</v>
      </c>
      <c r="E13" s="17">
        <f>140217-E11</f>
        <v>10559</v>
      </c>
      <c r="F13" s="17">
        <f>108456-F11</f>
        <v>8684</v>
      </c>
      <c r="G13" s="17">
        <f>71865-G11</f>
        <v>-2734</v>
      </c>
      <c r="H13" s="17">
        <f>42712-H11</f>
        <v>-13322</v>
      </c>
    </row>
    <row r="14" spans="1:10" x14ac:dyDescent="0.25">
      <c r="A14" s="12" t="s">
        <v>42</v>
      </c>
      <c r="B14" s="19">
        <f t="shared" ref="B14:C14" si="4">B11+B13</f>
        <v>150491</v>
      </c>
      <c r="C14" s="19">
        <f t="shared" si="4"/>
        <v>121796</v>
      </c>
      <c r="D14" s="19">
        <f>D11+D13</f>
        <v>163109</v>
      </c>
      <c r="E14" s="19">
        <f>E11+E13</f>
        <v>140217</v>
      </c>
      <c r="F14" s="19">
        <f>F11+F13</f>
        <v>108456</v>
      </c>
      <c r="G14" s="19">
        <f>G11+G13</f>
        <v>71865</v>
      </c>
      <c r="H14" s="19">
        <f t="shared" ref="H14" si="5">H11+H13</f>
        <v>42712</v>
      </c>
    </row>
    <row r="15" spans="1:10" x14ac:dyDescent="0.25">
      <c r="A15" s="12"/>
      <c r="B15" s="20"/>
      <c r="C15" s="20"/>
      <c r="D15" s="20"/>
      <c r="E15" s="20"/>
      <c r="F15" s="20"/>
      <c r="G15" s="20"/>
      <c r="H15" s="20"/>
    </row>
    <row r="16" spans="1:10" x14ac:dyDescent="0.25">
      <c r="A16" s="11" t="s">
        <v>43</v>
      </c>
      <c r="B16" s="19">
        <v>-44702</v>
      </c>
      <c r="C16" s="19">
        <v>-49143</v>
      </c>
      <c r="D16" s="19">
        <v>-45583</v>
      </c>
      <c r="E16" s="19">
        <v>-38871</v>
      </c>
      <c r="F16" s="19">
        <v>-31660</v>
      </c>
      <c r="G16" s="19">
        <v>-15840</v>
      </c>
      <c r="H16" s="19">
        <v>-9504</v>
      </c>
    </row>
    <row r="17" spans="1:8" x14ac:dyDescent="0.25">
      <c r="A17" s="11" t="s">
        <v>86</v>
      </c>
      <c r="B17" s="17">
        <v>0</v>
      </c>
      <c r="C17" s="17">
        <v>-72</v>
      </c>
      <c r="D17" s="17">
        <v>-19</v>
      </c>
      <c r="E17" s="17">
        <v>-99</v>
      </c>
      <c r="F17" s="17">
        <v>-16</v>
      </c>
      <c r="G17" s="17">
        <v>0</v>
      </c>
      <c r="H17" s="17">
        <v>0</v>
      </c>
    </row>
    <row r="18" spans="1:8" x14ac:dyDescent="0.25">
      <c r="A18" s="12" t="s">
        <v>14</v>
      </c>
      <c r="B18" s="20">
        <f>B14+B16+B17</f>
        <v>105789</v>
      </c>
      <c r="C18" s="20">
        <f t="shared" ref="C18:H18" si="6">C14+C16+C17</f>
        <v>72581</v>
      </c>
      <c r="D18" s="20">
        <f t="shared" si="6"/>
        <v>117507</v>
      </c>
      <c r="E18" s="20">
        <f t="shared" si="6"/>
        <v>101247</v>
      </c>
      <c r="F18" s="20">
        <f t="shared" si="6"/>
        <v>76780</v>
      </c>
      <c r="G18" s="20">
        <f t="shared" si="6"/>
        <v>56025</v>
      </c>
      <c r="H18" s="20">
        <f t="shared" si="6"/>
        <v>33208</v>
      </c>
    </row>
    <row r="19" spans="1:8" x14ac:dyDescent="0.25">
      <c r="B19" s="19"/>
      <c r="C19" s="19"/>
      <c r="D19" s="19"/>
      <c r="E19" s="19"/>
      <c r="F19" s="19"/>
      <c r="G19" s="19"/>
      <c r="H19" s="19"/>
    </row>
    <row r="20" spans="1:8" x14ac:dyDescent="0.25">
      <c r="A20" s="12" t="s">
        <v>44</v>
      </c>
      <c r="B20" s="21">
        <f>B18/'Balance Sheet - 3'!B34</f>
        <v>2.395818612690372</v>
      </c>
      <c r="C20" s="21">
        <f>C18/'Balance Sheet - 3'!C34</f>
        <v>1.6438191485034477</v>
      </c>
      <c r="D20" s="21">
        <f>D18/'Balance Sheet - 3'!D34</f>
        <v>2.6613834745858682</v>
      </c>
      <c r="E20" s="21">
        <f>E18/'Balance Sheet - 3'!E34</f>
        <v>2.2933613929789263</v>
      </c>
      <c r="F20" s="21">
        <f>F18/'Balance Sheet - 3'!F34</f>
        <v>1.739528510743152</v>
      </c>
      <c r="G20" s="21">
        <f>G18/'Balance Sheet - 3'!G34</f>
        <v>1.2697166427590525</v>
      </c>
      <c r="H20" s="21">
        <f>H18/'Balance Sheet - 3'!H34</f>
        <v>0.75323976115168201</v>
      </c>
    </row>
    <row r="21" spans="1:8" x14ac:dyDescent="0.25">
      <c r="A21" s="12" t="s">
        <v>45</v>
      </c>
      <c r="B21" s="21">
        <f>B18/'Balance Sheet - 3'!B35</f>
        <v>2.395818612690372</v>
      </c>
      <c r="C21" s="21">
        <f>C18/'Balance Sheet - 3'!C35</f>
        <v>1.6438191485034477</v>
      </c>
      <c r="D21" s="21">
        <f>D18/'Balance Sheet - 3'!D35</f>
        <v>2.6613834745858682</v>
      </c>
      <c r="E21" s="21">
        <f>E18/'Balance Sheet - 3'!E35</f>
        <v>2.293258697800884</v>
      </c>
      <c r="F21" s="21">
        <f>F18/'Balance Sheet - 3'!F35</f>
        <v>1.7390147459979617</v>
      </c>
      <c r="G21" s="21">
        <f>G18/'Balance Sheet - 3'!G35</f>
        <v>1.2690597369352989</v>
      </c>
      <c r="H21" s="21">
        <f>H18/'Balance Sheet - 3'!H35</f>
        <v>0.75225904242190078</v>
      </c>
    </row>
    <row r="22" spans="1:8" x14ac:dyDescent="0.25">
      <c r="A22" s="12"/>
      <c r="B22" s="19"/>
      <c r="C22" s="19"/>
      <c r="D22" s="19"/>
      <c r="E22" s="19"/>
      <c r="F22" s="19"/>
      <c r="G22" s="19"/>
      <c r="H22" s="19"/>
    </row>
    <row r="23" spans="1:8" x14ac:dyDescent="0.25">
      <c r="A23" s="11" t="s">
        <v>50</v>
      </c>
      <c r="B23" s="19">
        <v>20391</v>
      </c>
      <c r="C23" s="19">
        <v>11659</v>
      </c>
      <c r="D23" s="19">
        <v>2356</v>
      </c>
      <c r="E23" s="19">
        <v>1138</v>
      </c>
      <c r="F23" s="19">
        <v>3649</v>
      </c>
      <c r="G23" s="19">
        <v>7602</v>
      </c>
      <c r="H23" s="19">
        <v>13358</v>
      </c>
    </row>
    <row r="24" spans="1:8" x14ac:dyDescent="0.25">
      <c r="B24" s="19"/>
      <c r="C24" s="19"/>
      <c r="D24" s="19"/>
      <c r="E24" s="19"/>
      <c r="F24" s="19"/>
      <c r="G24" s="19"/>
      <c r="H24" s="19"/>
    </row>
    <row r="25" spans="1:8" x14ac:dyDescent="0.25">
      <c r="B25" s="19"/>
      <c r="C25" s="19"/>
      <c r="D25" s="19"/>
      <c r="E25" s="19"/>
      <c r="F25" s="19"/>
      <c r="G25" s="19"/>
      <c r="H25" s="19"/>
    </row>
    <row r="26" spans="1:8" x14ac:dyDescent="0.25">
      <c r="A26" s="11" t="s">
        <v>62</v>
      </c>
      <c r="B26" s="19">
        <v>221370</v>
      </c>
      <c r="C26" s="19">
        <v>196793</v>
      </c>
      <c r="D26" s="19">
        <v>142513</v>
      </c>
      <c r="E26" s="19">
        <v>139891</v>
      </c>
      <c r="F26" s="19">
        <v>89426</v>
      </c>
      <c r="G26" s="19">
        <v>67896</v>
      </c>
      <c r="H26" s="19">
        <v>49701</v>
      </c>
    </row>
    <row r="27" spans="1:8" x14ac:dyDescent="0.25">
      <c r="A27" s="11" t="s">
        <v>63</v>
      </c>
      <c r="B27" s="19">
        <f>-23380-39150</f>
        <v>-62530</v>
      </c>
      <c r="C27" s="19">
        <v>-34426</v>
      </c>
      <c r="D27" s="19">
        <v>-113756</v>
      </c>
      <c r="E27" s="19">
        <v>-16748</v>
      </c>
      <c r="F27" s="19">
        <v>-18924</v>
      </c>
      <c r="G27" s="19">
        <v>-13214</v>
      </c>
      <c r="H27" s="19">
        <v>-3798</v>
      </c>
    </row>
    <row r="28" spans="1:8" ht="15.75" thickBot="1" x14ac:dyDescent="0.3">
      <c r="A28" s="11" t="s">
        <v>60</v>
      </c>
      <c r="B28" s="37">
        <f t="shared" ref="B28:G28" si="7">SUM(B26:B27)</f>
        <v>158840</v>
      </c>
      <c r="C28" s="37">
        <f t="shared" si="7"/>
        <v>162367</v>
      </c>
      <c r="D28" s="37">
        <f t="shared" si="7"/>
        <v>28757</v>
      </c>
      <c r="E28" s="37">
        <f t="shared" si="7"/>
        <v>123143</v>
      </c>
      <c r="F28" s="37">
        <f t="shared" si="7"/>
        <v>70502</v>
      </c>
      <c r="G28" s="37">
        <f t="shared" si="7"/>
        <v>54682</v>
      </c>
      <c r="H28" s="37">
        <f t="shared" ref="H28" si="8">SUM(H26:H27)</f>
        <v>45903</v>
      </c>
    </row>
    <row r="29" spans="1:8" ht="15.75" thickTop="1" x14ac:dyDescent="0.25">
      <c r="B29" s="19"/>
      <c r="C29" s="19"/>
      <c r="D29" s="19"/>
      <c r="E29" s="19"/>
    </row>
    <row r="30" spans="1:8" x14ac:dyDescent="0.25">
      <c r="A30" s="12"/>
      <c r="B30" s="20"/>
      <c r="C30" s="20"/>
      <c r="D30" s="20"/>
      <c r="E30" s="20"/>
    </row>
    <row r="31" spans="1:8" x14ac:dyDescent="0.25">
      <c r="B31" s="19"/>
      <c r="C31" s="19"/>
      <c r="D31" s="19"/>
      <c r="E31" s="19"/>
    </row>
    <row r="32" spans="1:8" x14ac:dyDescent="0.25">
      <c r="B32" s="19"/>
      <c r="C32" s="19"/>
      <c r="D32" s="19"/>
      <c r="E32" s="19"/>
    </row>
    <row r="33" spans="2:5" x14ac:dyDescent="0.25">
      <c r="B33" s="19"/>
      <c r="C33" s="19"/>
      <c r="D33" s="19"/>
      <c r="E33" s="19"/>
    </row>
    <row r="34" spans="2:5" x14ac:dyDescent="0.25">
      <c r="B34" s="19"/>
      <c r="C34" s="19"/>
      <c r="D34" s="19"/>
      <c r="E34" s="19"/>
    </row>
    <row r="35" spans="2:5" x14ac:dyDescent="0.25">
      <c r="B35" s="19"/>
      <c r="C35" s="19"/>
      <c r="D35" s="19"/>
      <c r="E35" s="19"/>
    </row>
    <row r="36" spans="2:5" x14ac:dyDescent="0.25">
      <c r="B36" s="19"/>
      <c r="C36" s="19"/>
      <c r="D36" s="19"/>
      <c r="E36" s="19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Investment Portfolio</vt:lpstr>
      <vt:lpstr>Balance Sheet - 1</vt:lpstr>
      <vt:lpstr>Income Statement - 1</vt:lpstr>
      <vt:lpstr>Balance Sheet - 2</vt:lpstr>
      <vt:lpstr>Income Statement - 2</vt:lpstr>
      <vt:lpstr>Balance Sheet - 3</vt:lpstr>
      <vt:lpstr>Income Statement - 3</vt:lpstr>
      <vt:lpstr>'Balance Sheet - 1'!Print_Area</vt:lpstr>
      <vt:lpstr>'Balance Sheet - 2'!Print_Area</vt:lpstr>
      <vt:lpstr>'Balance Sheet - 3'!Print_Area</vt:lpstr>
      <vt:lpstr>'Income Statement - 1'!Print_Area</vt:lpstr>
      <vt:lpstr>'Income Statement - 2'!Print_Area</vt:lpstr>
      <vt:lpstr>'Income Statement - 3'!Print_Area</vt:lpstr>
      <vt:lpstr>'Investment Portfolio'!Print_Area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Rowland</dc:creator>
  <cp:lastModifiedBy>Jason Rowland</cp:lastModifiedBy>
  <cp:lastPrinted>2016-02-28T04:38:29Z</cp:lastPrinted>
  <dcterms:created xsi:type="dcterms:W3CDTF">2010-12-27T17:43:36Z</dcterms:created>
  <dcterms:modified xsi:type="dcterms:W3CDTF">2016-02-28T04:38:29Z</dcterms:modified>
</cp:coreProperties>
</file>