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Marinus Pharma\"/>
    </mc:Choice>
  </mc:AlternateContent>
  <bookViews>
    <workbookView xWindow="0" yWindow="465" windowWidth="28800" windowHeight="16140"/>
  </bookViews>
  <sheets>
    <sheet name="Avg. values Pharma NYU stern" sheetId="3" r:id="rId1"/>
    <sheet name="Probabilities" sheetId="9" r:id="rId2"/>
    <sheet name="WACC calculation" sheetId="6" r:id="rId3"/>
    <sheet name="Revenue forecast sheet" sheetId="7" r:id="rId4"/>
    <sheet name="Operating value calculation" sheetId="5" r:id="rId5"/>
    <sheet name="Equity value calculation" sheetId="4" r:id="rId6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7" l="1"/>
  <c r="L17" i="7"/>
  <c r="M17" i="7"/>
  <c r="N17" i="7"/>
  <c r="O17" i="7"/>
  <c r="P17" i="7"/>
  <c r="Q17" i="7"/>
  <c r="C17" i="7"/>
  <c r="D17" i="7"/>
  <c r="E17" i="7"/>
  <c r="F17" i="7"/>
  <c r="G17" i="7"/>
  <c r="H17" i="7"/>
  <c r="I17" i="7"/>
  <c r="J17" i="7"/>
  <c r="B1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D24" i="5"/>
  <c r="D31" i="5"/>
  <c r="D33" i="5"/>
  <c r="D44" i="5"/>
  <c r="D47" i="5"/>
  <c r="D6" i="5"/>
  <c r="D10" i="5"/>
  <c r="D52" i="5"/>
  <c r="D57" i="5"/>
  <c r="D58" i="5"/>
  <c r="D60" i="5"/>
  <c r="D62" i="5"/>
  <c r="E24" i="5"/>
  <c r="E31" i="5"/>
  <c r="E33" i="5"/>
  <c r="E44" i="5"/>
  <c r="E47" i="5"/>
  <c r="E6" i="5"/>
  <c r="E10" i="5"/>
  <c r="E52" i="5"/>
  <c r="E57" i="5"/>
  <c r="E58" i="5"/>
  <c r="E60" i="5"/>
  <c r="E62" i="5"/>
  <c r="F24" i="5"/>
  <c r="F31" i="5"/>
  <c r="F33" i="5"/>
  <c r="F44" i="5"/>
  <c r="F47" i="5"/>
  <c r="F6" i="5"/>
  <c r="F10" i="5"/>
  <c r="F52" i="5"/>
  <c r="F57" i="5"/>
  <c r="F58" i="5"/>
  <c r="F60" i="5"/>
  <c r="F62" i="5"/>
  <c r="G24" i="5"/>
  <c r="G31" i="5"/>
  <c r="G33" i="5"/>
  <c r="G44" i="5"/>
  <c r="G47" i="5"/>
  <c r="G6" i="5"/>
  <c r="G10" i="5"/>
  <c r="G52" i="5"/>
  <c r="G57" i="5"/>
  <c r="G58" i="5"/>
  <c r="G60" i="5"/>
  <c r="G62" i="5"/>
  <c r="H24" i="5"/>
  <c r="H31" i="5"/>
  <c r="H33" i="5"/>
  <c r="H44" i="5"/>
  <c r="H47" i="5"/>
  <c r="H6" i="5"/>
  <c r="H10" i="5"/>
  <c r="H52" i="5"/>
  <c r="H57" i="5"/>
  <c r="H58" i="5"/>
  <c r="H60" i="5"/>
  <c r="H62" i="5"/>
  <c r="I24" i="5"/>
  <c r="I31" i="5"/>
  <c r="I33" i="5"/>
  <c r="I44" i="5"/>
  <c r="I47" i="5"/>
  <c r="I6" i="5"/>
  <c r="I10" i="5"/>
  <c r="I52" i="5"/>
  <c r="I57" i="5"/>
  <c r="I58" i="5"/>
  <c r="I60" i="5"/>
  <c r="I62" i="5"/>
  <c r="J24" i="5"/>
  <c r="J31" i="5"/>
  <c r="J33" i="5"/>
  <c r="J44" i="5"/>
  <c r="J47" i="5"/>
  <c r="J6" i="5"/>
  <c r="J10" i="5"/>
  <c r="J52" i="5"/>
  <c r="J57" i="5"/>
  <c r="J58" i="5"/>
  <c r="J60" i="5"/>
  <c r="J62" i="5"/>
  <c r="K24" i="5"/>
  <c r="K31" i="5"/>
  <c r="K33" i="5"/>
  <c r="K44" i="5"/>
  <c r="K47" i="5"/>
  <c r="K6" i="5"/>
  <c r="K10" i="5"/>
  <c r="K52" i="5"/>
  <c r="K57" i="5"/>
  <c r="K58" i="5"/>
  <c r="K60" i="5"/>
  <c r="K62" i="5"/>
  <c r="L24" i="5"/>
  <c r="L31" i="5"/>
  <c r="L33" i="5"/>
  <c r="L44" i="5"/>
  <c r="L47" i="5"/>
  <c r="L6" i="5"/>
  <c r="L10" i="5"/>
  <c r="L52" i="5"/>
  <c r="L57" i="5"/>
  <c r="L58" i="5"/>
  <c r="L60" i="5"/>
  <c r="L62" i="5"/>
  <c r="M24" i="5"/>
  <c r="M31" i="5"/>
  <c r="M33" i="5"/>
  <c r="M44" i="5"/>
  <c r="M47" i="5"/>
  <c r="M6" i="5"/>
  <c r="M10" i="5"/>
  <c r="M52" i="5"/>
  <c r="M57" i="5"/>
  <c r="M58" i="5"/>
  <c r="M60" i="5"/>
  <c r="M62" i="5"/>
  <c r="N24" i="5"/>
  <c r="N31" i="5"/>
  <c r="N33" i="5"/>
  <c r="N44" i="5"/>
  <c r="N47" i="5"/>
  <c r="N6" i="5"/>
  <c r="N10" i="5"/>
  <c r="N52" i="5"/>
  <c r="N57" i="5"/>
  <c r="N58" i="5"/>
  <c r="N60" i="5"/>
  <c r="N62" i="5"/>
  <c r="O24" i="5"/>
  <c r="O31" i="5"/>
  <c r="O33" i="5"/>
  <c r="O44" i="5"/>
  <c r="O47" i="5"/>
  <c r="O6" i="5"/>
  <c r="O10" i="5"/>
  <c r="O52" i="5"/>
  <c r="O57" i="5"/>
  <c r="O58" i="5"/>
  <c r="O60" i="5"/>
  <c r="O62" i="5"/>
  <c r="P24" i="5"/>
  <c r="P31" i="5"/>
  <c r="P33" i="5"/>
  <c r="P44" i="5"/>
  <c r="P47" i="5"/>
  <c r="P6" i="5"/>
  <c r="P10" i="5"/>
  <c r="P52" i="5"/>
  <c r="P57" i="5"/>
  <c r="P58" i="5"/>
  <c r="P60" i="5"/>
  <c r="P62" i="5"/>
  <c r="B60" i="5"/>
  <c r="B62" i="5"/>
  <c r="C60" i="5"/>
  <c r="C62" i="5"/>
  <c r="B64" i="5"/>
  <c r="Q24" i="5"/>
  <c r="Q31" i="5"/>
  <c r="Q33" i="5"/>
  <c r="Q44" i="5"/>
  <c r="Q47" i="5"/>
  <c r="B68" i="5"/>
  <c r="B72" i="5"/>
  <c r="B74" i="5"/>
  <c r="B77" i="5"/>
  <c r="Q6" i="5"/>
  <c r="C7" i="5"/>
  <c r="B7" i="5"/>
  <c r="O15" i="7"/>
  <c r="O18" i="7"/>
  <c r="P15" i="7"/>
  <c r="P18" i="7"/>
  <c r="Q14" i="7"/>
  <c r="Q15" i="7"/>
  <c r="Q18" i="7"/>
  <c r="N15" i="7"/>
  <c r="N18" i="7"/>
  <c r="K15" i="7"/>
  <c r="K18" i="7"/>
  <c r="L15" i="7"/>
  <c r="L18" i="7"/>
  <c r="M15" i="7"/>
  <c r="M18" i="7"/>
  <c r="G15" i="7"/>
  <c r="G18" i="7"/>
  <c r="H15" i="7"/>
  <c r="H18" i="7"/>
  <c r="I15" i="7"/>
  <c r="I18" i="7"/>
  <c r="J15" i="7"/>
  <c r="J18" i="7"/>
  <c r="F15" i="7"/>
  <c r="F18" i="7"/>
  <c r="E15" i="7"/>
  <c r="E18" i="7"/>
  <c r="D15" i="7"/>
  <c r="D18" i="7"/>
  <c r="C15" i="7"/>
  <c r="B15" i="7"/>
  <c r="B19" i="4"/>
  <c r="B9" i="4"/>
  <c r="B8" i="4"/>
  <c r="C47" i="5"/>
  <c r="B47" i="5"/>
  <c r="Q7" i="7"/>
  <c r="Q10" i="5"/>
  <c r="Q52" i="5"/>
  <c r="Q57" i="5"/>
  <c r="Q58" i="5"/>
  <c r="Q60" i="5"/>
  <c r="Q62" i="5"/>
  <c r="B9" i="5"/>
  <c r="B11" i="5"/>
  <c r="B24" i="5"/>
  <c r="B31" i="5"/>
  <c r="B33" i="5"/>
  <c r="C9" i="5"/>
  <c r="C11" i="5"/>
  <c r="C24" i="5"/>
  <c r="C31" i="5"/>
  <c r="C33" i="5"/>
  <c r="B7" i="4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24" i="4"/>
  <c r="B5" i="6"/>
  <c r="B2" i="6"/>
  <c r="B14" i="6"/>
  <c r="B8" i="6"/>
  <c r="B9" i="6"/>
  <c r="B12" i="6"/>
  <c r="B15" i="6"/>
  <c r="B5" i="4"/>
  <c r="C26" i="5"/>
  <c r="C28" i="5"/>
  <c r="B26" i="5"/>
  <c r="B28" i="5"/>
  <c r="B38" i="4"/>
  <c r="B42" i="4"/>
  <c r="D26" i="5"/>
  <c r="D28" i="5"/>
  <c r="E26" i="5"/>
  <c r="E28" i="5"/>
  <c r="F26" i="5"/>
  <c r="F28" i="5"/>
  <c r="G26" i="5"/>
  <c r="G28" i="5"/>
  <c r="H26" i="5"/>
  <c r="H28" i="5"/>
  <c r="I26" i="5"/>
  <c r="I28" i="5"/>
  <c r="J26" i="5"/>
  <c r="J28" i="5"/>
  <c r="K26" i="5"/>
  <c r="K28" i="5"/>
  <c r="L26" i="5"/>
  <c r="L28" i="5"/>
  <c r="M26" i="5"/>
  <c r="M28" i="5"/>
  <c r="N26" i="5"/>
  <c r="N28" i="5"/>
  <c r="O26" i="5"/>
  <c r="O28" i="5"/>
  <c r="P26" i="5"/>
  <c r="P28" i="5"/>
  <c r="Q26" i="5"/>
  <c r="Q28" i="5"/>
</calcChain>
</file>

<file path=xl/sharedStrings.xml><?xml version="1.0" encoding="utf-8"?>
<sst xmlns="http://schemas.openxmlformats.org/spreadsheetml/2006/main" count="193" uniqueCount="168">
  <si>
    <t>Discount rate</t>
  </si>
  <si>
    <t>Operating expenses</t>
  </si>
  <si>
    <t>Average values for Pharmaceuticals, NYU-Stern data</t>
  </si>
  <si>
    <t>Revenue</t>
  </si>
  <si>
    <t>COGS</t>
  </si>
  <si>
    <t>Gross margin</t>
  </si>
  <si>
    <t>R&amp;D</t>
  </si>
  <si>
    <t>of revenue</t>
  </si>
  <si>
    <t>S,G&amp;A</t>
  </si>
  <si>
    <t>Other operating expenses</t>
  </si>
  <si>
    <t>EBITDA</t>
  </si>
  <si>
    <t>Dep&amp;Amort.</t>
  </si>
  <si>
    <t>EBIT</t>
  </si>
  <si>
    <t>income taxes</t>
  </si>
  <si>
    <t>of EBIT</t>
  </si>
  <si>
    <t>Unlevered Net income/ NOPAT</t>
  </si>
  <si>
    <t>Free operating cash flow calculation</t>
  </si>
  <si>
    <t>(capitalizing R&amp;D as investment asset)</t>
  </si>
  <si>
    <t>add R&amp;D</t>
  </si>
  <si>
    <t>expenses</t>
  </si>
  <si>
    <t>add Dep&amp;Amortization</t>
  </si>
  <si>
    <t>less Net capital expenditure</t>
  </si>
  <si>
    <t>less annual change in non-cash WC</t>
  </si>
  <si>
    <t>REV X 25% (YR2-YR1)</t>
  </si>
  <si>
    <t>Non-cash WC=25% of revenue</t>
  </si>
  <si>
    <t>all values as percentage of annual sales</t>
  </si>
  <si>
    <t>Time periods to discount back, years</t>
  </si>
  <si>
    <t>input</t>
  </si>
  <si>
    <t>Receivables from financial subsidiaries</t>
  </si>
  <si>
    <t>Investments in subsidiaries</t>
  </si>
  <si>
    <t>NPV of operating FCF from subsidiaries</t>
  </si>
  <si>
    <t>Overfunded pension assets</t>
  </si>
  <si>
    <t>Derivatives</t>
  </si>
  <si>
    <t>Value of discontinued operations</t>
  </si>
  <si>
    <t>Excess real estate (investment)</t>
  </si>
  <si>
    <t>Any investments in marketable securities</t>
  </si>
  <si>
    <t>Available for sale securities, 98% of total</t>
  </si>
  <si>
    <t>Non-Operating assets, total</t>
  </si>
  <si>
    <t>Fair value of preferred stock</t>
  </si>
  <si>
    <t>Fair value of warrants</t>
  </si>
  <si>
    <t>Fair value of employee stock options</t>
  </si>
  <si>
    <t>Non-controlling minority interest (in subsidiaries)</t>
  </si>
  <si>
    <t>Undiluted share count</t>
  </si>
  <si>
    <t>Loans to nonconsolidated subsidiaries and other companies</t>
  </si>
  <si>
    <t>Securitized receivables</t>
  </si>
  <si>
    <t>Restructuring charges e.g. from layoffs</t>
  </si>
  <si>
    <t>PV of Operating leases</t>
  </si>
  <si>
    <t>Market value/Fair value of all outstanding debt (fixed and floating-rate), commercial paper, notes etc.</t>
  </si>
  <si>
    <t>Unfunded pension/retirement liabilities x (1-tax rate)</t>
  </si>
  <si>
    <t>Long-term operating provisions (e.g. plant decommissioning costs), book value</t>
  </si>
  <si>
    <t>Contigent liabilities x (1-t) if tax deductible</t>
  </si>
  <si>
    <t>NPV of any noncontrolling interests in subsidiaries</t>
  </si>
  <si>
    <t>EBIT (1-T)</t>
  </si>
  <si>
    <t>NOPLAT</t>
  </si>
  <si>
    <t>unlevered</t>
  </si>
  <si>
    <t>Debt and other liabilities, total</t>
  </si>
  <si>
    <t>Fair value of equity of the firm</t>
  </si>
  <si>
    <t>Fair value per common share</t>
  </si>
  <si>
    <t>USD</t>
  </si>
  <si>
    <t>S, G&amp;A expenses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</si>
  <si>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</si>
  <si>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</si>
  <si>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</si>
  <si>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</si>
  <si>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</si>
  <si>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</si>
  <si>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</si>
  <si>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</si>
  <si>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</si>
  <si>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</si>
  <si>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</si>
  <si>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</si>
  <si>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</si>
  <si>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</si>
  <si>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</si>
  <si>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</si>
  <si>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</si>
  <si>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</si>
  <si>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</si>
  <si>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</si>
  <si>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</si>
  <si>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</si>
  <si>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</si>
  <si>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</si>
  <si>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</si>
  <si>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</si>
  <si>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</si>
  <si>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Special items, one time charge</t>
  </si>
  <si>
    <t>Dep&amp;A, 7.3% x rev. after 2017 (operating fixed assets and operating intangible assets, capitalized software, operating P,P&amp;E)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</si>
  <si>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</si>
  <si>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</si>
  <si>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</si>
  <si>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</si>
  <si>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Financial investments</t>
  </si>
  <si>
    <t>Excess marketable securities</t>
  </si>
  <si>
    <t>Excess pension assets</t>
  </si>
  <si>
    <t>Estimated Enterprise Value</t>
  </si>
  <si>
    <t>Add non-cash operating expenses</t>
  </si>
  <si>
    <t>a) Plant, property, equipment</t>
  </si>
  <si>
    <t>b) Increase in operating assets</t>
  </si>
  <si>
    <t>c) Increase in operating leases</t>
  </si>
  <si>
    <t>d) Increase in other operating provisions</t>
  </si>
  <si>
    <t>Less change in non-cash working capital</t>
  </si>
  <si>
    <t xml:space="preserve">Less Net Capital expenditures, 20% x rev. </t>
  </si>
  <si>
    <t xml:space="preserve"> non-cash working capital, 25% x rev. </t>
  </si>
  <si>
    <t>Outstanding common stock</t>
  </si>
  <si>
    <t>Levered equity beta, B</t>
  </si>
  <si>
    <t>Unlevered equity beta, B(u)</t>
  </si>
  <si>
    <t>Implied Equity Market risk premium, MRP</t>
  </si>
  <si>
    <t>Cost of equity, Re</t>
  </si>
  <si>
    <t>Weighted annual interest rate on long term debt</t>
  </si>
  <si>
    <t>Cost of debt, Rd</t>
  </si>
  <si>
    <t>Weighted average cost of capital</t>
  </si>
  <si>
    <t>Target Debt, D</t>
  </si>
  <si>
    <t xml:space="preserve">Target debt for pharmaceuticals= </t>
  </si>
  <si>
    <t>debt/capital</t>
  </si>
  <si>
    <t>Market value of equity, E</t>
  </si>
  <si>
    <t xml:space="preserve">Average unlevered equity beta for pharmaceuticals= </t>
  </si>
  <si>
    <t>Tax rate, T, 35%</t>
  </si>
  <si>
    <t>Total Capital (Debt+Market equity)</t>
  </si>
  <si>
    <t>Yield on 10-year treasury bond</t>
  </si>
  <si>
    <t>Enter</t>
  </si>
  <si>
    <t>Enter monthly ERP from NYU-Stern Damodaran</t>
  </si>
  <si>
    <t xml:space="preserve">Risk free rate, Rf, </t>
  </si>
  <si>
    <t>Average cost of equity for pharmaceuticals</t>
  </si>
  <si>
    <t>Average cost of capital for pharmaceuticals=</t>
  </si>
  <si>
    <t>Average cost of debt for pharmaceuticals</t>
  </si>
  <si>
    <t>2.71%, after tax</t>
  </si>
  <si>
    <t>or similar for foreign country</t>
  </si>
  <si>
    <t>and add country CDS if needed</t>
  </si>
  <si>
    <t>Discounted value of FCF , USD</t>
  </si>
  <si>
    <t>FCF from operations, adj. for R&amp;D, USD</t>
  </si>
  <si>
    <t>Sum of discounted FCFs till peak revenue, USD</t>
  </si>
  <si>
    <t>Terminal FCF value calculation</t>
  </si>
  <si>
    <t>Annual increase (decrease) in FCF after peak</t>
  </si>
  <si>
    <t xml:space="preserve">Forecasted Operating value </t>
  </si>
  <si>
    <t>Other liabilities</t>
  </si>
  <si>
    <t xml:space="preserve">Excess Cash and cash equivalents, 98% of total, incl marketable securities </t>
  </si>
  <si>
    <t>Net Income(loss), 17.5% of rev after 2017</t>
  </si>
  <si>
    <t>NOPLAT from annual report (2016)</t>
  </si>
  <si>
    <t>Share price, USD</t>
  </si>
  <si>
    <t>DCF</t>
  </si>
  <si>
    <t>WACC calculation, CAPM model</t>
  </si>
  <si>
    <t>Annual drug price, USD</t>
  </si>
  <si>
    <t>Probability of success in investigational drugs (by phase):</t>
  </si>
  <si>
    <t>(a) Phase success rates for lead and all indications. The rates represent the probability that a drug will successfully advance to the next phase. (b) LOA from phase 1 for lead and all indications.</t>
  </si>
  <si>
    <t>The bars represent phase 2 and phase 3 success rates and the line represents LOA from phase 1.</t>
  </si>
  <si>
    <t>(a) Cumulative approval rates by FDA review from 2005 to 2011 (914 reviews). (b) Cumulative and first FDA approval rates by disease</t>
  </si>
  <si>
    <t>Source: Hay M, et al: Nature Biotechnology 32, 40–51 (2014)</t>
  </si>
  <si>
    <t>Estimated fair operating value of firm, DCF</t>
  </si>
  <si>
    <t>Probability, 30%</t>
  </si>
  <si>
    <t>Revenue, risk-adjusted</t>
  </si>
  <si>
    <t>Annual prevalence, U.S., E.U.</t>
  </si>
  <si>
    <t>NOPLAT in the year after peak revenue, USD</t>
  </si>
  <si>
    <t>Discount rate , WACC</t>
  </si>
  <si>
    <t>RONIC</t>
  </si>
  <si>
    <t xml:space="preserve">Terminal value </t>
  </si>
  <si>
    <t>(McKinsey NOPLAT formula)</t>
  </si>
  <si>
    <t>Discounted terminal value</t>
  </si>
  <si>
    <t>Accumulated tax loss carryforwards times tax rate, risk-adjusted</t>
  </si>
  <si>
    <t xml:space="preserve">PDH19 Epilepsy </t>
  </si>
  <si>
    <t>Revenue, risk-adusted</t>
  </si>
  <si>
    <t>Fragile X syndrome</t>
  </si>
  <si>
    <t>Annual prevalence, U.S., EU</t>
  </si>
  <si>
    <t>Market penetration, peak 40%</t>
  </si>
  <si>
    <t>Market penetration, peak 10%</t>
  </si>
  <si>
    <t>Net revenue after deducting Purdue royalties</t>
  </si>
  <si>
    <t>R&amp;D expenses, 17.69% x rev and risk adj. at 30% probab. after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</si>
</sst>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  <numFmt numFmtId="167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CD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0" fontId="0" fillId="0" borderId="0" xfId="0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0" fontId="0" fillId="4" borderId="0" xfId="0" applyFill="1"/>
    <xf numFmtId="0" fontId="0" fillId="5" borderId="1" xfId="0" applyFill="1" applyBorder="1"/>
    <xf numFmtId="42" fontId="0" fillId="3" borderId="1" xfId="0" applyNumberFormat="1" applyFill="1" applyBorder="1"/>
    <xf numFmtId="44" fontId="0" fillId="3" borderId="1" xfId="0" applyNumberFormat="1" applyFill="1" applyBorder="1"/>
    <xf numFmtId="42" fontId="0" fillId="5" borderId="1" xfId="0" applyNumberFormat="1" applyFill="1" applyBorder="1"/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3" fillId="0" borderId="0" xfId="0" applyFont="1"/>
    <xf numFmtId="0" fontId="4" fillId="6" borderId="0" xfId="0" applyFont="1" applyFill="1"/>
    <xf numFmtId="3" fontId="4" fillId="0" borderId="0" xfId="0" applyNumberFormat="1" applyFont="1"/>
    <xf numFmtId="164" fontId="4" fillId="0" borderId="0" xfId="0" applyNumberFormat="1" applyFont="1"/>
    <xf numFmtId="0" fontId="4" fillId="2" borderId="0" xfId="0" applyFont="1" applyFill="1"/>
    <xf numFmtId="0" fontId="3" fillId="8" borderId="0" xfId="0" applyFont="1" applyFill="1"/>
    <xf numFmtId="0" fontId="1" fillId="8" borderId="0" xfId="0" applyFont="1" applyFill="1"/>
    <xf numFmtId="44" fontId="0" fillId="8" borderId="0" xfId="0" applyNumberFormat="1" applyFill="1"/>
    <xf numFmtId="0" fontId="0" fillId="7" borderId="0" xfId="0" applyFill="1"/>
    <xf numFmtId="0" fontId="3" fillId="3" borderId="0" xfId="0" applyFont="1" applyFill="1"/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8" borderId="0" xfId="0" applyFont="1" applyFill="1" applyBorder="1"/>
    <xf numFmtId="42" fontId="0" fillId="3" borderId="0" xfId="0" applyNumberFormat="1" applyFill="1"/>
    <xf numFmtId="0" fontId="0" fillId="3" borderId="0" xfId="0" applyFill="1"/>
    <xf numFmtId="0" fontId="6" fillId="0" borderId="0" xfId="0" applyFont="1"/>
    <xf numFmtId="0" fontId="6" fillId="8" borderId="0" xfId="0" applyFont="1" applyFill="1"/>
    <xf numFmtId="0" fontId="6" fillId="0" borderId="0" xfId="0" applyFont="1" applyFill="1"/>
    <xf numFmtId="0" fontId="6" fillId="9" borderId="0" xfId="0" applyFont="1" applyFill="1"/>
    <xf numFmtId="0" fontId="5" fillId="8" borderId="0" xfId="0" applyFont="1" applyFill="1"/>
    <xf numFmtId="0" fontId="3" fillId="9" borderId="0" xfId="0" applyFont="1" applyFill="1"/>
    <xf numFmtId="3" fontId="3" fillId="9" borderId="0" xfId="0" applyNumberFormat="1" applyFont="1" applyFill="1"/>
    <xf numFmtId="0" fontId="6" fillId="11" borderId="0" xfId="0" applyFont="1" applyFill="1"/>
    <xf numFmtId="0" fontId="6" fillId="3" borderId="0" xfId="0" applyFont="1" applyFill="1"/>
    <xf numFmtId="164" fontId="0" fillId="0" borderId="0" xfId="0" applyNumberFormat="1"/>
    <xf numFmtId="0" fontId="0" fillId="11" borderId="0" xfId="0" applyFill="1"/>
    <xf numFmtId="0" fontId="1" fillId="10" borderId="0" xfId="0" applyFont="1" applyFill="1"/>
    <xf numFmtId="0" fontId="5" fillId="10" borderId="0" xfId="0" applyFont="1" applyFill="1"/>
    <xf numFmtId="165" fontId="6" fillId="0" borderId="0" xfId="0" applyNumberFormat="1" applyFont="1" applyFill="1"/>
    <xf numFmtId="164" fontId="8" fillId="0" borderId="0" xfId="0" applyNumberFormat="1" applyFont="1" applyFill="1"/>
    <xf numFmtId="164" fontId="6" fillId="0" borderId="0" xfId="0" applyNumberFormat="1" applyFont="1" applyFill="1"/>
    <xf numFmtId="3" fontId="6" fillId="2" borderId="0" xfId="0" applyNumberFormat="1" applyFont="1" applyFill="1" applyAlignment="1">
      <alignment horizontal="right" vertical="top"/>
    </xf>
    <xf numFmtId="166" fontId="8" fillId="2" borderId="0" xfId="0" applyNumberFormat="1" applyFont="1" applyFill="1"/>
    <xf numFmtId="0" fontId="6" fillId="2" borderId="0" xfId="0" applyFont="1" applyFill="1"/>
    <xf numFmtId="0" fontId="4" fillId="8" borderId="0" xfId="0" applyFont="1" applyFill="1"/>
    <xf numFmtId="10" fontId="6" fillId="11" borderId="0" xfId="0" applyNumberFormat="1" applyFont="1" applyFill="1"/>
    <xf numFmtId="10" fontId="6" fillId="0" borderId="0" xfId="0" applyNumberFormat="1" applyFont="1" applyFill="1"/>
    <xf numFmtId="0" fontId="7" fillId="8" borderId="0" xfId="0" applyFont="1" applyFill="1"/>
    <xf numFmtId="166" fontId="0" fillId="0" borderId="0" xfId="0" applyNumberFormat="1"/>
    <xf numFmtId="0" fontId="0" fillId="12" borderId="0" xfId="0" applyFill="1"/>
    <xf numFmtId="164" fontId="0" fillId="2" borderId="0" xfId="0" applyNumberFormat="1" applyFill="1"/>
    <xf numFmtId="0" fontId="1" fillId="11" borderId="0" xfId="0" applyFont="1" applyFill="1"/>
    <xf numFmtId="164" fontId="0" fillId="5" borderId="1" xfId="0" applyNumberFormat="1" applyFill="1" applyBorder="1"/>
    <xf numFmtId="0" fontId="0" fillId="0" borderId="0" xfId="0" applyAlignment="1">
      <alignment wrapText="1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6" fillId="0" borderId="0" xfId="0" applyNumberFormat="1" applyFont="1"/>
    <xf numFmtId="2" fontId="6" fillId="0" borderId="0" xfId="0" applyNumberFormat="1" applyFont="1"/>
    <xf numFmtId="167" fontId="6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7" fillId="0" borderId="0" xfId="0" applyFont="1"/>
    <xf numFmtId="0" fontId="15" fillId="11" borderId="0" xfId="0" applyFont="1" applyFill="1"/>
    <xf numFmtId="164" fontId="1" fillId="13" borderId="0" xfId="0" applyNumberFormat="1" applyFont="1" applyFill="1"/>
    <xf numFmtId="0" fontId="16" fillId="0" borderId="0" xfId="0" applyFont="1"/>
    <xf numFmtId="6" fontId="0" fillId="0" borderId="0" xfId="0" applyNumberFormat="1"/>
    <xf numFmtId="0" fontId="0" fillId="0" borderId="0" xfId="0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3</xdr:row>
      <xdr:rowOff>0</xdr:rowOff>
    </xdr:from>
    <xdr:to>
      <xdr:col>9</xdr:col>
      <xdr:colOff>200024</xdr:colOff>
      <xdr:row>20</xdr:row>
      <xdr:rowOff>22248</xdr:rowOff>
    </xdr:to>
    <xdr:pic>
      <xdr:nvPicPr>
        <xdr:cNvPr id="2" name="Picture 1" descr="Phase success and LOA rat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571500"/>
          <a:ext cx="4467225" cy="3260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10</xdr:col>
      <xdr:colOff>361950</xdr:colOff>
      <xdr:row>47</xdr:row>
      <xdr:rowOff>0</xdr:rowOff>
    </xdr:to>
    <xdr:pic>
      <xdr:nvPicPr>
        <xdr:cNvPr id="3" name="Picture 2" descr="Phase success and LOA from phase 1 by disease for all indications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857750"/>
          <a:ext cx="5238750" cy="419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609599</xdr:colOff>
      <xdr:row>50</xdr:row>
      <xdr:rowOff>190499</xdr:rowOff>
    </xdr:from>
    <xdr:to>
      <xdr:col>14</xdr:col>
      <xdr:colOff>176212</xdr:colOff>
      <xdr:row>67</xdr:row>
      <xdr:rowOff>47624</xdr:rowOff>
    </xdr:to>
    <xdr:pic>
      <xdr:nvPicPr>
        <xdr:cNvPr id="4" name="Picture 3" descr="NDA/BLA success rates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199" y="9810749"/>
          <a:ext cx="7491413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H8" sqref="H8"/>
    </sheetView>
  </sheetViews>
  <sheetFormatPr defaultColWidth="8.86328125" defaultRowHeight="14.25" x14ac:dyDescent="0.45"/>
  <cols>
    <col min="2" max="2" width="11" customWidth="1"/>
  </cols>
  <sheetData>
    <row r="1" spans="1:8" x14ac:dyDescent="0.45">
      <c r="A1" s="25" t="s">
        <v>2</v>
      </c>
      <c r="B1" s="25"/>
      <c r="C1" s="25"/>
      <c r="D1" s="25"/>
      <c r="E1" s="25"/>
    </row>
    <row r="2" spans="1:8" x14ac:dyDescent="0.45">
      <c r="H2" t="s">
        <v>25</v>
      </c>
    </row>
    <row r="3" spans="1:8" x14ac:dyDescent="0.45">
      <c r="A3" t="s">
        <v>3</v>
      </c>
      <c r="B3" s="6"/>
      <c r="E3" s="6">
        <v>1</v>
      </c>
    </row>
    <row r="4" spans="1:8" x14ac:dyDescent="0.45">
      <c r="A4" t="s">
        <v>4</v>
      </c>
    </row>
    <row r="5" spans="1:8" x14ac:dyDescent="0.45">
      <c r="A5" t="s">
        <v>5</v>
      </c>
    </row>
    <row r="6" spans="1:8" x14ac:dyDescent="0.45">
      <c r="A6" s="2" t="s">
        <v>1</v>
      </c>
      <c r="B6" s="2"/>
    </row>
    <row r="7" spans="1:8" x14ac:dyDescent="0.45">
      <c r="A7" t="s">
        <v>6</v>
      </c>
      <c r="E7" s="7">
        <v>0.1769</v>
      </c>
      <c r="F7" t="s">
        <v>7</v>
      </c>
    </row>
    <row r="8" spans="1:8" x14ac:dyDescent="0.45">
      <c r="A8" t="s">
        <v>8</v>
      </c>
      <c r="E8" s="7">
        <v>0.29520000000000002</v>
      </c>
      <c r="F8" t="s">
        <v>7</v>
      </c>
    </row>
    <row r="9" spans="1:8" x14ac:dyDescent="0.45">
      <c r="A9" t="s">
        <v>9</v>
      </c>
      <c r="E9" s="7">
        <v>0.1852</v>
      </c>
    </row>
    <row r="11" spans="1:8" x14ac:dyDescent="0.45">
      <c r="A11" s="2" t="s">
        <v>10</v>
      </c>
      <c r="B11" s="2"/>
      <c r="C11" s="2"/>
      <c r="D11" s="2"/>
      <c r="E11" s="8">
        <v>0.3427</v>
      </c>
      <c r="F11" s="2" t="s">
        <v>7</v>
      </c>
    </row>
    <row r="12" spans="1:8" x14ac:dyDescent="0.45">
      <c r="A12" t="s">
        <v>11</v>
      </c>
      <c r="E12" s="7">
        <v>7.3099999999999998E-2</v>
      </c>
      <c r="F12" t="s">
        <v>7</v>
      </c>
    </row>
    <row r="14" spans="1:8" x14ac:dyDescent="0.45">
      <c r="A14" t="s">
        <v>12</v>
      </c>
      <c r="E14" s="7">
        <v>0.26960000000000001</v>
      </c>
      <c r="F14" t="s">
        <v>7</v>
      </c>
    </row>
    <row r="15" spans="1:8" x14ac:dyDescent="0.45">
      <c r="A15" t="s">
        <v>13</v>
      </c>
      <c r="E15" s="6">
        <v>0.35</v>
      </c>
      <c r="F15" t="s">
        <v>14</v>
      </c>
    </row>
    <row r="17" spans="1:8" x14ac:dyDescent="0.45">
      <c r="A17" s="2" t="s">
        <v>52</v>
      </c>
      <c r="B17" s="2" t="s">
        <v>54</v>
      </c>
      <c r="C17" s="2" t="s">
        <v>53</v>
      </c>
      <c r="D17" s="2"/>
      <c r="E17" s="8">
        <v>0.17519999999999999</v>
      </c>
    </row>
    <row r="18" spans="1:8" x14ac:dyDescent="0.45">
      <c r="A18" s="9"/>
      <c r="B18" s="9"/>
      <c r="C18" s="9"/>
      <c r="D18" s="9"/>
      <c r="E18" s="9"/>
      <c r="F18" s="9"/>
      <c r="G18" s="9"/>
    </row>
    <row r="19" spans="1:8" x14ac:dyDescent="0.45">
      <c r="A19" s="2" t="s">
        <v>16</v>
      </c>
      <c r="B19" s="2"/>
      <c r="C19" s="2"/>
      <c r="D19" s="2"/>
      <c r="E19" t="s">
        <v>17</v>
      </c>
    </row>
    <row r="21" spans="1:8" x14ac:dyDescent="0.45">
      <c r="A21" s="2" t="s">
        <v>15</v>
      </c>
      <c r="B21" s="2"/>
      <c r="C21" s="2"/>
      <c r="D21" s="2"/>
      <c r="E21" s="8">
        <v>0.17519999999999999</v>
      </c>
      <c r="F21" t="s">
        <v>7</v>
      </c>
    </row>
    <row r="22" spans="1:8" x14ac:dyDescent="0.45">
      <c r="A22" s="1" t="s">
        <v>18</v>
      </c>
      <c r="B22" t="s">
        <v>19</v>
      </c>
      <c r="E22" s="7">
        <v>0.1769</v>
      </c>
      <c r="F22" t="s">
        <v>7</v>
      </c>
    </row>
    <row r="23" spans="1:8" x14ac:dyDescent="0.45">
      <c r="A23" t="s">
        <v>20</v>
      </c>
      <c r="E23" s="7">
        <v>7.3099999999999998E-2</v>
      </c>
      <c r="F23" t="s">
        <v>7</v>
      </c>
    </row>
    <row r="24" spans="1:8" x14ac:dyDescent="0.45">
      <c r="A24" t="s">
        <v>21</v>
      </c>
      <c r="E24" s="6">
        <v>-0.2</v>
      </c>
      <c r="F24" t="s">
        <v>7</v>
      </c>
    </row>
    <row r="25" spans="1:8" x14ac:dyDescent="0.45">
      <c r="A25" t="s">
        <v>22</v>
      </c>
      <c r="E25" t="s">
        <v>23</v>
      </c>
      <c r="H25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70"/>
  <sheetViews>
    <sheetView topLeftCell="A15" workbookViewId="0">
      <selection activeCell="N11" sqref="N11"/>
    </sheetView>
  </sheetViews>
  <sheetFormatPr defaultRowHeight="14.25" x14ac:dyDescent="0.45"/>
  <sheetData>
    <row r="2" spans="3:8" ht="18" x14ac:dyDescent="0.55000000000000004">
      <c r="C2" s="77" t="s">
        <v>144</v>
      </c>
      <c r="D2" s="77"/>
      <c r="E2" s="77"/>
      <c r="F2" s="77"/>
      <c r="G2" s="77"/>
      <c r="H2" s="77"/>
    </row>
    <row r="22" spans="3:19" ht="22.5" customHeight="1" x14ac:dyDescent="0.5">
      <c r="C22" s="73" t="s">
        <v>145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42" spans="19:24" x14ac:dyDescent="0.45">
      <c r="S42" s="2" t="s">
        <v>148</v>
      </c>
      <c r="T42" s="2"/>
      <c r="U42" s="2"/>
      <c r="V42" s="2"/>
      <c r="W42" s="2"/>
      <c r="X42" s="2"/>
    </row>
    <row r="49" spans="3:11" x14ac:dyDescent="0.45">
      <c r="C49" s="72" t="s">
        <v>146</v>
      </c>
      <c r="D49" s="2"/>
      <c r="E49" s="2"/>
      <c r="F49" s="2"/>
      <c r="G49" s="2"/>
      <c r="H49" s="2"/>
      <c r="I49" s="2"/>
      <c r="J49" s="2"/>
      <c r="K49" s="2"/>
    </row>
    <row r="70" spans="3:14" x14ac:dyDescent="0.45">
      <c r="C70" s="72" t="s">
        <v>147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38" sqref="D38"/>
    </sheetView>
  </sheetViews>
  <sheetFormatPr defaultColWidth="8.86328125" defaultRowHeight="14.25" x14ac:dyDescent="0.45"/>
  <cols>
    <col min="1" max="1" width="44.86328125" customWidth="1"/>
    <col min="2" max="2" width="28" customWidth="1"/>
    <col min="3" max="3" width="20" customWidth="1"/>
    <col min="4" max="4" width="6.73046875" customWidth="1"/>
    <col min="7" max="7" width="16.59765625" customWidth="1"/>
  </cols>
  <sheetData>
    <row r="1" spans="1:10" x14ac:dyDescent="0.45">
      <c r="A1" s="47" t="s">
        <v>142</v>
      </c>
      <c r="B1" s="35"/>
    </row>
    <row r="2" spans="1:10" x14ac:dyDescent="0.45">
      <c r="A2" s="37" t="s">
        <v>113</v>
      </c>
      <c r="B2" s="49">
        <f>(11.5*B5)/(100-11.5)</f>
        <v>3692788.6159322034</v>
      </c>
      <c r="E2" t="s">
        <v>114</v>
      </c>
      <c r="H2" s="7">
        <v>0.115</v>
      </c>
      <c r="I2" t="s">
        <v>115</v>
      </c>
    </row>
    <row r="3" spans="1:10" x14ac:dyDescent="0.45">
      <c r="A3" s="37" t="s">
        <v>105</v>
      </c>
      <c r="B3" s="51">
        <v>19464669</v>
      </c>
      <c r="C3" t="s">
        <v>27</v>
      </c>
    </row>
    <row r="4" spans="1:10" x14ac:dyDescent="0.45">
      <c r="A4" s="37" t="s">
        <v>140</v>
      </c>
      <c r="B4" s="52">
        <v>1.46</v>
      </c>
      <c r="C4" t="s">
        <v>27</v>
      </c>
    </row>
    <row r="5" spans="1:10" ht="30.75" customHeight="1" x14ac:dyDescent="0.45">
      <c r="A5" s="37" t="s">
        <v>116</v>
      </c>
      <c r="B5" s="49">
        <f>B3*B4</f>
        <v>28418416.739999998</v>
      </c>
    </row>
    <row r="6" spans="1:10" x14ac:dyDescent="0.45">
      <c r="A6" s="37" t="s">
        <v>118</v>
      </c>
      <c r="B6" s="56">
        <v>0.35</v>
      </c>
    </row>
    <row r="7" spans="1:10" x14ac:dyDescent="0.45">
      <c r="A7" s="37" t="s">
        <v>106</v>
      </c>
      <c r="B7" s="53">
        <v>1.5</v>
      </c>
      <c r="C7" t="s">
        <v>27</v>
      </c>
      <c r="E7" t="s">
        <v>117</v>
      </c>
      <c r="J7">
        <v>0.94</v>
      </c>
    </row>
    <row r="8" spans="1:10" x14ac:dyDescent="0.45">
      <c r="A8" s="37" t="s">
        <v>119</v>
      </c>
      <c r="B8" s="50">
        <f>B2+B5</f>
        <v>32111205.355932202</v>
      </c>
    </row>
    <row r="9" spans="1:10" x14ac:dyDescent="0.45">
      <c r="A9" s="37" t="s">
        <v>107</v>
      </c>
      <c r="B9" s="48">
        <f>(B7)/(1+(1-B6)*(B2/B5))</f>
        <v>1.3831727012242772</v>
      </c>
    </row>
    <row r="10" spans="1:10" x14ac:dyDescent="0.45">
      <c r="A10" s="37" t="s">
        <v>123</v>
      </c>
      <c r="B10" s="53">
        <v>1.6500000000000001E-2</v>
      </c>
      <c r="C10" t="s">
        <v>27</v>
      </c>
      <c r="D10" t="s">
        <v>121</v>
      </c>
      <c r="E10" t="s">
        <v>120</v>
      </c>
      <c r="H10" t="s">
        <v>128</v>
      </c>
    </row>
    <row r="11" spans="1:10" x14ac:dyDescent="0.45">
      <c r="A11" s="37" t="s">
        <v>108</v>
      </c>
      <c r="B11" s="37">
        <v>6.1199999999999997E-2</v>
      </c>
      <c r="D11" t="s">
        <v>122</v>
      </c>
      <c r="I11" t="s">
        <v>129</v>
      </c>
    </row>
    <row r="12" spans="1:10" ht="29.25" customHeight="1" x14ac:dyDescent="0.45">
      <c r="A12" s="36" t="s">
        <v>109</v>
      </c>
      <c r="B12" s="56">
        <f>B10+(B11*B9)</f>
        <v>0.10115016931492576</v>
      </c>
      <c r="D12" t="s">
        <v>124</v>
      </c>
      <c r="I12" s="7">
        <v>8.3699999999999997E-2</v>
      </c>
    </row>
    <row r="13" spans="1:10" x14ac:dyDescent="0.45">
      <c r="A13" s="37" t="s">
        <v>110</v>
      </c>
      <c r="B13" s="56">
        <v>4.1500000000000002E-2</v>
      </c>
    </row>
    <row r="14" spans="1:10" x14ac:dyDescent="0.45">
      <c r="A14" s="43" t="s">
        <v>111</v>
      </c>
      <c r="B14" s="56">
        <f>B13*0.65</f>
        <v>2.6975000000000002E-2</v>
      </c>
      <c r="D14" t="s">
        <v>126</v>
      </c>
      <c r="I14" t="s">
        <v>127</v>
      </c>
    </row>
    <row r="15" spans="1:10" ht="31.35" customHeight="1" x14ac:dyDescent="0.45">
      <c r="A15" s="54" t="s">
        <v>112</v>
      </c>
      <c r="B15" s="55">
        <f>(B14*(B2/B8))+(B12*(B5/B8))</f>
        <v>9.2620024843709306E-2</v>
      </c>
      <c r="D15" t="s">
        <v>125</v>
      </c>
      <c r="I15" s="7">
        <v>7.7200000000000005E-2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18" sqref="A18:XFD18"/>
    </sheetView>
  </sheetViews>
  <sheetFormatPr defaultColWidth="8.86328125" defaultRowHeight="14.25" x14ac:dyDescent="0.45"/>
  <cols>
    <col min="1" max="1" width="60" customWidth="1"/>
    <col min="2" max="2" width="12.265625" customWidth="1"/>
    <col min="3" max="3" width="12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3984375" customWidth="1"/>
    <col min="16" max="16" width="14" customWidth="1"/>
    <col min="17" max="17" width="12.53125" customWidth="1"/>
  </cols>
  <sheetData>
    <row r="1" spans="1:17" s="14" customFormat="1" x14ac:dyDescent="0.45"/>
    <row r="2" spans="1:17" s="17" customFormat="1" ht="13.15" x14ac:dyDescent="0.4">
      <c r="A2" s="17" t="s">
        <v>58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</row>
    <row r="3" spans="1:17" s="17" customFormat="1" ht="13.15" x14ac:dyDescent="0.4">
      <c r="A3" s="39" t="s">
        <v>160</v>
      </c>
    </row>
    <row r="4" spans="1:17" s="17" customFormat="1" ht="13.15" x14ac:dyDescent="0.4">
      <c r="A4" s="35" t="s">
        <v>143</v>
      </c>
      <c r="B4" s="67">
        <v>10000</v>
      </c>
      <c r="C4" s="67">
        <v>10000</v>
      </c>
      <c r="D4" s="67">
        <v>10000</v>
      </c>
      <c r="E4" s="67">
        <v>10000</v>
      </c>
      <c r="F4" s="67">
        <v>10000</v>
      </c>
      <c r="G4" s="67">
        <v>10000</v>
      </c>
      <c r="H4" s="67">
        <v>10000</v>
      </c>
      <c r="I4" s="67">
        <v>10000</v>
      </c>
      <c r="J4" s="67">
        <v>10000</v>
      </c>
      <c r="K4" s="67">
        <v>10000</v>
      </c>
      <c r="L4" s="67">
        <v>10000</v>
      </c>
      <c r="M4" s="67">
        <v>10000</v>
      </c>
      <c r="N4" s="67">
        <v>10000</v>
      </c>
      <c r="O4" s="67">
        <v>10000</v>
      </c>
      <c r="P4" s="67">
        <v>10000</v>
      </c>
      <c r="Q4" s="67">
        <v>10000</v>
      </c>
    </row>
    <row r="5" spans="1:17" s="17" customFormat="1" ht="13.15" x14ac:dyDescent="0.4">
      <c r="A5" s="35" t="s">
        <v>152</v>
      </c>
      <c r="B5" s="67">
        <v>10000</v>
      </c>
      <c r="C5" s="67">
        <v>10000</v>
      </c>
      <c r="D5" s="67">
        <v>10000</v>
      </c>
      <c r="E5" s="67">
        <v>10000</v>
      </c>
      <c r="F5" s="67">
        <v>10000</v>
      </c>
      <c r="G5" s="67">
        <v>10000</v>
      </c>
      <c r="H5" s="67">
        <v>10000</v>
      </c>
      <c r="I5" s="67">
        <v>10000</v>
      </c>
      <c r="J5" s="67">
        <v>10000</v>
      </c>
      <c r="K5" s="67">
        <v>10000</v>
      </c>
      <c r="L5" s="67">
        <v>10000</v>
      </c>
      <c r="M5" s="67">
        <v>10000</v>
      </c>
      <c r="N5" s="67">
        <v>10000</v>
      </c>
      <c r="O5" s="67">
        <v>10000</v>
      </c>
      <c r="P5" s="67">
        <v>10000</v>
      </c>
      <c r="Q5" s="67">
        <v>10000</v>
      </c>
    </row>
    <row r="6" spans="1:17" s="17" customFormat="1" ht="13.15" x14ac:dyDescent="0.4">
      <c r="A6" s="35" t="s">
        <v>150</v>
      </c>
      <c r="B6" s="68">
        <v>0.3</v>
      </c>
      <c r="C6" s="68">
        <v>0.3</v>
      </c>
      <c r="D6" s="68">
        <v>0.3</v>
      </c>
      <c r="E6" s="68">
        <v>0.3</v>
      </c>
      <c r="F6" s="68">
        <v>0.3</v>
      </c>
      <c r="G6" s="68">
        <v>0.3</v>
      </c>
      <c r="H6" s="68">
        <v>0.3</v>
      </c>
      <c r="I6" s="68">
        <v>0.3</v>
      </c>
      <c r="J6" s="68">
        <v>0.3</v>
      </c>
      <c r="K6" s="68">
        <v>0.3</v>
      </c>
      <c r="L6" s="68">
        <v>0.3</v>
      </c>
      <c r="M6" s="68">
        <v>0.3</v>
      </c>
      <c r="N6" s="68">
        <v>0.3</v>
      </c>
      <c r="O6" s="68">
        <v>0.3</v>
      </c>
      <c r="P6" s="68">
        <v>0.3</v>
      </c>
      <c r="Q6" s="68">
        <v>0.3</v>
      </c>
    </row>
    <row r="7" spans="1:17" s="17" customFormat="1" ht="13.15" x14ac:dyDescent="0.4">
      <c r="A7" s="35" t="s">
        <v>164</v>
      </c>
      <c r="B7" s="69">
        <v>0</v>
      </c>
      <c r="C7" s="69">
        <v>0</v>
      </c>
      <c r="D7" s="69">
        <v>0.04</v>
      </c>
      <c r="E7" s="69">
        <v>0.08</v>
      </c>
      <c r="F7" s="69">
        <v>0.16</v>
      </c>
      <c r="G7" s="69">
        <v>0.32</v>
      </c>
      <c r="H7" s="69">
        <v>0.33</v>
      </c>
      <c r="I7" s="69">
        <v>0.34</v>
      </c>
      <c r="J7" s="69">
        <v>0.35</v>
      </c>
      <c r="K7" s="69">
        <v>0.36</v>
      </c>
      <c r="L7" s="69">
        <v>0.37</v>
      </c>
      <c r="M7" s="69">
        <v>0.38</v>
      </c>
      <c r="N7" s="69">
        <v>0.39</v>
      </c>
      <c r="O7" s="69">
        <v>0.4</v>
      </c>
      <c r="P7" s="69">
        <v>0.4</v>
      </c>
      <c r="Q7" s="35">
        <f>P7*0.97</f>
        <v>0.38800000000000001</v>
      </c>
    </row>
    <row r="8" spans="1:17" s="71" customFormat="1" ht="13.15" x14ac:dyDescent="0.4">
      <c r="A8" s="70" t="s">
        <v>151</v>
      </c>
      <c r="B8" s="70">
        <f>B4*B5*B6*B7</f>
        <v>0</v>
      </c>
      <c r="C8" s="70">
        <f t="shared" ref="C8:H8" si="0">C4*C5*C6*C7</f>
        <v>0</v>
      </c>
      <c r="D8" s="70">
        <f t="shared" si="0"/>
        <v>1200000</v>
      </c>
      <c r="E8" s="70">
        <f t="shared" si="0"/>
        <v>2400000</v>
      </c>
      <c r="F8" s="70">
        <f t="shared" si="0"/>
        <v>4800000</v>
      </c>
      <c r="G8" s="70">
        <f t="shared" si="0"/>
        <v>9600000</v>
      </c>
      <c r="H8" s="70">
        <f t="shared" si="0"/>
        <v>9900000</v>
      </c>
      <c r="I8" s="70">
        <f>I4*I5*I6*I7</f>
        <v>10200000</v>
      </c>
      <c r="J8" s="70">
        <f t="shared" ref="J8" si="1">J4*J5*J6*J7</f>
        <v>10500000</v>
      </c>
      <c r="K8" s="70">
        <f t="shared" ref="K8" si="2">K4*K5*K6*K7</f>
        <v>10800000</v>
      </c>
      <c r="L8" s="70">
        <f t="shared" ref="L8" si="3">L4*L5*L6*L7</f>
        <v>11100000</v>
      </c>
      <c r="M8" s="70">
        <f t="shared" ref="M8" si="4">M4*M5*M6*M7</f>
        <v>11400000</v>
      </c>
      <c r="N8" s="70">
        <f t="shared" ref="N8" si="5">N4*N5*N6*N7</f>
        <v>11700000</v>
      </c>
      <c r="O8" s="70">
        <f t="shared" ref="O8" si="6">O4*O5*O6*O7</f>
        <v>12000000</v>
      </c>
      <c r="P8" s="70">
        <f>P4*P5*P6*P7</f>
        <v>12000000</v>
      </c>
      <c r="Q8" s="70">
        <f t="shared" ref="Q8" si="7">Q4*Q5*Q6*Q7</f>
        <v>11640000</v>
      </c>
    </row>
    <row r="9" spans="1:17" s="17" customFormat="1" ht="13.15" x14ac:dyDescent="0.4">
      <c r="A9" s="66"/>
    </row>
    <row r="10" spans="1:17" s="17" customFormat="1" ht="13.15" x14ac:dyDescent="0.4">
      <c r="A10" s="39" t="s">
        <v>162</v>
      </c>
    </row>
    <row r="11" spans="1:17" s="17" customFormat="1" ht="13.15" x14ac:dyDescent="0.4">
      <c r="A11" s="35" t="s">
        <v>143</v>
      </c>
      <c r="B11" s="67">
        <v>10000</v>
      </c>
      <c r="C11" s="67">
        <v>10000</v>
      </c>
      <c r="D11" s="67">
        <v>10000</v>
      </c>
      <c r="E11" s="67">
        <v>10000</v>
      </c>
      <c r="F11" s="67">
        <v>10000</v>
      </c>
      <c r="G11" s="67">
        <v>10000</v>
      </c>
      <c r="H11" s="67">
        <v>10000</v>
      </c>
      <c r="I11" s="67">
        <v>10000</v>
      </c>
      <c r="J11" s="67">
        <v>10000</v>
      </c>
      <c r="K11" s="67">
        <v>10000</v>
      </c>
      <c r="L11" s="67">
        <v>10000</v>
      </c>
      <c r="M11" s="67">
        <v>10000</v>
      </c>
      <c r="N11" s="67">
        <v>10000</v>
      </c>
      <c r="O11" s="67">
        <v>10000</v>
      </c>
      <c r="P11" s="67">
        <v>10000</v>
      </c>
      <c r="Q11" s="67">
        <v>10000</v>
      </c>
    </row>
    <row r="12" spans="1:17" s="17" customFormat="1" ht="13.15" x14ac:dyDescent="0.4">
      <c r="A12" s="35" t="s">
        <v>163</v>
      </c>
      <c r="B12" s="67">
        <v>325000</v>
      </c>
      <c r="C12" s="67">
        <v>325000</v>
      </c>
      <c r="D12" s="67">
        <v>325000</v>
      </c>
      <c r="E12" s="67">
        <v>325000</v>
      </c>
      <c r="F12" s="67">
        <v>325000</v>
      </c>
      <c r="G12" s="67">
        <v>325000</v>
      </c>
      <c r="H12" s="67">
        <v>325000</v>
      </c>
      <c r="I12" s="67">
        <v>325000</v>
      </c>
      <c r="J12" s="67">
        <v>325000</v>
      </c>
      <c r="K12" s="67">
        <v>325000</v>
      </c>
      <c r="L12" s="67">
        <v>325000</v>
      </c>
      <c r="M12" s="67">
        <v>325000</v>
      </c>
      <c r="N12" s="67">
        <v>325000</v>
      </c>
      <c r="O12" s="67">
        <v>325000</v>
      </c>
      <c r="P12" s="67">
        <v>325000</v>
      </c>
      <c r="Q12" s="67">
        <v>325000</v>
      </c>
    </row>
    <row r="13" spans="1:17" s="17" customFormat="1" ht="13.15" x14ac:dyDescent="0.4">
      <c r="A13" s="35" t="s">
        <v>150</v>
      </c>
      <c r="B13" s="68">
        <v>0.3</v>
      </c>
      <c r="C13" s="68">
        <v>0.3</v>
      </c>
      <c r="D13" s="68">
        <v>0.3</v>
      </c>
      <c r="E13" s="68">
        <v>0.3</v>
      </c>
      <c r="F13" s="68">
        <v>0.3</v>
      </c>
      <c r="G13" s="68">
        <v>0.3</v>
      </c>
      <c r="H13" s="68">
        <v>0.3</v>
      </c>
      <c r="I13" s="68">
        <v>0.3</v>
      </c>
      <c r="J13" s="68">
        <v>0.3</v>
      </c>
      <c r="K13" s="68">
        <v>0.3</v>
      </c>
      <c r="L13" s="68">
        <v>0.3</v>
      </c>
      <c r="M13" s="68">
        <v>0.3</v>
      </c>
      <c r="N13" s="68">
        <v>0.3</v>
      </c>
      <c r="O13" s="68">
        <v>0.3</v>
      </c>
      <c r="P13" s="68">
        <v>0.3</v>
      </c>
      <c r="Q13" s="68">
        <v>0.3</v>
      </c>
    </row>
    <row r="14" spans="1:17" s="17" customFormat="1" ht="13.15" x14ac:dyDescent="0.4">
      <c r="A14" s="35" t="s">
        <v>165</v>
      </c>
      <c r="B14" s="69">
        <v>0</v>
      </c>
      <c r="C14" s="69">
        <v>0</v>
      </c>
      <c r="D14" s="69">
        <v>5.0000000000000001E-3</v>
      </c>
      <c r="E14" s="69">
        <v>0.01</v>
      </c>
      <c r="F14" s="69">
        <v>0.02</v>
      </c>
      <c r="G14" s="69">
        <v>0.04</v>
      </c>
      <c r="H14" s="69">
        <v>0.06</v>
      </c>
      <c r="I14" s="69">
        <v>7.0000000000000007E-2</v>
      </c>
      <c r="J14" s="69">
        <v>0.08</v>
      </c>
      <c r="K14" s="69">
        <v>0.09</v>
      </c>
      <c r="L14" s="69">
        <v>0.1</v>
      </c>
      <c r="M14" s="69">
        <v>0.1</v>
      </c>
      <c r="N14" s="69">
        <v>0.1</v>
      </c>
      <c r="O14" s="69">
        <v>0.1</v>
      </c>
      <c r="P14" s="69">
        <v>0.1</v>
      </c>
      <c r="Q14" s="35">
        <f>P14*0.97</f>
        <v>9.7000000000000003E-2</v>
      </c>
    </row>
    <row r="15" spans="1:17" s="71" customFormat="1" ht="13.15" x14ac:dyDescent="0.4">
      <c r="A15" s="70" t="s">
        <v>151</v>
      </c>
      <c r="B15" s="70">
        <f>B11*B12*B13*B14</f>
        <v>0</v>
      </c>
      <c r="C15" s="70">
        <f t="shared" ref="C15" si="8">C11*C12*C13*C14</f>
        <v>0</v>
      </c>
      <c r="D15" s="70">
        <f t="shared" ref="D15" si="9">D11*D12*D13*D14</f>
        <v>4875000</v>
      </c>
      <c r="E15" s="70">
        <f t="shared" ref="E15" si="10">E11*E12*E13*E14</f>
        <v>9750000</v>
      </c>
      <c r="F15" s="70">
        <f t="shared" ref="F15" si="11">F11*F12*F13*F14</f>
        <v>19500000</v>
      </c>
      <c r="G15" s="70">
        <f t="shared" ref="G15" si="12">G11*G12*G13*G14</f>
        <v>39000000</v>
      </c>
      <c r="H15" s="70">
        <f t="shared" ref="H15" si="13">H11*H12*H13*H14</f>
        <v>58500000</v>
      </c>
      <c r="I15" s="70">
        <f>I11*I12*I13*I14</f>
        <v>68250000</v>
      </c>
      <c r="J15" s="70">
        <f t="shared" ref="J15" si="14">J11*J12*J13*J14</f>
        <v>78000000</v>
      </c>
      <c r="K15" s="70">
        <f t="shared" ref="K15" si="15">K11*K12*K13*K14</f>
        <v>87750000</v>
      </c>
      <c r="L15" s="70">
        <f t="shared" ref="L15" si="16">L11*L12*L13*L14</f>
        <v>97500000</v>
      </c>
      <c r="M15" s="70">
        <f t="shared" ref="M15" si="17">M11*M12*M13*M14</f>
        <v>97500000</v>
      </c>
      <c r="N15" s="70">
        <f t="shared" ref="N15" si="18">N11*N12*N13*N14</f>
        <v>97500000</v>
      </c>
      <c r="O15" s="70">
        <f t="shared" ref="O15" si="19">O11*O12*O13*O14</f>
        <v>97500000</v>
      </c>
      <c r="P15" s="70">
        <f>P11*P12*P13*P14</f>
        <v>97500000</v>
      </c>
      <c r="Q15" s="70">
        <f t="shared" ref="Q15" si="20">Q11*Q12*Q13*Q14</f>
        <v>94575000</v>
      </c>
    </row>
    <row r="17" spans="1:17" ht="31.5" customHeight="1" x14ac:dyDescent="0.45">
      <c r="A17" s="75" t="s">
        <v>151</v>
      </c>
      <c r="B17" s="76">
        <f>B8+B15</f>
        <v>0</v>
      </c>
      <c r="C17" s="76">
        <f t="shared" ref="C17:Q17" si="21">C8+C15</f>
        <v>0</v>
      </c>
      <c r="D17" s="76">
        <f t="shared" si="21"/>
        <v>6075000</v>
      </c>
      <c r="E17" s="76">
        <f t="shared" si="21"/>
        <v>12150000</v>
      </c>
      <c r="F17" s="76">
        <f t="shared" si="21"/>
        <v>24300000</v>
      </c>
      <c r="G17" s="76">
        <f t="shared" si="21"/>
        <v>48600000</v>
      </c>
      <c r="H17" s="76">
        <f t="shared" si="21"/>
        <v>68400000</v>
      </c>
      <c r="I17" s="76">
        <f t="shared" si="21"/>
        <v>78450000</v>
      </c>
      <c r="J17" s="76">
        <f t="shared" si="21"/>
        <v>88500000</v>
      </c>
      <c r="K17" s="76">
        <f t="shared" si="21"/>
        <v>98550000</v>
      </c>
      <c r="L17" s="76">
        <f t="shared" si="21"/>
        <v>108600000</v>
      </c>
      <c r="M17" s="76">
        <f t="shared" si="21"/>
        <v>108900000</v>
      </c>
      <c r="N17" s="76">
        <f t="shared" si="21"/>
        <v>109200000</v>
      </c>
      <c r="O17" s="76">
        <f t="shared" si="21"/>
        <v>109500000</v>
      </c>
      <c r="P17" s="76">
        <f t="shared" si="21"/>
        <v>109500000</v>
      </c>
      <c r="Q17" s="76">
        <f t="shared" si="21"/>
        <v>106215000</v>
      </c>
    </row>
    <row r="18" spans="1:17" x14ac:dyDescent="0.45">
      <c r="A18" t="s">
        <v>166</v>
      </c>
      <c r="B18">
        <v>0</v>
      </c>
      <c r="C18">
        <v>0</v>
      </c>
      <c r="D18" s="44">
        <f>D17*0.92</f>
        <v>5589000</v>
      </c>
      <c r="E18" s="44">
        <f>E17*0.91</f>
        <v>11056500</v>
      </c>
      <c r="F18" s="44">
        <f>F17*0.9</f>
        <v>21870000</v>
      </c>
      <c r="G18" s="44">
        <f t="shared" ref="G18:J18" si="22">G17*0.9</f>
        <v>43740000</v>
      </c>
      <c r="H18" s="44">
        <f t="shared" si="22"/>
        <v>61560000</v>
      </c>
      <c r="I18" s="44">
        <f t="shared" si="22"/>
        <v>70605000</v>
      </c>
      <c r="J18" s="44">
        <f t="shared" si="22"/>
        <v>79650000</v>
      </c>
      <c r="K18" s="44">
        <f>K17*0.9</f>
        <v>88695000</v>
      </c>
      <c r="L18" s="44">
        <f t="shared" ref="L18" si="23">L17*0.9</f>
        <v>97740000</v>
      </c>
      <c r="M18" s="44">
        <f t="shared" ref="M18" si="24">M17*0.9</f>
        <v>98010000</v>
      </c>
      <c r="N18" s="44">
        <f>N17</f>
        <v>109200000</v>
      </c>
      <c r="O18" s="44">
        <f t="shared" ref="O18:Q18" si="25">O17</f>
        <v>109500000</v>
      </c>
      <c r="P18" s="44">
        <f t="shared" si="25"/>
        <v>109500000</v>
      </c>
      <c r="Q18" s="44">
        <f t="shared" si="25"/>
        <v>106215000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71" workbookViewId="0">
      <selection activeCell="B77" sqref="B77"/>
    </sheetView>
  </sheetViews>
  <sheetFormatPr defaultColWidth="8.86328125" defaultRowHeight="14.25" x14ac:dyDescent="0.45"/>
  <cols>
    <col min="1" max="1" width="86.3984375" customWidth="1"/>
    <col min="2" max="2" width="14.1328125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  <col min="15" max="15" width="15.3984375" customWidth="1"/>
    <col min="16" max="16" width="14.86328125" customWidth="1"/>
    <col min="17" max="17" width="14.265625" customWidth="1"/>
    <col min="18" max="18" width="17" customWidth="1"/>
    <col min="19" max="19" width="16.86328125" customWidth="1"/>
  </cols>
  <sheetData>
    <row r="1" spans="1:17" s="16" customFormat="1" ht="26.85" customHeight="1" x14ac:dyDescent="0.4">
      <c r="A1" s="15" t="s">
        <v>90</v>
      </c>
    </row>
    <row r="2" spans="1:17" s="17" customFormat="1" ht="13.15" x14ac:dyDescent="0.4">
      <c r="A2" s="17" t="s">
        <v>58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</row>
    <row r="3" spans="1:17" s="17" customFormat="1" ht="13.15" x14ac:dyDescent="0.4"/>
    <row r="4" spans="1:17" s="40" customFormat="1" ht="29.1" customHeight="1" x14ac:dyDescent="0.4">
      <c r="A4" s="24" t="s">
        <v>166</v>
      </c>
      <c r="B4" s="41">
        <v>0</v>
      </c>
      <c r="C4" s="41">
        <v>0</v>
      </c>
      <c r="D4" s="41">
        <v>5589000</v>
      </c>
      <c r="E4" s="41">
        <v>11056500</v>
      </c>
      <c r="F4" s="41">
        <v>21870000</v>
      </c>
      <c r="G4" s="41">
        <v>43740000</v>
      </c>
      <c r="H4" s="41">
        <v>61560000</v>
      </c>
      <c r="I4" s="41">
        <v>70605000</v>
      </c>
      <c r="J4" s="41">
        <v>79650000</v>
      </c>
      <c r="K4" s="41">
        <v>88695000</v>
      </c>
      <c r="L4" s="41">
        <v>97740000</v>
      </c>
      <c r="M4" s="41">
        <v>98010000</v>
      </c>
      <c r="N4" s="41">
        <v>109200000</v>
      </c>
      <c r="O4" s="41">
        <v>109500000</v>
      </c>
      <c r="P4" s="41">
        <v>109500000</v>
      </c>
      <c r="Q4" s="41">
        <v>106215000</v>
      </c>
    </row>
    <row r="5" spans="1:17" s="16" customFormat="1" ht="12.75" x14ac:dyDescent="0.35">
      <c r="A5" s="16" t="s">
        <v>4</v>
      </c>
    </row>
    <row r="6" spans="1:17" s="16" customFormat="1" ht="12.75" x14ac:dyDescent="0.35">
      <c r="A6" s="16" t="s">
        <v>167</v>
      </c>
      <c r="B6" s="21">
        <v>2000000</v>
      </c>
      <c r="C6" s="21">
        <v>2000000</v>
      </c>
      <c r="D6" s="22">
        <f>D4*0.1769*0.3</f>
        <v>296608.23</v>
      </c>
      <c r="E6" s="22">
        <f>E4*0.1769*0.3</f>
        <v>586768.45499999996</v>
      </c>
      <c r="F6" s="22">
        <f t="shared" ref="F6:Q6" si="0">F4*0.1769*0.3</f>
        <v>1160640.8999999999</v>
      </c>
      <c r="G6" s="22">
        <f t="shared" si="0"/>
        <v>2321281.7999999998</v>
      </c>
      <c r="H6" s="22">
        <f t="shared" si="0"/>
        <v>3266989.1999999997</v>
      </c>
      <c r="I6" s="22">
        <f t="shared" si="0"/>
        <v>3747007.35</v>
      </c>
      <c r="J6" s="22">
        <f t="shared" si="0"/>
        <v>4227025.5</v>
      </c>
      <c r="K6" s="22">
        <f t="shared" si="0"/>
        <v>4707043.6499999994</v>
      </c>
      <c r="L6" s="22">
        <f t="shared" si="0"/>
        <v>5187061.8</v>
      </c>
      <c r="M6" s="22">
        <f t="shared" si="0"/>
        <v>5201390.7</v>
      </c>
      <c r="N6" s="22">
        <f t="shared" si="0"/>
        <v>5795244</v>
      </c>
      <c r="O6" s="22">
        <f t="shared" si="0"/>
        <v>5811165</v>
      </c>
      <c r="P6" s="22">
        <f>P4*0.1769*0.3</f>
        <v>5811165</v>
      </c>
      <c r="Q6" s="22">
        <f t="shared" si="0"/>
        <v>5636830.0499999998</v>
      </c>
    </row>
    <row r="7" spans="1:17" s="16" customFormat="1" ht="12.75" x14ac:dyDescent="0.35">
      <c r="A7" s="16" t="s">
        <v>59</v>
      </c>
      <c r="B7" s="18">
        <f>1604000*4</f>
        <v>6416000</v>
      </c>
      <c r="C7" s="18">
        <f>1604000*4</f>
        <v>6416000</v>
      </c>
    </row>
    <row r="8" spans="1:17" s="16" customFormat="1" ht="12.75" x14ac:dyDescent="0.35">
      <c r="A8" s="16" t="s">
        <v>9</v>
      </c>
    </row>
    <row r="9" spans="1:17" s="16" customFormat="1" ht="32.85" customHeight="1" x14ac:dyDescent="0.4">
      <c r="A9" s="24" t="s">
        <v>60</v>
      </c>
      <c r="B9" s="21">
        <f>B4-B5-B6-B7-B8</f>
        <v>-8416000</v>
      </c>
      <c r="C9" s="21">
        <f t="shared" ref="C9:K9" si="1">C4-C5-C6-C7-C8</f>
        <v>-8416000</v>
      </c>
      <c r="D9" s="21">
        <f t="shared" si="1"/>
        <v>5292391.7699999996</v>
      </c>
      <c r="E9" s="21">
        <f t="shared" si="1"/>
        <v>10469731.545</v>
      </c>
      <c r="F9" s="21">
        <f t="shared" si="1"/>
        <v>20709359.100000001</v>
      </c>
      <c r="G9" s="21">
        <f t="shared" si="1"/>
        <v>41418718.200000003</v>
      </c>
      <c r="H9" s="21">
        <f t="shared" si="1"/>
        <v>58293010.799999997</v>
      </c>
      <c r="I9" s="21">
        <f t="shared" si="1"/>
        <v>66857992.649999999</v>
      </c>
      <c r="J9" s="21">
        <f t="shared" si="1"/>
        <v>75422974.5</v>
      </c>
      <c r="K9" s="21">
        <f t="shared" si="1"/>
        <v>83987956.349999994</v>
      </c>
      <c r="L9" s="21">
        <f>L4-L5-L6-L7-L8</f>
        <v>92552938.200000003</v>
      </c>
      <c r="M9" s="21">
        <f t="shared" ref="M9" si="2">M4-M5-M6-M7-M8</f>
        <v>92808609.299999997</v>
      </c>
      <c r="N9" s="21">
        <f t="shared" ref="N9" si="3">N4-N5-N6-N7-N8</f>
        <v>103404756</v>
      </c>
      <c r="O9" s="21">
        <f t="shared" ref="O9" si="4">O4-O5-O6-O7-O8</f>
        <v>103688835</v>
      </c>
      <c r="P9" s="21">
        <f t="shared" ref="P9" si="5">P4-P5-P6-P7-P8</f>
        <v>103688835</v>
      </c>
      <c r="Q9" s="21">
        <f t="shared" ref="Q9" si="6">Q4-Q5-Q6-Q7-Q8</f>
        <v>100578169.95</v>
      </c>
    </row>
    <row r="10" spans="1:17" s="16" customFormat="1" ht="12.75" x14ac:dyDescent="0.35">
      <c r="A10" s="16" t="s">
        <v>88</v>
      </c>
      <c r="B10" s="21">
        <v>8000</v>
      </c>
      <c r="C10" s="21">
        <v>8000</v>
      </c>
      <c r="D10" s="18">
        <f>D4*0.073</f>
        <v>407997</v>
      </c>
      <c r="E10" s="18">
        <f t="shared" ref="E10:Q10" si="7">E4*0.073</f>
        <v>807124.5</v>
      </c>
      <c r="F10" s="18">
        <f t="shared" si="7"/>
        <v>1596510</v>
      </c>
      <c r="G10" s="18">
        <f t="shared" si="7"/>
        <v>3193020</v>
      </c>
      <c r="H10" s="18">
        <f t="shared" si="7"/>
        <v>4493880</v>
      </c>
      <c r="I10" s="18">
        <f t="shared" si="7"/>
        <v>5154165</v>
      </c>
      <c r="J10" s="18">
        <f t="shared" si="7"/>
        <v>5814450</v>
      </c>
      <c r="K10" s="18">
        <f t="shared" si="7"/>
        <v>6474735</v>
      </c>
      <c r="L10" s="18">
        <f t="shared" si="7"/>
        <v>7135020</v>
      </c>
      <c r="M10" s="18">
        <f t="shared" si="7"/>
        <v>7154730</v>
      </c>
      <c r="N10" s="18">
        <f t="shared" si="7"/>
        <v>7971599.9999999991</v>
      </c>
      <c r="O10" s="18">
        <f t="shared" si="7"/>
        <v>7993499.9999999991</v>
      </c>
      <c r="P10" s="18">
        <f t="shared" si="7"/>
        <v>7993499.9999999991</v>
      </c>
      <c r="Q10" s="18">
        <f t="shared" si="7"/>
        <v>7753694.9999999991</v>
      </c>
    </row>
    <row r="11" spans="1:17" s="16" customFormat="1" ht="33.6" customHeight="1" x14ac:dyDescent="0.4">
      <c r="A11" s="19" t="s">
        <v>61</v>
      </c>
      <c r="B11" s="21">
        <f>B9-B10</f>
        <v>-8424000</v>
      </c>
      <c r="C11" s="21">
        <f t="shared" ref="C11:I11" si="8">C9-C10</f>
        <v>-8424000</v>
      </c>
      <c r="D11" s="21">
        <f t="shared" si="8"/>
        <v>4884394.7699999996</v>
      </c>
      <c r="E11" s="21">
        <f t="shared" si="8"/>
        <v>9662607.0449999999</v>
      </c>
      <c r="F11" s="21">
        <f t="shared" si="8"/>
        <v>19112849.100000001</v>
      </c>
      <c r="G11" s="21">
        <f t="shared" si="8"/>
        <v>38225698.200000003</v>
      </c>
      <c r="H11" s="21">
        <f t="shared" si="8"/>
        <v>53799130.799999997</v>
      </c>
      <c r="I11" s="21">
        <f t="shared" si="8"/>
        <v>61703827.649999999</v>
      </c>
      <c r="J11" s="21">
        <f t="shared" ref="J11" si="9">J9-J10</f>
        <v>69608524.5</v>
      </c>
      <c r="K11" s="21">
        <f t="shared" ref="K11" si="10">K9-K10</f>
        <v>77513221.349999994</v>
      </c>
      <c r="L11" s="21">
        <f t="shared" ref="L11" si="11">L9-L10</f>
        <v>85417918.200000003</v>
      </c>
      <c r="M11" s="21">
        <f t="shared" ref="M11" si="12">M9-M10</f>
        <v>85653879.299999997</v>
      </c>
      <c r="N11" s="21">
        <f t="shared" ref="N11" si="13">N9-N10</f>
        <v>95433156</v>
      </c>
      <c r="O11" s="21">
        <f t="shared" ref="O11:P11" si="14">O9-O10</f>
        <v>95695335</v>
      </c>
      <c r="P11" s="21">
        <f t="shared" si="14"/>
        <v>95695335</v>
      </c>
      <c r="Q11" s="21">
        <f>Q9-Q10</f>
        <v>92824474.950000003</v>
      </c>
    </row>
    <row r="12" spans="1:17" s="16" customFormat="1" ht="12.75" x14ac:dyDescent="0.35">
      <c r="A12" s="16" t="s">
        <v>62</v>
      </c>
    </row>
    <row r="13" spans="1:17" s="16" customFormat="1" ht="12.75" x14ac:dyDescent="0.35">
      <c r="A13" s="16" t="s">
        <v>63</v>
      </c>
    </row>
    <row r="14" spans="1:17" s="16" customFormat="1" ht="12.75" x14ac:dyDescent="0.35">
      <c r="A14" s="16" t="s">
        <v>86</v>
      </c>
      <c r="B14" s="21"/>
      <c r="C14" s="21"/>
    </row>
    <row r="15" spans="1:17" s="16" customFormat="1" ht="12.75" x14ac:dyDescent="0.35">
      <c r="A15" s="16" t="s">
        <v>64</v>
      </c>
    </row>
    <row r="16" spans="1:17" s="16" customFormat="1" ht="12.75" x14ac:dyDescent="0.35">
      <c r="A16" s="16" t="s">
        <v>65</v>
      </c>
    </row>
    <row r="17" spans="1:17" s="16" customFormat="1" ht="12.75" x14ac:dyDescent="0.35">
      <c r="A17" s="16" t="s">
        <v>66</v>
      </c>
    </row>
    <row r="18" spans="1:17" s="16" customFormat="1" ht="12.75" x14ac:dyDescent="0.35">
      <c r="A18" s="16" t="s">
        <v>87</v>
      </c>
      <c r="B18" s="21"/>
    </row>
    <row r="19" spans="1:17" s="16" customFormat="1" ht="31.35" customHeight="1" x14ac:dyDescent="0.4">
      <c r="A19" s="24" t="s">
        <v>67</v>
      </c>
      <c r="B19" s="21"/>
      <c r="C19" s="21"/>
    </row>
    <row r="20" spans="1:17" s="16" customFormat="1" ht="12.75" x14ac:dyDescent="0.35">
      <c r="A20" s="16" t="s">
        <v>68</v>
      </c>
    </row>
    <row r="21" spans="1:17" s="16" customFormat="1" ht="12.75" x14ac:dyDescent="0.35">
      <c r="A21" s="16" t="s">
        <v>69</v>
      </c>
    </row>
    <row r="22" spans="1:17" s="16" customFormat="1" ht="29.85" customHeight="1" x14ac:dyDescent="0.4">
      <c r="A22" s="19" t="s">
        <v>70</v>
      </c>
      <c r="B22" s="21"/>
      <c r="C22" s="21"/>
    </row>
    <row r="23" spans="1:17" s="16" customFormat="1" ht="12.75" x14ac:dyDescent="0.35">
      <c r="A23" s="16" t="s">
        <v>71</v>
      </c>
    </row>
    <row r="24" spans="1:17" s="16" customFormat="1" ht="32.1" customHeight="1" x14ac:dyDescent="0.4">
      <c r="A24" s="24" t="s">
        <v>138</v>
      </c>
      <c r="B24" s="21">
        <f>B11</f>
        <v>-8424000</v>
      </c>
      <c r="C24" s="21">
        <f>C11</f>
        <v>-8424000</v>
      </c>
      <c r="D24" s="18">
        <f>D4*0.175</f>
        <v>978074.99999999988</v>
      </c>
      <c r="E24" s="18">
        <f t="shared" ref="E24:Q24" si="15">E4*0.175</f>
        <v>1934887.4999999998</v>
      </c>
      <c r="F24" s="18">
        <f t="shared" si="15"/>
        <v>3827249.9999999995</v>
      </c>
      <c r="G24" s="18">
        <f t="shared" si="15"/>
        <v>7654499.9999999991</v>
      </c>
      <c r="H24" s="18">
        <f t="shared" si="15"/>
        <v>10773000</v>
      </c>
      <c r="I24" s="18">
        <f t="shared" si="15"/>
        <v>12355875</v>
      </c>
      <c r="J24" s="18">
        <f t="shared" si="15"/>
        <v>13938750</v>
      </c>
      <c r="K24" s="18">
        <f t="shared" si="15"/>
        <v>15521624.999999998</v>
      </c>
      <c r="L24" s="18">
        <f t="shared" si="15"/>
        <v>17104500</v>
      </c>
      <c r="M24" s="18">
        <f t="shared" si="15"/>
        <v>17151750</v>
      </c>
      <c r="N24" s="18">
        <f t="shared" si="15"/>
        <v>19110000</v>
      </c>
      <c r="O24" s="18">
        <f t="shared" si="15"/>
        <v>19162500</v>
      </c>
      <c r="P24" s="18">
        <f>P4*0.175</f>
        <v>19162500</v>
      </c>
      <c r="Q24" s="18">
        <f t="shared" si="15"/>
        <v>18587625</v>
      </c>
    </row>
    <row r="25" spans="1:17" s="16" customFormat="1" ht="12.75" x14ac:dyDescent="0.35">
      <c r="A25" s="16" t="s">
        <v>72</v>
      </c>
    </row>
    <row r="26" spans="1:17" s="16" customFormat="1" ht="29.1" customHeight="1" x14ac:dyDescent="0.4">
      <c r="A26" s="19" t="s">
        <v>73</v>
      </c>
      <c r="B26" s="21">
        <f>B24-B25</f>
        <v>-8424000</v>
      </c>
      <c r="C26" s="21">
        <f>C24-C25</f>
        <v>-8424000</v>
      </c>
      <c r="D26" s="21">
        <f t="shared" ref="D26:P26" si="16">D24-D25</f>
        <v>978074.99999999988</v>
      </c>
      <c r="E26" s="21">
        <f t="shared" si="16"/>
        <v>1934887.4999999998</v>
      </c>
      <c r="F26" s="21">
        <f t="shared" si="16"/>
        <v>3827249.9999999995</v>
      </c>
      <c r="G26" s="21">
        <f t="shared" si="16"/>
        <v>7654499.9999999991</v>
      </c>
      <c r="H26" s="21">
        <f t="shared" si="16"/>
        <v>10773000</v>
      </c>
      <c r="I26" s="21">
        <f t="shared" si="16"/>
        <v>12355875</v>
      </c>
      <c r="J26" s="21">
        <f t="shared" si="16"/>
        <v>13938750</v>
      </c>
      <c r="K26" s="21">
        <f t="shared" si="16"/>
        <v>15521624.999999998</v>
      </c>
      <c r="L26" s="21">
        <f t="shared" si="16"/>
        <v>17104500</v>
      </c>
      <c r="M26" s="21">
        <f t="shared" si="16"/>
        <v>17151750</v>
      </c>
      <c r="N26" s="21">
        <f t="shared" si="16"/>
        <v>19110000</v>
      </c>
      <c r="O26" s="21">
        <f t="shared" si="16"/>
        <v>19162500</v>
      </c>
      <c r="P26" s="21">
        <f t="shared" si="16"/>
        <v>19162500</v>
      </c>
      <c r="Q26" s="21">
        <f>Q24-Q25</f>
        <v>18587625</v>
      </c>
    </row>
    <row r="27" spans="1:17" s="16" customFormat="1" ht="12.75" x14ac:dyDescent="0.35">
      <c r="A27" s="16" t="s">
        <v>74</v>
      </c>
    </row>
    <row r="28" spans="1:17" s="16" customFormat="1" ht="35.1" customHeight="1" x14ac:dyDescent="0.4">
      <c r="A28" s="24" t="s">
        <v>75</v>
      </c>
      <c r="B28" s="21">
        <f>B26-B27</f>
        <v>-8424000</v>
      </c>
      <c r="C28" s="21">
        <f>C26-C27</f>
        <v>-8424000</v>
      </c>
      <c r="D28" s="21">
        <f t="shared" ref="D28:J28" si="17">D26-D27</f>
        <v>978074.99999999988</v>
      </c>
      <c r="E28" s="21">
        <f t="shared" si="17"/>
        <v>1934887.4999999998</v>
      </c>
      <c r="F28" s="21">
        <f t="shared" si="17"/>
        <v>3827249.9999999995</v>
      </c>
      <c r="G28" s="21">
        <f t="shared" si="17"/>
        <v>7654499.9999999991</v>
      </c>
      <c r="H28" s="21">
        <f t="shared" si="17"/>
        <v>10773000</v>
      </c>
      <c r="I28" s="21">
        <f t="shared" si="17"/>
        <v>12355875</v>
      </c>
      <c r="J28" s="21">
        <f t="shared" si="17"/>
        <v>13938750</v>
      </c>
      <c r="K28" s="21">
        <f>K26-K27</f>
        <v>15521624.999999998</v>
      </c>
      <c r="L28" s="21">
        <f t="shared" ref="L28" si="18">L26-L27</f>
        <v>17104500</v>
      </c>
      <c r="M28" s="21">
        <f t="shared" ref="M28" si="19">M26-M27</f>
        <v>17151750</v>
      </c>
      <c r="N28" s="21">
        <f t="shared" ref="N28" si="20">N26-N27</f>
        <v>19110000</v>
      </c>
      <c r="O28" s="21">
        <f>O26-O27</f>
        <v>19162500</v>
      </c>
      <c r="P28" s="21">
        <f t="shared" ref="P28" si="21">P26-P27</f>
        <v>19162500</v>
      </c>
      <c r="Q28" s="21">
        <f t="shared" ref="Q28" si="22">Q26-Q27</f>
        <v>18587625</v>
      </c>
    </row>
    <row r="29" spans="1:17" s="20" customFormat="1" ht="12.75" x14ac:dyDescent="0.35"/>
    <row r="30" spans="1:17" s="16" customFormat="1" ht="26.1" customHeight="1" x14ac:dyDescent="0.4">
      <c r="A30" s="15" t="s">
        <v>91</v>
      </c>
      <c r="B30" s="23"/>
    </row>
    <row r="31" spans="1:17" s="16" customFormat="1" ht="24.75" customHeight="1" x14ac:dyDescent="0.4">
      <c r="A31" s="24" t="s">
        <v>161</v>
      </c>
      <c r="B31" s="21">
        <f>B24</f>
        <v>-8424000</v>
      </c>
      <c r="C31" s="21">
        <f t="shared" ref="C31:Q31" si="23">C24</f>
        <v>-8424000</v>
      </c>
      <c r="D31" s="21">
        <f t="shared" si="23"/>
        <v>978074.99999999988</v>
      </c>
      <c r="E31" s="21">
        <f t="shared" si="23"/>
        <v>1934887.4999999998</v>
      </c>
      <c r="F31" s="21">
        <f t="shared" si="23"/>
        <v>3827249.9999999995</v>
      </c>
      <c r="G31" s="21">
        <f t="shared" si="23"/>
        <v>7654499.9999999991</v>
      </c>
      <c r="H31" s="21">
        <f t="shared" si="23"/>
        <v>10773000</v>
      </c>
      <c r="I31" s="21">
        <f t="shared" si="23"/>
        <v>12355875</v>
      </c>
      <c r="J31" s="21">
        <f t="shared" si="23"/>
        <v>13938750</v>
      </c>
      <c r="K31" s="21">
        <f t="shared" si="23"/>
        <v>15521624.999999998</v>
      </c>
      <c r="L31" s="21">
        <f t="shared" si="23"/>
        <v>17104500</v>
      </c>
      <c r="M31" s="21">
        <f t="shared" si="23"/>
        <v>17151750</v>
      </c>
      <c r="N31" s="21">
        <f t="shared" si="23"/>
        <v>19110000</v>
      </c>
      <c r="O31" s="21">
        <f t="shared" si="23"/>
        <v>19162500</v>
      </c>
      <c r="P31" s="21">
        <f t="shared" si="23"/>
        <v>19162500</v>
      </c>
      <c r="Q31" s="21">
        <f t="shared" si="23"/>
        <v>18587625</v>
      </c>
    </row>
    <row r="32" spans="1:17" s="16" customFormat="1" ht="12.75" x14ac:dyDescent="0.35">
      <c r="A32" s="16" t="s">
        <v>76</v>
      </c>
    </row>
    <row r="33" spans="1:17" s="16" customFormat="1" ht="33.6" customHeight="1" x14ac:dyDescent="0.4">
      <c r="A33" s="19" t="s">
        <v>77</v>
      </c>
      <c r="B33" s="21">
        <f>B31-B32</f>
        <v>-8424000</v>
      </c>
      <c r="C33" s="21">
        <f t="shared" ref="C33:N33" si="24">C31-C32</f>
        <v>-8424000</v>
      </c>
      <c r="D33" s="21">
        <f t="shared" si="24"/>
        <v>978074.99999999988</v>
      </c>
      <c r="E33" s="21">
        <f t="shared" si="24"/>
        <v>1934887.4999999998</v>
      </c>
      <c r="F33" s="21">
        <f t="shared" si="24"/>
        <v>3827249.9999999995</v>
      </c>
      <c r="G33" s="21">
        <f t="shared" si="24"/>
        <v>7654499.9999999991</v>
      </c>
      <c r="H33" s="21">
        <f t="shared" si="24"/>
        <v>10773000</v>
      </c>
      <c r="I33" s="21">
        <f t="shared" si="24"/>
        <v>12355875</v>
      </c>
      <c r="J33" s="21">
        <f t="shared" si="24"/>
        <v>13938750</v>
      </c>
      <c r="K33" s="21">
        <f t="shared" si="24"/>
        <v>15521624.999999998</v>
      </c>
      <c r="L33" s="21">
        <f t="shared" si="24"/>
        <v>17104500</v>
      </c>
      <c r="M33" s="21">
        <f t="shared" si="24"/>
        <v>17151750</v>
      </c>
      <c r="N33" s="21">
        <f t="shared" si="24"/>
        <v>19110000</v>
      </c>
      <c r="O33" s="21">
        <f>O31-O32</f>
        <v>19162500</v>
      </c>
      <c r="P33" s="21">
        <f t="shared" ref="P33" si="25">P31-P32</f>
        <v>19162500</v>
      </c>
      <c r="Q33" s="21">
        <f>Q31-Q32</f>
        <v>18587625</v>
      </c>
    </row>
    <row r="34" spans="1:17" s="16" customFormat="1" ht="12.75" x14ac:dyDescent="0.35">
      <c r="A34" s="16" t="s">
        <v>78</v>
      </c>
    </row>
    <row r="35" spans="1:17" s="16" customFormat="1" ht="12.75" x14ac:dyDescent="0.35">
      <c r="A35" s="16" t="s">
        <v>79</v>
      </c>
    </row>
    <row r="36" spans="1:17" s="16" customFormat="1" ht="12.75" x14ac:dyDescent="0.35">
      <c r="A36" s="16" t="s">
        <v>80</v>
      </c>
    </row>
    <row r="37" spans="1:17" s="16" customFormat="1" ht="12.75" x14ac:dyDescent="0.35">
      <c r="A37" s="16" t="s">
        <v>81</v>
      </c>
    </row>
    <row r="38" spans="1:17" s="16" customFormat="1" ht="12.75" x14ac:dyDescent="0.35">
      <c r="A38" s="16" t="s">
        <v>82</v>
      </c>
    </row>
    <row r="39" spans="1:17" s="16" customFormat="1" ht="12.75" x14ac:dyDescent="0.35">
      <c r="A39" s="16" t="s">
        <v>83</v>
      </c>
    </row>
    <row r="40" spans="1:17" s="16" customFormat="1" ht="12.75" x14ac:dyDescent="0.35">
      <c r="A40" s="16" t="s">
        <v>65</v>
      </c>
    </row>
    <row r="41" spans="1:17" s="16" customFormat="1" ht="12.75" x14ac:dyDescent="0.35">
      <c r="A41" s="16" t="s">
        <v>84</v>
      </c>
    </row>
    <row r="42" spans="1:17" s="16" customFormat="1" ht="12.75" x14ac:dyDescent="0.35">
      <c r="A42" s="16" t="s">
        <v>89</v>
      </c>
      <c r="B42" s="21"/>
      <c r="C42" s="21"/>
    </row>
    <row r="43" spans="1:17" s="16" customFormat="1" ht="12.75" x14ac:dyDescent="0.35">
      <c r="A43" s="16" t="s">
        <v>85</v>
      </c>
    </row>
    <row r="44" spans="1:17" s="16" customFormat="1" ht="32.85" customHeight="1" x14ac:dyDescent="0.4">
      <c r="A44" s="24" t="s">
        <v>139</v>
      </c>
      <c r="B44" s="21">
        <v>-6082000</v>
      </c>
      <c r="C44" s="21">
        <v>-6082000</v>
      </c>
      <c r="D44" s="21">
        <f>D33</f>
        <v>978074.99999999988</v>
      </c>
      <c r="E44" s="21">
        <f t="shared" ref="E44:Q44" si="26">E33</f>
        <v>1934887.4999999998</v>
      </c>
      <c r="F44" s="21">
        <f t="shared" si="26"/>
        <v>3827249.9999999995</v>
      </c>
      <c r="G44" s="21">
        <f t="shared" si="26"/>
        <v>7654499.9999999991</v>
      </c>
      <c r="H44" s="21">
        <f t="shared" si="26"/>
        <v>10773000</v>
      </c>
      <c r="I44" s="21">
        <f t="shared" si="26"/>
        <v>12355875</v>
      </c>
      <c r="J44" s="21">
        <f t="shared" si="26"/>
        <v>13938750</v>
      </c>
      <c r="K44" s="21">
        <f t="shared" si="26"/>
        <v>15521624.999999998</v>
      </c>
      <c r="L44" s="21">
        <f>L33</f>
        <v>17104500</v>
      </c>
      <c r="M44" s="21">
        <f t="shared" si="26"/>
        <v>17151750</v>
      </c>
      <c r="N44" s="21">
        <f t="shared" si="26"/>
        <v>19110000</v>
      </c>
      <c r="O44" s="21">
        <f t="shared" si="26"/>
        <v>19162500</v>
      </c>
      <c r="P44" s="21">
        <f>P33</f>
        <v>19162500</v>
      </c>
      <c r="Q44" s="21">
        <f t="shared" si="26"/>
        <v>18587625</v>
      </c>
    </row>
    <row r="45" spans="1:17" s="27" customFormat="1" x14ac:dyDescent="0.45"/>
    <row r="46" spans="1:17" x14ac:dyDescent="0.45">
      <c r="A46" s="28" t="s">
        <v>92</v>
      </c>
      <c r="B46" s="34"/>
    </row>
    <row r="47" spans="1:17" x14ac:dyDescent="0.45">
      <c r="A47" s="39" t="s">
        <v>53</v>
      </c>
      <c r="B47" s="4">
        <f>B44</f>
        <v>-6082000</v>
      </c>
      <c r="C47" s="4">
        <f t="shared" ref="C47:Q47" si="27">C44</f>
        <v>-6082000</v>
      </c>
      <c r="D47" s="4">
        <f t="shared" si="27"/>
        <v>978074.99999999988</v>
      </c>
      <c r="E47" s="4">
        <f t="shared" si="27"/>
        <v>1934887.4999999998</v>
      </c>
      <c r="F47" s="4">
        <f t="shared" si="27"/>
        <v>3827249.9999999995</v>
      </c>
      <c r="G47" s="4">
        <f t="shared" si="27"/>
        <v>7654499.9999999991</v>
      </c>
      <c r="H47" s="4">
        <f t="shared" si="27"/>
        <v>10773000</v>
      </c>
      <c r="I47" s="4">
        <f t="shared" si="27"/>
        <v>12355875</v>
      </c>
      <c r="J47" s="4">
        <f t="shared" si="27"/>
        <v>13938750</v>
      </c>
      <c r="K47" s="4">
        <f t="shared" si="27"/>
        <v>15521624.999999998</v>
      </c>
      <c r="L47" s="4">
        <f>L44</f>
        <v>17104500</v>
      </c>
      <c r="M47" s="4">
        <f t="shared" si="27"/>
        <v>17151750</v>
      </c>
      <c r="N47" s="4">
        <f t="shared" si="27"/>
        <v>19110000</v>
      </c>
      <c r="O47" s="4">
        <f t="shared" si="27"/>
        <v>19162500</v>
      </c>
      <c r="P47" s="4">
        <f t="shared" si="27"/>
        <v>19162500</v>
      </c>
      <c r="Q47" s="4">
        <f t="shared" si="27"/>
        <v>18587625</v>
      </c>
    </row>
    <row r="48" spans="1:17" s="14" customFormat="1" x14ac:dyDescent="0.45">
      <c r="A48" s="3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45">
      <c r="A49" s="38" t="s">
        <v>97</v>
      </c>
    </row>
    <row r="50" spans="1:17" x14ac:dyDescent="0.45">
      <c r="A50" s="35" t="s">
        <v>88</v>
      </c>
      <c r="B50">
        <v>8000</v>
      </c>
      <c r="C50" s="14">
        <v>8000</v>
      </c>
      <c r="D50" s="3">
        <v>407997</v>
      </c>
      <c r="E50" s="3">
        <v>807124.5</v>
      </c>
      <c r="F50" s="3">
        <v>1596510</v>
      </c>
      <c r="G50" s="3">
        <v>3193020</v>
      </c>
      <c r="H50" s="3">
        <v>4493880</v>
      </c>
      <c r="I50" s="3">
        <v>5154165</v>
      </c>
      <c r="J50" s="3">
        <v>5814450</v>
      </c>
      <c r="K50" s="3">
        <v>6474735</v>
      </c>
      <c r="L50" s="3">
        <v>7135020</v>
      </c>
      <c r="M50" s="3">
        <v>7154730</v>
      </c>
      <c r="N50" s="3">
        <v>7971599.9999999991</v>
      </c>
      <c r="O50" s="3">
        <v>7993499.9999999991</v>
      </c>
      <c r="P50" s="3">
        <v>7993499.9999999991</v>
      </c>
      <c r="Q50" s="3">
        <v>7753694.9999999991</v>
      </c>
    </row>
    <row r="51" spans="1:17" x14ac:dyDescent="0.45">
      <c r="A51" s="35"/>
    </row>
    <row r="52" spans="1:17" x14ac:dyDescent="0.45">
      <c r="A52" s="38" t="s">
        <v>103</v>
      </c>
      <c r="B52" s="4">
        <v>1000000</v>
      </c>
      <c r="C52" s="4">
        <v>2000000</v>
      </c>
      <c r="D52" s="3">
        <f t="shared" ref="D52:Q52" si="28">D4*0.2</f>
        <v>1117800</v>
      </c>
      <c r="E52" s="3">
        <f t="shared" si="28"/>
        <v>2211300</v>
      </c>
      <c r="F52" s="3">
        <f t="shared" si="28"/>
        <v>4374000</v>
      </c>
      <c r="G52" s="3">
        <f t="shared" si="28"/>
        <v>8748000</v>
      </c>
      <c r="H52" s="3">
        <f t="shared" si="28"/>
        <v>12312000</v>
      </c>
      <c r="I52" s="3">
        <f t="shared" si="28"/>
        <v>14121000</v>
      </c>
      <c r="J52" s="3">
        <f t="shared" si="28"/>
        <v>15930000</v>
      </c>
      <c r="K52" s="3">
        <f t="shared" si="28"/>
        <v>17739000</v>
      </c>
      <c r="L52" s="3">
        <f t="shared" si="28"/>
        <v>19548000</v>
      </c>
      <c r="M52" s="3">
        <f t="shared" si="28"/>
        <v>19602000</v>
      </c>
      <c r="N52" s="3">
        <f t="shared" si="28"/>
        <v>21840000</v>
      </c>
      <c r="O52" s="3">
        <f t="shared" si="28"/>
        <v>21900000</v>
      </c>
      <c r="P52" s="3">
        <f t="shared" si="28"/>
        <v>21900000</v>
      </c>
      <c r="Q52" s="3">
        <f t="shared" si="28"/>
        <v>21243000</v>
      </c>
    </row>
    <row r="53" spans="1:17" x14ac:dyDescent="0.45">
      <c r="A53" s="35" t="s">
        <v>98</v>
      </c>
      <c r="B53" s="4">
        <v>1000000</v>
      </c>
      <c r="C53" s="4">
        <v>2000000</v>
      </c>
    </row>
    <row r="54" spans="1:17" x14ac:dyDescent="0.45">
      <c r="A54" s="35" t="s">
        <v>99</v>
      </c>
    </row>
    <row r="55" spans="1:17" x14ac:dyDescent="0.45">
      <c r="A55" s="35" t="s">
        <v>100</v>
      </c>
    </row>
    <row r="56" spans="1:17" x14ac:dyDescent="0.45">
      <c r="A56" s="35" t="s">
        <v>101</v>
      </c>
    </row>
    <row r="57" spans="1:17" x14ac:dyDescent="0.45">
      <c r="A57" s="42" t="s">
        <v>104</v>
      </c>
      <c r="B57">
        <v>0</v>
      </c>
      <c r="C57">
        <v>0</v>
      </c>
      <c r="D57" s="4">
        <f t="shared" ref="D57:Q57" si="29">D4*0.25</f>
        <v>1397250</v>
      </c>
      <c r="E57" s="4">
        <f t="shared" si="29"/>
        <v>2764125</v>
      </c>
      <c r="F57" s="4">
        <f t="shared" si="29"/>
        <v>5467500</v>
      </c>
      <c r="G57" s="4">
        <f t="shared" si="29"/>
        <v>10935000</v>
      </c>
      <c r="H57" s="4">
        <f t="shared" si="29"/>
        <v>15390000</v>
      </c>
      <c r="I57" s="4">
        <f t="shared" si="29"/>
        <v>17651250</v>
      </c>
      <c r="J57" s="4">
        <f t="shared" si="29"/>
        <v>19912500</v>
      </c>
      <c r="K57" s="4">
        <f t="shared" si="29"/>
        <v>22173750</v>
      </c>
      <c r="L57" s="4">
        <f t="shared" si="29"/>
        <v>24435000</v>
      </c>
      <c r="M57" s="4">
        <f t="shared" si="29"/>
        <v>24502500</v>
      </c>
      <c r="N57" s="4">
        <f t="shared" si="29"/>
        <v>27300000</v>
      </c>
      <c r="O57" s="4">
        <f t="shared" si="29"/>
        <v>27375000</v>
      </c>
      <c r="P57" s="4">
        <f t="shared" si="29"/>
        <v>27375000</v>
      </c>
      <c r="Q57" s="4">
        <f t="shared" si="29"/>
        <v>26553750</v>
      </c>
    </row>
    <row r="58" spans="1:17" x14ac:dyDescent="0.45">
      <c r="A58" s="42" t="s">
        <v>102</v>
      </c>
      <c r="B58">
        <v>0</v>
      </c>
      <c r="C58">
        <v>0</v>
      </c>
      <c r="D58" s="4">
        <f>D57-C57</f>
        <v>1397250</v>
      </c>
      <c r="E58" s="4">
        <f t="shared" ref="E58:I58" si="30">E57-D57</f>
        <v>1366875</v>
      </c>
      <c r="F58" s="4">
        <f t="shared" si="30"/>
        <v>2703375</v>
      </c>
      <c r="G58" s="4">
        <f t="shared" si="30"/>
        <v>5467500</v>
      </c>
      <c r="H58" s="4">
        <f t="shared" si="30"/>
        <v>4455000</v>
      </c>
      <c r="I58" s="4">
        <f t="shared" si="30"/>
        <v>2261250</v>
      </c>
      <c r="J58" s="4">
        <f t="shared" ref="J58" si="31">J57-I57</f>
        <v>2261250</v>
      </c>
      <c r="K58" s="4">
        <f t="shared" ref="K58" si="32">K57-J57</f>
        <v>2261250</v>
      </c>
      <c r="L58" s="4">
        <f t="shared" ref="L58" si="33">L57-K57</f>
        <v>2261250</v>
      </c>
      <c r="M58" s="4">
        <f t="shared" ref="M58" si="34">M57-L57</f>
        <v>67500</v>
      </c>
      <c r="N58" s="4">
        <f t="shared" ref="N58" si="35">N57-M57</f>
        <v>2797500</v>
      </c>
      <c r="O58" s="4">
        <f t="shared" ref="O58" si="36">O57-N57</f>
        <v>75000</v>
      </c>
      <c r="P58" s="4">
        <f t="shared" ref="P58" si="37">P57-O57</f>
        <v>0</v>
      </c>
      <c r="Q58" s="4">
        <f t="shared" ref="Q58" si="38">Q57-P57</f>
        <v>-821250</v>
      </c>
    </row>
    <row r="60" spans="1:17" x14ac:dyDescent="0.45">
      <c r="A60" s="46" t="s">
        <v>131</v>
      </c>
      <c r="B60" s="4">
        <f t="shared" ref="B60:Q60" si="39">B47+B48+B50-B52-B58</f>
        <v>-7074000</v>
      </c>
      <c r="C60" s="4">
        <f t="shared" si="39"/>
        <v>-8074000</v>
      </c>
      <c r="D60" s="4">
        <f t="shared" si="39"/>
        <v>-1128978</v>
      </c>
      <c r="E60" s="4">
        <f t="shared" si="39"/>
        <v>-836163</v>
      </c>
      <c r="F60" s="4">
        <f t="shared" si="39"/>
        <v>-1653615</v>
      </c>
      <c r="G60" s="4">
        <f t="shared" si="39"/>
        <v>-3367980</v>
      </c>
      <c r="H60" s="4">
        <f t="shared" si="39"/>
        <v>-1500120</v>
      </c>
      <c r="I60" s="4">
        <f t="shared" si="39"/>
        <v>1127790</v>
      </c>
      <c r="J60" s="4">
        <f t="shared" si="39"/>
        <v>1561950</v>
      </c>
      <c r="K60" s="4">
        <f t="shared" si="39"/>
        <v>1996110</v>
      </c>
      <c r="L60" s="4">
        <f t="shared" si="39"/>
        <v>2430270</v>
      </c>
      <c r="M60" s="4">
        <f t="shared" si="39"/>
        <v>4636980</v>
      </c>
      <c r="N60" s="4">
        <f t="shared" si="39"/>
        <v>2444100</v>
      </c>
      <c r="O60" s="4">
        <f t="shared" si="39"/>
        <v>5181000</v>
      </c>
      <c r="P60" s="4">
        <f t="shared" si="39"/>
        <v>5256000</v>
      </c>
      <c r="Q60" s="4">
        <f t="shared" si="39"/>
        <v>5919570</v>
      </c>
    </row>
    <row r="61" spans="1:17" x14ac:dyDescent="0.45">
      <c r="A61" t="s">
        <v>0</v>
      </c>
      <c r="B61">
        <v>0.12</v>
      </c>
      <c r="C61" s="14">
        <v>0.12</v>
      </c>
      <c r="D61" s="14">
        <v>0.12</v>
      </c>
      <c r="E61" s="14">
        <v>0.12</v>
      </c>
      <c r="F61" s="14">
        <v>0.12</v>
      </c>
      <c r="G61" s="14">
        <v>0.12</v>
      </c>
      <c r="H61" s="14">
        <v>0.1</v>
      </c>
      <c r="I61" s="14">
        <v>0.1</v>
      </c>
      <c r="J61" s="14">
        <v>0.1</v>
      </c>
      <c r="K61" s="14">
        <v>0.1</v>
      </c>
      <c r="L61" s="14">
        <v>0.1</v>
      </c>
      <c r="M61" s="14">
        <v>0.1</v>
      </c>
      <c r="N61" s="14">
        <v>0.1</v>
      </c>
      <c r="O61" s="14">
        <v>0.1</v>
      </c>
      <c r="P61" s="14">
        <v>0.1</v>
      </c>
      <c r="Q61" s="14">
        <v>0.1</v>
      </c>
    </row>
    <row r="62" spans="1:17" x14ac:dyDescent="0.45">
      <c r="A62" s="45" t="s">
        <v>130</v>
      </c>
      <c r="B62" s="3">
        <f>(B60)/((1+B61)^0.6)</f>
        <v>-6608977.0212790342</v>
      </c>
      <c r="C62" s="3">
        <f>(C60)/((1+C61)^1.6)</f>
        <v>-6735035.8038752209</v>
      </c>
      <c r="D62" s="3">
        <f>(D60)/((1+D61)^2.6)</f>
        <v>-840850.17735361285</v>
      </c>
      <c r="E62" s="3">
        <f>(E60)/((1+E61)^3.6)</f>
        <v>-556040.03833439329</v>
      </c>
      <c r="F62" s="3">
        <f>(F60)/((1+F61)^4.6)</f>
        <v>-981819.15059615811</v>
      </c>
      <c r="G62" s="3">
        <f>(G60)/((1+G61)^5.6)</f>
        <v>-1785453.6353603899</v>
      </c>
      <c r="H62" s="3">
        <f>(H60)/((1+H61)^6.6)</f>
        <v>-799713.22702269955</v>
      </c>
      <c r="I62" s="3">
        <f>(I60)/((1+I61)^7.6)</f>
        <v>546567.53538742976</v>
      </c>
      <c r="J62" s="3">
        <f>(J60)/((1+J61)^8.6)</f>
        <v>688160.96637784422</v>
      </c>
      <c r="K62" s="3">
        <f>(K60)/((1+K61)^9.6)</f>
        <v>799493.05011886591</v>
      </c>
      <c r="L62" s="3">
        <f>(L60)/((1+L61)^10.6)</f>
        <v>884895.65610219876</v>
      </c>
      <c r="M62" s="3">
        <f>(M60)/((1+M61)^11.6)</f>
        <v>1534899.9603982545</v>
      </c>
      <c r="N62" s="3">
        <f>(N60)/((1+N61)^12.6)</f>
        <v>735480.45832522155</v>
      </c>
      <c r="O62" s="3">
        <f>(O60)/((1+O61)^13.6)</f>
        <v>1417336.8351179545</v>
      </c>
      <c r="P62" s="3">
        <f>(P60)/((1+P61)^14.6)</f>
        <v>1307140.1458791683</v>
      </c>
      <c r="Q62" s="3">
        <f>(Q60)/((1+Q61)^15.6)</f>
        <v>1338333.2629967392</v>
      </c>
    </row>
    <row r="64" spans="1:17" x14ac:dyDescent="0.45">
      <c r="A64" s="25" t="s">
        <v>132</v>
      </c>
      <c r="B64" s="60">
        <f>SUM(B62:P62)</f>
        <v>-10393914.446114574</v>
      </c>
    </row>
    <row r="65" spans="1:7" x14ac:dyDescent="0.45">
      <c r="A65" s="27"/>
      <c r="B65" s="27"/>
      <c r="C65" s="27"/>
      <c r="D65" s="27"/>
      <c r="E65" s="27"/>
      <c r="F65" s="27"/>
      <c r="G65" s="27"/>
    </row>
    <row r="66" spans="1:7" ht="15.75" x14ac:dyDescent="0.5">
      <c r="A66" s="57" t="s">
        <v>133</v>
      </c>
    </row>
    <row r="68" spans="1:7" x14ac:dyDescent="0.45">
      <c r="A68" t="s">
        <v>153</v>
      </c>
      <c r="B68" s="44">
        <f>Q47</f>
        <v>18587625</v>
      </c>
    </row>
    <row r="69" spans="1:7" x14ac:dyDescent="0.45">
      <c r="A69" t="s">
        <v>154</v>
      </c>
      <c r="B69" s="7">
        <v>0.1</v>
      </c>
    </row>
    <row r="70" spans="1:7" x14ac:dyDescent="0.45">
      <c r="A70" t="s">
        <v>134</v>
      </c>
      <c r="B70" s="7">
        <v>-0.03</v>
      </c>
    </row>
    <row r="71" spans="1:7" x14ac:dyDescent="0.45">
      <c r="A71" t="s">
        <v>155</v>
      </c>
      <c r="B71" s="6">
        <v>0.1</v>
      </c>
      <c r="D71" s="58"/>
    </row>
    <row r="72" spans="1:7" x14ac:dyDescent="0.45">
      <c r="A72" t="s">
        <v>156</v>
      </c>
      <c r="B72" s="78">
        <f>(B68*(1-(B70/B71)))/(B69-B70)</f>
        <v>185876250</v>
      </c>
      <c r="C72" t="s">
        <v>157</v>
      </c>
    </row>
    <row r="73" spans="1:7" x14ac:dyDescent="0.45">
      <c r="A73" s="79" t="s">
        <v>26</v>
      </c>
      <c r="B73" s="80">
        <v>14.6</v>
      </c>
    </row>
    <row r="74" spans="1:7" s="14" customFormat="1" x14ac:dyDescent="0.45">
      <c r="A74" s="79" t="s">
        <v>158</v>
      </c>
      <c r="B74" s="60">
        <f>(B72)/((1+B69)^B73)</f>
        <v>46226466.617289335</v>
      </c>
    </row>
    <row r="75" spans="1:7" x14ac:dyDescent="0.45">
      <c r="A75" s="59"/>
      <c r="B75" s="59"/>
      <c r="C75" s="59"/>
      <c r="D75" s="59"/>
      <c r="E75" s="59"/>
      <c r="F75" s="59"/>
      <c r="G75" s="59"/>
    </row>
    <row r="77" spans="1:7" ht="15.75" x14ac:dyDescent="0.5">
      <c r="A77" s="57" t="s">
        <v>135</v>
      </c>
      <c r="B77" s="44">
        <f>B64+B74</f>
        <v>35832552.171174765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4" workbookViewId="0">
      <selection activeCell="B41" sqref="B41"/>
    </sheetView>
  </sheetViews>
  <sheetFormatPr defaultColWidth="8.86328125" defaultRowHeight="14.25" x14ac:dyDescent="0.45"/>
  <cols>
    <col min="1" max="1" width="91" customWidth="1"/>
    <col min="2" max="2" width="16" customWidth="1"/>
    <col min="4" max="4" width="9.73046875" bestFit="1" customWidth="1"/>
    <col min="7" max="7" width="10.73046875" customWidth="1"/>
  </cols>
  <sheetData>
    <row r="1" spans="1:4" x14ac:dyDescent="0.45">
      <c r="A1" s="25" t="s">
        <v>149</v>
      </c>
      <c r="B1" s="44">
        <v>35832552.171174765</v>
      </c>
      <c r="C1" t="s">
        <v>27</v>
      </c>
      <c r="D1" t="s">
        <v>141</v>
      </c>
    </row>
    <row r="2" spans="1:4" x14ac:dyDescent="0.45">
      <c r="A2" t="s">
        <v>94</v>
      </c>
    </row>
    <row r="3" spans="1:4" s="14" customFormat="1" x14ac:dyDescent="0.45">
      <c r="A3" s="14" t="s">
        <v>93</v>
      </c>
    </row>
    <row r="4" spans="1:4" s="14" customFormat="1" x14ac:dyDescent="0.45">
      <c r="A4" s="14" t="s">
        <v>95</v>
      </c>
    </row>
    <row r="5" spans="1:4" s="14" customFormat="1" x14ac:dyDescent="0.45">
      <c r="A5" s="32" t="s">
        <v>96</v>
      </c>
      <c r="B5" s="33">
        <f>SUM(B1:B4)</f>
        <v>35832552.171174765</v>
      </c>
    </row>
    <row r="6" spans="1:4" s="14" customFormat="1" x14ac:dyDescent="0.45">
      <c r="A6" s="31"/>
    </row>
    <row r="7" spans="1:4" x14ac:dyDescent="0.45">
      <c r="A7" s="61" t="s">
        <v>37</v>
      </c>
      <c r="B7" s="11">
        <f>SUM(B8:B22)</f>
        <v>81744600</v>
      </c>
    </row>
    <row r="8" spans="1:4" x14ac:dyDescent="0.45">
      <c r="A8" t="s">
        <v>137</v>
      </c>
      <c r="B8" s="13">
        <f>46729000*0.98</f>
        <v>45794420</v>
      </c>
    </row>
    <row r="9" spans="1:4" x14ac:dyDescent="0.45">
      <c r="A9" t="s">
        <v>36</v>
      </c>
      <c r="B9" s="13">
        <f>4471000*0.98</f>
        <v>4381580</v>
      </c>
    </row>
    <row r="10" spans="1:4" s="14" customFormat="1" x14ac:dyDescent="0.45">
      <c r="A10" s="14" t="s">
        <v>93</v>
      </c>
      <c r="B10" s="13">
        <v>248000</v>
      </c>
    </row>
    <row r="11" spans="1:4" s="14" customFormat="1" x14ac:dyDescent="0.45">
      <c r="A11" s="30" t="s">
        <v>36</v>
      </c>
      <c r="B11" s="13"/>
    </row>
    <row r="12" spans="1:4" s="5" customFormat="1" x14ac:dyDescent="0.45">
      <c r="A12" s="5" t="s">
        <v>35</v>
      </c>
      <c r="B12" s="13"/>
    </row>
    <row r="13" spans="1:4" x14ac:dyDescent="0.45">
      <c r="A13" t="s">
        <v>28</v>
      </c>
      <c r="B13" s="13"/>
    </row>
    <row r="14" spans="1:4" x14ac:dyDescent="0.45">
      <c r="A14" t="s">
        <v>29</v>
      </c>
      <c r="B14" s="13"/>
    </row>
    <row r="15" spans="1:4" x14ac:dyDescent="0.45">
      <c r="A15" t="s">
        <v>30</v>
      </c>
      <c r="B15" s="13"/>
    </row>
    <row r="16" spans="1:4" s="5" customFormat="1" x14ac:dyDescent="0.45">
      <c r="A16" s="5" t="s">
        <v>43</v>
      </c>
      <c r="B16" s="13"/>
    </row>
    <row r="17" spans="1:8" s="5" customFormat="1" x14ac:dyDescent="0.45">
      <c r="A17" s="5" t="s">
        <v>51</v>
      </c>
      <c r="B17" s="13"/>
    </row>
    <row r="18" spans="1:8" x14ac:dyDescent="0.45">
      <c r="A18" t="s">
        <v>31</v>
      </c>
      <c r="B18" s="13"/>
      <c r="G18" s="63"/>
    </row>
    <row r="19" spans="1:8" x14ac:dyDescent="0.45">
      <c r="A19" s="29" t="s">
        <v>159</v>
      </c>
      <c r="B19" s="13">
        <f>104402000*0.3</f>
        <v>31320600</v>
      </c>
      <c r="G19" s="64"/>
      <c r="H19" s="65"/>
    </row>
    <row r="20" spans="1:8" x14ac:dyDescent="0.45">
      <c r="A20" t="s">
        <v>32</v>
      </c>
      <c r="B20" s="13"/>
    </row>
    <row r="21" spans="1:8" x14ac:dyDescent="0.45">
      <c r="A21" t="s">
        <v>33</v>
      </c>
      <c r="B21" s="13"/>
      <c r="G21" s="4"/>
    </row>
    <row r="22" spans="1:8" x14ac:dyDescent="0.45">
      <c r="A22" t="s">
        <v>34</v>
      </c>
      <c r="B22" s="13"/>
    </row>
    <row r="24" spans="1:8" x14ac:dyDescent="0.45">
      <c r="A24" s="61" t="s">
        <v>55</v>
      </c>
      <c r="B24" s="11">
        <f>SUM(B25:B36)</f>
        <v>9905000</v>
      </c>
    </row>
    <row r="25" spans="1:8" x14ac:dyDescent="0.45">
      <c r="A25" t="s">
        <v>47</v>
      </c>
      <c r="B25" s="10">
        <v>4363000</v>
      </c>
    </row>
    <row r="26" spans="1:8" x14ac:dyDescent="0.45">
      <c r="A26" t="s">
        <v>46</v>
      </c>
      <c r="B26" s="10">
        <v>1654000</v>
      </c>
    </row>
    <row r="27" spans="1:8" s="5" customFormat="1" x14ac:dyDescent="0.45">
      <c r="A27" s="5" t="s">
        <v>44</v>
      </c>
      <c r="B27" s="10"/>
    </row>
    <row r="28" spans="1:8" x14ac:dyDescent="0.45">
      <c r="A28" t="s">
        <v>48</v>
      </c>
      <c r="B28" s="10"/>
    </row>
    <row r="29" spans="1:8" s="5" customFormat="1" x14ac:dyDescent="0.45">
      <c r="A29" s="5" t="s">
        <v>49</v>
      </c>
      <c r="B29" s="10"/>
    </row>
    <row r="30" spans="1:8" s="5" customFormat="1" x14ac:dyDescent="0.45">
      <c r="A30" s="5" t="s">
        <v>45</v>
      </c>
      <c r="B30" s="10"/>
    </row>
    <row r="31" spans="1:8" x14ac:dyDescent="0.45">
      <c r="A31" t="s">
        <v>38</v>
      </c>
      <c r="B31" s="10"/>
    </row>
    <row r="32" spans="1:8" x14ac:dyDescent="0.45">
      <c r="A32" t="s">
        <v>39</v>
      </c>
      <c r="B32" s="13"/>
    </row>
    <row r="33" spans="1:2" x14ac:dyDescent="0.45">
      <c r="A33" s="29" t="s">
        <v>40</v>
      </c>
      <c r="B33" s="13">
        <v>3786000</v>
      </c>
    </row>
    <row r="34" spans="1:2" x14ac:dyDescent="0.45">
      <c r="A34" t="s">
        <v>41</v>
      </c>
      <c r="B34" s="10"/>
    </row>
    <row r="35" spans="1:2" x14ac:dyDescent="0.45">
      <c r="A35" t="s">
        <v>50</v>
      </c>
      <c r="B35" s="10"/>
    </row>
    <row r="36" spans="1:2" x14ac:dyDescent="0.45">
      <c r="A36" t="s">
        <v>136</v>
      </c>
      <c r="B36" s="62">
        <v>102000</v>
      </c>
    </row>
    <row r="37" spans="1:2" s="14" customFormat="1" x14ac:dyDescent="0.45">
      <c r="B37" s="62"/>
    </row>
    <row r="38" spans="1:2" x14ac:dyDescent="0.45">
      <c r="A38" s="61" t="s">
        <v>56</v>
      </c>
      <c r="B38" s="11">
        <f>B1+B7-B24</f>
        <v>107672152.17117476</v>
      </c>
    </row>
    <row r="40" spans="1:2" x14ac:dyDescent="0.45">
      <c r="A40" s="2" t="s">
        <v>42</v>
      </c>
      <c r="B40" s="51">
        <v>19464669</v>
      </c>
    </row>
    <row r="42" spans="1:2" x14ac:dyDescent="0.45">
      <c r="A42" s="2" t="s">
        <v>57</v>
      </c>
      <c r="B42" s="12">
        <f>B38/B40</f>
        <v>5.5316713667812571</v>
      </c>
    </row>
    <row r="43" spans="1:2" x14ac:dyDescent="0.45">
      <c r="B4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Avg. values Pharma NYU stern</vt:lpstr>
      <vt:lpstr>Probabilities</vt:lpstr>
      <vt:lpstr>WACC calculation</vt:lpstr>
      <vt:lpstr>Revenue forecast sheet</vt:lpstr>
      <vt:lpstr>Operating value calculation</vt:lpstr>
      <vt:lpstr>Equity value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2016-06-15T03:21:12Z</dcterms:modified>
</cp:coreProperties>
</file>