
<file path=[Content_Types].xml><?xml version="1.0" encoding="utf-8"?>
<Types xmlns="http://schemas.openxmlformats.org/package/2006/content-types"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2830" windowHeight="9510" activeTab="5"/>
  </bookViews>
  <sheets>
    <sheet name="b" sheetId="21" r:id="rId1"/>
    <sheet name="l" sheetId="22" r:id="rId2"/>
    <sheet name="pe" sheetId="33" r:id="rId3"/>
    <sheet name="pt" sheetId="34" r:id="rId4"/>
    <sheet name="m" sheetId="35" r:id="rId5"/>
    <sheet name="Лист1" sheetId="1" r:id="rId6"/>
    <sheet name="Лист2" sheetId="2" r:id="rId7"/>
    <sheet name="Лист3" sheetId="3" r:id="rId8"/>
    <sheet name="Лист4" sheetId="36" r:id="rId9"/>
    <sheet name="Лист5" sheetId="37" r:id="rId10"/>
    <sheet name="Лист6" sheetId="38" r:id="rId11"/>
  </sheets>
  <calcPr calcId="125725" refMode="R1C1"/>
</workbook>
</file>

<file path=xl/calcChain.xml><?xml version="1.0" encoding="utf-8"?>
<calcChain xmlns="http://schemas.openxmlformats.org/spreadsheetml/2006/main">
  <c r="D78" i="1"/>
  <c r="G13" i="37"/>
  <c r="G18"/>
  <c r="F84" i="1"/>
  <c r="F86"/>
  <c r="O11" i="21"/>
  <c r="O9"/>
  <c r="O10"/>
  <c r="O6"/>
  <c r="O5"/>
  <c r="O16"/>
  <c r="T16" l="1"/>
  <c r="T15"/>
  <c r="T14"/>
  <c r="T13"/>
  <c r="T12"/>
  <c r="T11"/>
  <c r="T10"/>
  <c r="T9"/>
  <c r="T8"/>
  <c r="T7"/>
  <c r="T6"/>
  <c r="T3"/>
  <c r="T4"/>
  <c r="T5"/>
  <c r="T2"/>
  <c r="L38" i="2" l="1"/>
  <c r="L31"/>
  <c r="L24"/>
  <c r="L17"/>
  <c r="T52" i="1"/>
  <c r="T53" s="1"/>
  <c r="G16" i="37"/>
  <c r="J9" i="2" l="1"/>
  <c r="I9"/>
  <c r="H9"/>
  <c r="G9"/>
  <c r="F9"/>
  <c r="O54" i="1"/>
  <c r="T32"/>
  <c r="T17" i="21"/>
  <c r="D79" i="1" l="1"/>
  <c r="D80" s="1"/>
  <c r="D81" s="1"/>
  <c r="D82" s="1"/>
  <c r="D3" i="38"/>
  <c r="D4"/>
  <c r="D5"/>
  <c r="D7"/>
  <c r="D8"/>
  <c r="D9"/>
  <c r="D10"/>
  <c r="D11"/>
  <c r="D12"/>
  <c r="D13"/>
  <c r="F8"/>
  <c r="G8"/>
  <c r="H8"/>
  <c r="I8"/>
  <c r="J8"/>
  <c r="F10"/>
  <c r="F12"/>
  <c r="G12"/>
  <c r="H12"/>
  <c r="I12"/>
  <c r="J12"/>
  <c r="E12"/>
  <c r="E10"/>
  <c r="E8"/>
  <c r="F4"/>
  <c r="G4"/>
  <c r="H4"/>
  <c r="I4"/>
  <c r="J4"/>
  <c r="E5"/>
  <c r="E4"/>
  <c r="G6"/>
  <c r="H6"/>
  <c r="I6"/>
  <c r="J6"/>
  <c r="F6"/>
  <c r="F19" i="2"/>
  <c r="F32"/>
  <c r="K20" i="37"/>
  <c r="Q32" i="1"/>
  <c r="G10" i="38" s="1"/>
  <c r="H10"/>
  <c r="I10"/>
  <c r="J10"/>
  <c r="K683" i="36"/>
  <c r="H683"/>
  <c r="F683"/>
  <c r="I17" i="2"/>
  <c r="J17"/>
  <c r="H17"/>
  <c r="G17"/>
  <c r="F17"/>
  <c r="I19"/>
  <c r="J19"/>
  <c r="H19"/>
  <c r="G19"/>
  <c r="N54" i="1"/>
  <c r="M54"/>
  <c r="L54"/>
  <c r="K54"/>
  <c r="J54"/>
  <c r="I54"/>
  <c r="H54"/>
  <c r="G54"/>
  <c r="F54"/>
  <c r="E54"/>
  <c r="F5" i="36" l="1"/>
  <c r="H5"/>
  <c r="K5"/>
  <c r="J5" s="1"/>
  <c r="T5"/>
  <c r="S5" s="1"/>
  <c r="F6"/>
  <c r="H6"/>
  <c r="K6"/>
  <c r="J6" s="1"/>
  <c r="T6"/>
  <c r="S6" s="1"/>
  <c r="F7"/>
  <c r="H7"/>
  <c r="K7"/>
  <c r="J7" s="1"/>
  <c r="T7"/>
  <c r="S7" s="1"/>
  <c r="F8"/>
  <c r="H8"/>
  <c r="K8"/>
  <c r="J8" s="1"/>
  <c r="T8"/>
  <c r="S8" s="1"/>
  <c r="F9"/>
  <c r="H9"/>
  <c r="K9"/>
  <c r="J9" s="1"/>
  <c r="T9"/>
  <c r="S9" s="1"/>
  <c r="F10"/>
  <c r="H10"/>
  <c r="K10"/>
  <c r="J10" s="1"/>
  <c r="T10"/>
  <c r="S10" s="1"/>
  <c r="F11"/>
  <c r="H11"/>
  <c r="K11"/>
  <c r="J11" s="1"/>
  <c r="T11"/>
  <c r="S11" s="1"/>
  <c r="F12"/>
  <c r="H12"/>
  <c r="K12"/>
  <c r="J12" s="1"/>
  <c r="T12"/>
  <c r="S12" s="1"/>
  <c r="F13"/>
  <c r="H13"/>
  <c r="K13"/>
  <c r="J13" s="1"/>
  <c r="T13"/>
  <c r="S13" s="1"/>
  <c r="F14"/>
  <c r="H14"/>
  <c r="K14"/>
  <c r="J14" s="1"/>
  <c r="T14"/>
  <c r="S14" s="1"/>
  <c r="F15"/>
  <c r="H15"/>
  <c r="K15"/>
  <c r="J15" s="1"/>
  <c r="T15"/>
  <c r="S15" s="1"/>
  <c r="F16"/>
  <c r="H16"/>
  <c r="K16"/>
  <c r="J16" s="1"/>
  <c r="T16"/>
  <c r="S16" s="1"/>
  <c r="F17"/>
  <c r="H17"/>
  <c r="K17"/>
  <c r="J17" s="1"/>
  <c r="T17"/>
  <c r="S17" s="1"/>
  <c r="F18"/>
  <c r="H18"/>
  <c r="K18"/>
  <c r="J18" s="1"/>
  <c r="T18"/>
  <c r="S18" s="1"/>
  <c r="F19"/>
  <c r="H19"/>
  <c r="K19"/>
  <c r="J19" s="1"/>
  <c r="T19"/>
  <c r="S19" s="1"/>
  <c r="F20"/>
  <c r="H20"/>
  <c r="K20"/>
  <c r="J20" s="1"/>
  <c r="T20"/>
  <c r="S20" s="1"/>
  <c r="F21"/>
  <c r="H21"/>
  <c r="K21"/>
  <c r="J21" s="1"/>
  <c r="T21"/>
  <c r="S21" s="1"/>
  <c r="F22"/>
  <c r="H22"/>
  <c r="K22"/>
  <c r="J22" s="1"/>
  <c r="T22"/>
  <c r="S22" s="1"/>
  <c r="F23"/>
  <c r="H23"/>
  <c r="K23"/>
  <c r="J23" s="1"/>
  <c r="T23"/>
  <c r="S23" s="1"/>
  <c r="F24"/>
  <c r="H24"/>
  <c r="K24"/>
  <c r="J24" s="1"/>
  <c r="T24"/>
  <c r="S24" s="1"/>
  <c r="F25"/>
  <c r="H25"/>
  <c r="K25"/>
  <c r="J25" s="1"/>
  <c r="T25"/>
  <c r="S25" s="1"/>
  <c r="F26"/>
  <c r="H26"/>
  <c r="K26"/>
  <c r="J26" s="1"/>
  <c r="T26"/>
  <c r="S26" s="1"/>
  <c r="F27"/>
  <c r="H27"/>
  <c r="K27"/>
  <c r="J27" s="1"/>
  <c r="T27"/>
  <c r="S27" s="1"/>
  <c r="F28"/>
  <c r="H28"/>
  <c r="K28"/>
  <c r="J28" s="1"/>
  <c r="T28"/>
  <c r="S28" s="1"/>
  <c r="F29"/>
  <c r="H29"/>
  <c r="K29"/>
  <c r="J29" s="1"/>
  <c r="T29"/>
  <c r="S29" s="1"/>
  <c r="F30"/>
  <c r="H30"/>
  <c r="K30"/>
  <c r="J30" s="1"/>
  <c r="T30"/>
  <c r="S30" s="1"/>
  <c r="F31"/>
  <c r="H31"/>
  <c r="K31"/>
  <c r="J31" s="1"/>
  <c r="T31"/>
  <c r="S31" s="1"/>
  <c r="F32"/>
  <c r="H32"/>
  <c r="K32"/>
  <c r="J32" s="1"/>
  <c r="T32"/>
  <c r="S32" s="1"/>
  <c r="F33"/>
  <c r="H33"/>
  <c r="K33"/>
  <c r="J33" s="1"/>
  <c r="T33"/>
  <c r="S33" s="1"/>
  <c r="F34"/>
  <c r="H34"/>
  <c r="K34"/>
  <c r="J34" s="1"/>
  <c r="T34"/>
  <c r="S34" s="1"/>
  <c r="F35"/>
  <c r="H35"/>
  <c r="K35"/>
  <c r="J35" s="1"/>
  <c r="T35"/>
  <c r="S35" s="1"/>
  <c r="F36"/>
  <c r="H36"/>
  <c r="K36"/>
  <c r="J36" s="1"/>
  <c r="T36"/>
  <c r="S36" s="1"/>
  <c r="F37"/>
  <c r="H37"/>
  <c r="K37"/>
  <c r="J37" s="1"/>
  <c r="T37"/>
  <c r="S37" s="1"/>
  <c r="F38"/>
  <c r="H38"/>
  <c r="K38"/>
  <c r="J38" s="1"/>
  <c r="T38"/>
  <c r="S38" s="1"/>
  <c r="F39"/>
  <c r="H39"/>
  <c r="K39"/>
  <c r="J39" s="1"/>
  <c r="T39"/>
  <c r="S39" s="1"/>
  <c r="F40"/>
  <c r="H40"/>
  <c r="K40"/>
  <c r="J40" s="1"/>
  <c r="T40"/>
  <c r="S40" s="1"/>
  <c r="F41"/>
  <c r="H41"/>
  <c r="K41"/>
  <c r="J41" s="1"/>
  <c r="T41"/>
  <c r="S41" s="1"/>
  <c r="F42"/>
  <c r="H42"/>
  <c r="K42"/>
  <c r="J42" s="1"/>
  <c r="T42"/>
  <c r="S42" s="1"/>
  <c r="F43"/>
  <c r="H43"/>
  <c r="K43"/>
  <c r="J43" s="1"/>
  <c r="T43"/>
  <c r="S43" s="1"/>
  <c r="F44"/>
  <c r="H44"/>
  <c r="K44"/>
  <c r="J44" s="1"/>
  <c r="T44"/>
  <c r="S44" s="1"/>
  <c r="F45"/>
  <c r="H45"/>
  <c r="K45"/>
  <c r="J45" s="1"/>
  <c r="T45"/>
  <c r="S45" s="1"/>
  <c r="F46"/>
  <c r="H46"/>
  <c r="K46"/>
  <c r="J46" s="1"/>
  <c r="T46"/>
  <c r="S46" s="1"/>
  <c r="F47"/>
  <c r="H47"/>
  <c r="K47"/>
  <c r="J47" s="1"/>
  <c r="T47"/>
  <c r="S47" s="1"/>
  <c r="F48"/>
  <c r="H48"/>
  <c r="K48"/>
  <c r="J48" s="1"/>
  <c r="T48"/>
  <c r="S48" s="1"/>
  <c r="F49"/>
  <c r="H49"/>
  <c r="K49"/>
  <c r="J49" s="1"/>
  <c r="T49"/>
  <c r="S49" s="1"/>
  <c r="F50"/>
  <c r="H50"/>
  <c r="K50"/>
  <c r="J50" s="1"/>
  <c r="T50"/>
  <c r="S50" s="1"/>
  <c r="F51"/>
  <c r="H51"/>
  <c r="K51"/>
  <c r="J51" s="1"/>
  <c r="T51"/>
  <c r="S51" s="1"/>
  <c r="F52"/>
  <c r="H52"/>
  <c r="K52"/>
  <c r="J52" s="1"/>
  <c r="T52"/>
  <c r="S52" s="1"/>
  <c r="F53"/>
  <c r="H53"/>
  <c r="K53"/>
  <c r="J53" s="1"/>
  <c r="T53"/>
  <c r="S53" s="1"/>
  <c r="F54"/>
  <c r="H54"/>
  <c r="K54"/>
  <c r="J54" s="1"/>
  <c r="T54"/>
  <c r="S54" s="1"/>
  <c r="F55"/>
  <c r="H55"/>
  <c r="K55"/>
  <c r="J55" s="1"/>
  <c r="T55"/>
  <c r="S55" s="1"/>
  <c r="F56"/>
  <c r="H56"/>
  <c r="K56"/>
  <c r="J56" s="1"/>
  <c r="T56"/>
  <c r="S56" s="1"/>
  <c r="F57"/>
  <c r="H57"/>
  <c r="K57"/>
  <c r="J57" s="1"/>
  <c r="T57"/>
  <c r="S57" s="1"/>
  <c r="F58"/>
  <c r="H58"/>
  <c r="K58"/>
  <c r="J58" s="1"/>
  <c r="T58"/>
  <c r="S58" s="1"/>
  <c r="F59"/>
  <c r="H59"/>
  <c r="K59"/>
  <c r="J59" s="1"/>
  <c r="T59"/>
  <c r="S59" s="1"/>
  <c r="F60"/>
  <c r="H60"/>
  <c r="K60"/>
  <c r="J60" s="1"/>
  <c r="T60"/>
  <c r="S60" s="1"/>
  <c r="F61"/>
  <c r="H61"/>
  <c r="K61"/>
  <c r="J61" s="1"/>
  <c r="T61"/>
  <c r="S61" s="1"/>
  <c r="F62"/>
  <c r="H62"/>
  <c r="K62"/>
  <c r="J62" s="1"/>
  <c r="T62"/>
  <c r="S62" s="1"/>
  <c r="F63"/>
  <c r="H63"/>
  <c r="K63"/>
  <c r="J63" s="1"/>
  <c r="T63"/>
  <c r="S63" s="1"/>
  <c r="F64"/>
  <c r="H64"/>
  <c r="K64"/>
  <c r="J64" s="1"/>
  <c r="T64"/>
  <c r="S64" s="1"/>
  <c r="F65"/>
  <c r="H65"/>
  <c r="K65"/>
  <c r="J65" s="1"/>
  <c r="T65"/>
  <c r="S65" s="1"/>
  <c r="F66"/>
  <c r="H66"/>
  <c r="K66"/>
  <c r="J66" s="1"/>
  <c r="T66"/>
  <c r="S66" s="1"/>
  <c r="F67"/>
  <c r="H67"/>
  <c r="K67"/>
  <c r="J67" s="1"/>
  <c r="T67"/>
  <c r="S67" s="1"/>
  <c r="F68"/>
  <c r="H68"/>
  <c r="K68"/>
  <c r="J68" s="1"/>
  <c r="T68"/>
  <c r="S68" s="1"/>
  <c r="F69"/>
  <c r="H69"/>
  <c r="K69"/>
  <c r="J69" s="1"/>
  <c r="T69"/>
  <c r="S69" s="1"/>
  <c r="F70"/>
  <c r="H70"/>
  <c r="K70"/>
  <c r="J70" s="1"/>
  <c r="T70"/>
  <c r="S70" s="1"/>
  <c r="F71"/>
  <c r="H71"/>
  <c r="K71"/>
  <c r="J71" s="1"/>
  <c r="T71"/>
  <c r="S71" s="1"/>
  <c r="F72"/>
  <c r="H72"/>
  <c r="K72"/>
  <c r="J72" s="1"/>
  <c r="T72"/>
  <c r="S72" s="1"/>
  <c r="F73"/>
  <c r="H73"/>
  <c r="K73"/>
  <c r="J73" s="1"/>
  <c r="T73"/>
  <c r="S73" s="1"/>
  <c r="F74"/>
  <c r="H74"/>
  <c r="K74"/>
  <c r="J74" s="1"/>
  <c r="T74"/>
  <c r="S74" s="1"/>
  <c r="F75"/>
  <c r="H75"/>
  <c r="K75"/>
  <c r="J75" s="1"/>
  <c r="T75"/>
  <c r="S75" s="1"/>
  <c r="F76"/>
  <c r="H76"/>
  <c r="K76"/>
  <c r="J76" s="1"/>
  <c r="T76"/>
  <c r="S76" s="1"/>
  <c r="F77"/>
  <c r="H77"/>
  <c r="K77"/>
  <c r="J77" s="1"/>
  <c r="T77"/>
  <c r="S77" s="1"/>
  <c r="F78"/>
  <c r="H78"/>
  <c r="K78"/>
  <c r="J78" s="1"/>
  <c r="T78"/>
  <c r="S78" s="1"/>
  <c r="F79"/>
  <c r="H79"/>
  <c r="K79"/>
  <c r="J79" s="1"/>
  <c r="T79"/>
  <c r="S79" s="1"/>
  <c r="F80"/>
  <c r="H80"/>
  <c r="K80"/>
  <c r="J80" s="1"/>
  <c r="T80"/>
  <c r="S80" s="1"/>
  <c r="F81"/>
  <c r="H81"/>
  <c r="K81"/>
  <c r="J81" s="1"/>
  <c r="T81"/>
  <c r="S81" s="1"/>
  <c r="F82"/>
  <c r="H82"/>
  <c r="K82"/>
  <c r="J82" s="1"/>
  <c r="T82"/>
  <c r="S82" s="1"/>
  <c r="F83"/>
  <c r="H83"/>
  <c r="K83"/>
  <c r="J83" s="1"/>
  <c r="T83"/>
  <c r="S83" s="1"/>
  <c r="F84"/>
  <c r="H84"/>
  <c r="K84"/>
  <c r="J84" s="1"/>
  <c r="T84"/>
  <c r="S84" s="1"/>
  <c r="F85"/>
  <c r="H85"/>
  <c r="K85"/>
  <c r="J85" s="1"/>
  <c r="T85"/>
  <c r="S85" s="1"/>
  <c r="F86"/>
  <c r="H86"/>
  <c r="K86"/>
  <c r="J86" s="1"/>
  <c r="T86"/>
  <c r="S86" s="1"/>
  <c r="F87"/>
  <c r="H87"/>
  <c r="K87"/>
  <c r="J87" s="1"/>
  <c r="T87"/>
  <c r="S87" s="1"/>
  <c r="F88"/>
  <c r="H88"/>
  <c r="K88"/>
  <c r="J88" s="1"/>
  <c r="T88"/>
  <c r="S88" s="1"/>
  <c r="F89"/>
  <c r="H89"/>
  <c r="K89"/>
  <c r="J89" s="1"/>
  <c r="T89"/>
  <c r="S89" s="1"/>
  <c r="F90"/>
  <c r="H90"/>
  <c r="K90"/>
  <c r="J90" s="1"/>
  <c r="T90"/>
  <c r="S90" s="1"/>
  <c r="F91"/>
  <c r="H91"/>
  <c r="K91"/>
  <c r="J91" s="1"/>
  <c r="T91"/>
  <c r="S91" s="1"/>
  <c r="F92"/>
  <c r="H92"/>
  <c r="K92"/>
  <c r="J92" s="1"/>
  <c r="T92"/>
  <c r="S92" s="1"/>
  <c r="F93"/>
  <c r="H93"/>
  <c r="K93"/>
  <c r="J93" s="1"/>
  <c r="T93"/>
  <c r="S93" s="1"/>
  <c r="F94"/>
  <c r="H94"/>
  <c r="K94"/>
  <c r="J94" s="1"/>
  <c r="T94"/>
  <c r="S94" s="1"/>
  <c r="F95"/>
  <c r="H95"/>
  <c r="K95"/>
  <c r="J95" s="1"/>
  <c r="T95"/>
  <c r="S95" s="1"/>
  <c r="F96"/>
  <c r="H96"/>
  <c r="K96"/>
  <c r="J96" s="1"/>
  <c r="T96"/>
  <c r="S96" s="1"/>
  <c r="F97"/>
  <c r="H97"/>
  <c r="K97"/>
  <c r="J97" s="1"/>
  <c r="T97"/>
  <c r="S97" s="1"/>
  <c r="F98"/>
  <c r="H98"/>
  <c r="K98"/>
  <c r="J98" s="1"/>
  <c r="T98"/>
  <c r="S98" s="1"/>
  <c r="F99"/>
  <c r="H99"/>
  <c r="K99"/>
  <c r="J99" s="1"/>
  <c r="T99"/>
  <c r="S99" s="1"/>
  <c r="F100"/>
  <c r="H100"/>
  <c r="K100"/>
  <c r="J100" s="1"/>
  <c r="T100"/>
  <c r="S100" s="1"/>
  <c r="F101"/>
  <c r="H101"/>
  <c r="K101"/>
  <c r="J101" s="1"/>
  <c r="T101"/>
  <c r="S101" s="1"/>
  <c r="F102"/>
  <c r="H102"/>
  <c r="K102"/>
  <c r="J102" s="1"/>
  <c r="T102"/>
  <c r="S102" s="1"/>
  <c r="F103"/>
  <c r="H103"/>
  <c r="K103"/>
  <c r="J103" s="1"/>
  <c r="T103"/>
  <c r="S103" s="1"/>
  <c r="F104"/>
  <c r="H104"/>
  <c r="K104"/>
  <c r="J104" s="1"/>
  <c r="T104"/>
  <c r="S104" s="1"/>
  <c r="F105"/>
  <c r="H105"/>
  <c r="K105"/>
  <c r="J105" s="1"/>
  <c r="T105"/>
  <c r="S105" s="1"/>
  <c r="F106"/>
  <c r="H106"/>
  <c r="K106"/>
  <c r="J106" s="1"/>
  <c r="T106"/>
  <c r="S106" s="1"/>
  <c r="F107"/>
  <c r="H107"/>
  <c r="K107"/>
  <c r="J107" s="1"/>
  <c r="T107"/>
  <c r="S107" s="1"/>
  <c r="F108"/>
  <c r="H108"/>
  <c r="K108"/>
  <c r="J108" s="1"/>
  <c r="T108"/>
  <c r="S108" s="1"/>
  <c r="F109"/>
  <c r="H109"/>
  <c r="K109"/>
  <c r="J109" s="1"/>
  <c r="T109"/>
  <c r="S109" s="1"/>
  <c r="F110"/>
  <c r="H110"/>
  <c r="K110"/>
  <c r="J110" s="1"/>
  <c r="T110"/>
  <c r="S110" s="1"/>
  <c r="F111"/>
  <c r="H111"/>
  <c r="K111"/>
  <c r="J111" s="1"/>
  <c r="T111"/>
  <c r="S111" s="1"/>
  <c r="F112"/>
  <c r="H112"/>
  <c r="K112"/>
  <c r="J112" s="1"/>
  <c r="T112"/>
  <c r="S112" s="1"/>
  <c r="F113"/>
  <c r="H113"/>
  <c r="K113"/>
  <c r="J113" s="1"/>
  <c r="T113"/>
  <c r="S113" s="1"/>
  <c r="F114"/>
  <c r="H114"/>
  <c r="K114"/>
  <c r="J114" s="1"/>
  <c r="T114"/>
  <c r="S114" s="1"/>
  <c r="F115"/>
  <c r="H115"/>
  <c r="K115"/>
  <c r="J115" s="1"/>
  <c r="T115"/>
  <c r="S115" s="1"/>
  <c r="F116"/>
  <c r="H116"/>
  <c r="K116"/>
  <c r="J116" s="1"/>
  <c r="T116"/>
  <c r="S116" s="1"/>
  <c r="F117"/>
  <c r="H117"/>
  <c r="K117"/>
  <c r="J117" s="1"/>
  <c r="T117"/>
  <c r="S117" s="1"/>
  <c r="F118"/>
  <c r="H118"/>
  <c r="K118"/>
  <c r="J118" s="1"/>
  <c r="T118"/>
  <c r="S118" s="1"/>
  <c r="F119"/>
  <c r="H119"/>
  <c r="K119"/>
  <c r="J119" s="1"/>
  <c r="T119"/>
  <c r="S119" s="1"/>
  <c r="F120"/>
  <c r="H120"/>
  <c r="K120"/>
  <c r="J120" s="1"/>
  <c r="T120"/>
  <c r="S120" s="1"/>
  <c r="F121"/>
  <c r="H121"/>
  <c r="K121"/>
  <c r="J121" s="1"/>
  <c r="T121"/>
  <c r="S121" s="1"/>
  <c r="F122"/>
  <c r="H122"/>
  <c r="K122"/>
  <c r="J122" s="1"/>
  <c r="T122"/>
  <c r="S122" s="1"/>
  <c r="F123"/>
  <c r="H123"/>
  <c r="K123"/>
  <c r="J123" s="1"/>
  <c r="T123"/>
  <c r="S123" s="1"/>
  <c r="F124"/>
  <c r="H124"/>
  <c r="K124"/>
  <c r="J124" s="1"/>
  <c r="T124"/>
  <c r="S124" s="1"/>
  <c r="F125"/>
  <c r="H125"/>
  <c r="K125"/>
  <c r="J125" s="1"/>
  <c r="T125"/>
  <c r="S125" s="1"/>
  <c r="F126"/>
  <c r="H126"/>
  <c r="K126"/>
  <c r="J126" s="1"/>
  <c r="T126"/>
  <c r="S126" s="1"/>
  <c r="F127"/>
  <c r="H127"/>
  <c r="K127"/>
  <c r="J127" s="1"/>
  <c r="T127"/>
  <c r="S127" s="1"/>
  <c r="F128"/>
  <c r="H128"/>
  <c r="K128"/>
  <c r="J128" s="1"/>
  <c r="T128"/>
  <c r="S128" s="1"/>
  <c r="F129"/>
  <c r="H129"/>
  <c r="K129"/>
  <c r="J129" s="1"/>
  <c r="T129"/>
  <c r="S129" s="1"/>
  <c r="F130"/>
  <c r="H130"/>
  <c r="K130"/>
  <c r="J130" s="1"/>
  <c r="T130"/>
  <c r="S130" s="1"/>
  <c r="F131"/>
  <c r="H131"/>
  <c r="K131"/>
  <c r="J131" s="1"/>
  <c r="T131"/>
  <c r="S131" s="1"/>
  <c r="F132"/>
  <c r="H132"/>
  <c r="K132"/>
  <c r="J132" s="1"/>
  <c r="T132"/>
  <c r="S132" s="1"/>
  <c r="F133"/>
  <c r="H133"/>
  <c r="K133"/>
  <c r="J133" s="1"/>
  <c r="T133"/>
  <c r="S133" s="1"/>
  <c r="F134"/>
  <c r="H134"/>
  <c r="K134"/>
  <c r="J134" s="1"/>
  <c r="T134"/>
  <c r="S134" s="1"/>
  <c r="F135"/>
  <c r="H135"/>
  <c r="K135"/>
  <c r="J135" s="1"/>
  <c r="T135"/>
  <c r="S135" s="1"/>
  <c r="F136"/>
  <c r="H136"/>
  <c r="K136"/>
  <c r="J136" s="1"/>
  <c r="T136"/>
  <c r="S136" s="1"/>
  <c r="F137"/>
  <c r="H137"/>
  <c r="K137"/>
  <c r="J137" s="1"/>
  <c r="T137"/>
  <c r="S137" s="1"/>
  <c r="F138"/>
  <c r="H138"/>
  <c r="K138"/>
  <c r="J138" s="1"/>
  <c r="T138"/>
  <c r="S138" s="1"/>
  <c r="F139"/>
  <c r="H139"/>
  <c r="K139"/>
  <c r="J139" s="1"/>
  <c r="T139"/>
  <c r="S139" s="1"/>
  <c r="F140"/>
  <c r="H140"/>
  <c r="K140"/>
  <c r="J140" s="1"/>
  <c r="T140"/>
  <c r="S140" s="1"/>
  <c r="F141"/>
  <c r="H141"/>
  <c r="K141"/>
  <c r="J141" s="1"/>
  <c r="T141"/>
  <c r="S141" s="1"/>
  <c r="F142"/>
  <c r="H142"/>
  <c r="K142"/>
  <c r="J142" s="1"/>
  <c r="T142"/>
  <c r="S142" s="1"/>
  <c r="F143"/>
  <c r="H143"/>
  <c r="K143"/>
  <c r="J143" s="1"/>
  <c r="T143"/>
  <c r="S143" s="1"/>
  <c r="F144"/>
  <c r="H144"/>
  <c r="K144"/>
  <c r="J144" s="1"/>
  <c r="T144"/>
  <c r="S144" s="1"/>
  <c r="F145"/>
  <c r="H145"/>
  <c r="K145"/>
  <c r="J145" s="1"/>
  <c r="T145"/>
  <c r="S145" s="1"/>
  <c r="F146"/>
  <c r="H146"/>
  <c r="K146"/>
  <c r="J146" s="1"/>
  <c r="T146"/>
  <c r="S146" s="1"/>
  <c r="F147"/>
  <c r="H147"/>
  <c r="K147"/>
  <c r="J147" s="1"/>
  <c r="T147"/>
  <c r="S147" s="1"/>
  <c r="F148"/>
  <c r="H148"/>
  <c r="K148"/>
  <c r="J148" s="1"/>
  <c r="T148"/>
  <c r="S148" s="1"/>
  <c r="F149"/>
  <c r="H149"/>
  <c r="K149"/>
  <c r="J149" s="1"/>
  <c r="T149"/>
  <c r="S149" s="1"/>
  <c r="F150"/>
  <c r="H150"/>
  <c r="K150"/>
  <c r="J150" s="1"/>
  <c r="T150"/>
  <c r="S150" s="1"/>
  <c r="F151"/>
  <c r="H151"/>
  <c r="K151"/>
  <c r="J151" s="1"/>
  <c r="T151"/>
  <c r="S151" s="1"/>
  <c r="F152"/>
  <c r="H152"/>
  <c r="K152"/>
  <c r="J152" s="1"/>
  <c r="T152"/>
  <c r="S152" s="1"/>
  <c r="F153"/>
  <c r="H153"/>
  <c r="K153"/>
  <c r="J153" s="1"/>
  <c r="T153"/>
  <c r="S153" s="1"/>
  <c r="F154"/>
  <c r="H154"/>
  <c r="K154"/>
  <c r="J154" s="1"/>
  <c r="T154"/>
  <c r="S154" s="1"/>
  <c r="F155"/>
  <c r="H155"/>
  <c r="K155"/>
  <c r="J155" s="1"/>
  <c r="T155"/>
  <c r="S155" s="1"/>
  <c r="F156"/>
  <c r="H156"/>
  <c r="K156"/>
  <c r="J156" s="1"/>
  <c r="T156"/>
  <c r="S156" s="1"/>
  <c r="F157"/>
  <c r="H157"/>
  <c r="K157"/>
  <c r="J157" s="1"/>
  <c r="T157"/>
  <c r="S157" s="1"/>
  <c r="F158"/>
  <c r="H158"/>
  <c r="K158"/>
  <c r="J158" s="1"/>
  <c r="T158"/>
  <c r="S158" s="1"/>
  <c r="F159"/>
  <c r="H159"/>
  <c r="K159"/>
  <c r="J159" s="1"/>
  <c r="T159"/>
  <c r="S159" s="1"/>
  <c r="F160"/>
  <c r="H160"/>
  <c r="K160"/>
  <c r="J160" s="1"/>
  <c r="T160"/>
  <c r="S160" s="1"/>
  <c r="F161"/>
  <c r="H161"/>
  <c r="K161"/>
  <c r="J161" s="1"/>
  <c r="T161"/>
  <c r="S161" s="1"/>
  <c r="F162"/>
  <c r="H162"/>
  <c r="K162"/>
  <c r="J162" s="1"/>
  <c r="T162"/>
  <c r="S162" s="1"/>
  <c r="F163"/>
  <c r="H163"/>
  <c r="K163"/>
  <c r="J163" s="1"/>
  <c r="T163"/>
  <c r="S163" s="1"/>
  <c r="F164"/>
  <c r="H164"/>
  <c r="K164"/>
  <c r="J164" s="1"/>
  <c r="T164"/>
  <c r="S164" s="1"/>
  <c r="F165"/>
  <c r="H165"/>
  <c r="K165"/>
  <c r="J165" s="1"/>
  <c r="T165"/>
  <c r="S165" s="1"/>
  <c r="F166"/>
  <c r="H166"/>
  <c r="K166"/>
  <c r="J166" s="1"/>
  <c r="T166"/>
  <c r="S166" s="1"/>
  <c r="F167"/>
  <c r="H167"/>
  <c r="K167"/>
  <c r="J167" s="1"/>
  <c r="T167"/>
  <c r="S167" s="1"/>
  <c r="F168"/>
  <c r="H168"/>
  <c r="K168"/>
  <c r="J168" s="1"/>
  <c r="T168"/>
  <c r="S168" s="1"/>
  <c r="F169"/>
  <c r="H169"/>
  <c r="K169"/>
  <c r="J169" s="1"/>
  <c r="T169"/>
  <c r="S169" s="1"/>
  <c r="F170"/>
  <c r="H170"/>
  <c r="K170"/>
  <c r="J170" s="1"/>
  <c r="T170"/>
  <c r="S170" s="1"/>
  <c r="F171"/>
  <c r="H171"/>
  <c r="K171"/>
  <c r="J171" s="1"/>
  <c r="T171"/>
  <c r="S171" s="1"/>
  <c r="F172"/>
  <c r="H172"/>
  <c r="K172"/>
  <c r="J172" s="1"/>
  <c r="T172"/>
  <c r="S172" s="1"/>
  <c r="F173"/>
  <c r="H173"/>
  <c r="K173"/>
  <c r="J173" s="1"/>
  <c r="T173"/>
  <c r="S173" s="1"/>
  <c r="F174"/>
  <c r="H174"/>
  <c r="K174"/>
  <c r="J174" s="1"/>
  <c r="T174"/>
  <c r="S174" s="1"/>
  <c r="F175"/>
  <c r="H175"/>
  <c r="K175"/>
  <c r="J175" s="1"/>
  <c r="T175"/>
  <c r="S175" s="1"/>
  <c r="F176"/>
  <c r="H176"/>
  <c r="K176"/>
  <c r="J176" s="1"/>
  <c r="T176"/>
  <c r="S176" s="1"/>
  <c r="F177"/>
  <c r="H177"/>
  <c r="K177"/>
  <c r="J177" s="1"/>
  <c r="T177"/>
  <c r="S177" s="1"/>
  <c r="F178"/>
  <c r="H178"/>
  <c r="K178"/>
  <c r="J178" s="1"/>
  <c r="T178"/>
  <c r="S178" s="1"/>
  <c r="F179"/>
  <c r="H179"/>
  <c r="K179"/>
  <c r="J179" s="1"/>
  <c r="T179"/>
  <c r="S179" s="1"/>
  <c r="F180"/>
  <c r="H180"/>
  <c r="K180"/>
  <c r="J180" s="1"/>
  <c r="T180"/>
  <c r="S180" s="1"/>
  <c r="F181"/>
  <c r="H181"/>
  <c r="K181"/>
  <c r="J181" s="1"/>
  <c r="T181"/>
  <c r="S181" s="1"/>
  <c r="F182"/>
  <c r="H182"/>
  <c r="K182"/>
  <c r="J182" s="1"/>
  <c r="T182"/>
  <c r="S182" s="1"/>
  <c r="F183"/>
  <c r="H183"/>
  <c r="K183"/>
  <c r="J183" s="1"/>
  <c r="T183"/>
  <c r="S183" s="1"/>
  <c r="F184"/>
  <c r="H184"/>
  <c r="K184"/>
  <c r="J184" s="1"/>
  <c r="T184"/>
  <c r="S184" s="1"/>
  <c r="F185"/>
  <c r="H185"/>
  <c r="K185"/>
  <c r="J185" s="1"/>
  <c r="T185"/>
  <c r="S185" s="1"/>
  <c r="F186"/>
  <c r="H186"/>
  <c r="K186"/>
  <c r="J186" s="1"/>
  <c r="T186"/>
  <c r="S186" s="1"/>
  <c r="F187"/>
  <c r="H187"/>
  <c r="K187"/>
  <c r="J187" s="1"/>
  <c r="T187"/>
  <c r="S187" s="1"/>
  <c r="F188"/>
  <c r="H188"/>
  <c r="K188"/>
  <c r="J188" s="1"/>
  <c r="T188"/>
  <c r="S188" s="1"/>
  <c r="F189"/>
  <c r="H189"/>
  <c r="K189"/>
  <c r="J189" s="1"/>
  <c r="T189"/>
  <c r="S189" s="1"/>
  <c r="F190"/>
  <c r="H190"/>
  <c r="K190"/>
  <c r="J190" s="1"/>
  <c r="T190"/>
  <c r="S190" s="1"/>
  <c r="F191"/>
  <c r="H191"/>
  <c r="K191"/>
  <c r="J191" s="1"/>
  <c r="T191"/>
  <c r="S191" s="1"/>
  <c r="F192"/>
  <c r="H192"/>
  <c r="K192"/>
  <c r="J192" s="1"/>
  <c r="T192"/>
  <c r="S192" s="1"/>
  <c r="F193"/>
  <c r="H193"/>
  <c r="K193"/>
  <c r="J193" s="1"/>
  <c r="T193"/>
  <c r="S193" s="1"/>
  <c r="F194"/>
  <c r="H194"/>
  <c r="K194"/>
  <c r="J194" s="1"/>
  <c r="T194"/>
  <c r="S194" s="1"/>
  <c r="F195"/>
  <c r="H195"/>
  <c r="K195"/>
  <c r="J195" s="1"/>
  <c r="T195"/>
  <c r="S195" s="1"/>
  <c r="F196"/>
  <c r="H196"/>
  <c r="K196"/>
  <c r="J196" s="1"/>
  <c r="T196"/>
  <c r="S196" s="1"/>
  <c r="F197"/>
  <c r="H197"/>
  <c r="K197"/>
  <c r="J197" s="1"/>
  <c r="T197"/>
  <c r="S197" s="1"/>
  <c r="F198"/>
  <c r="H198"/>
  <c r="K198"/>
  <c r="J198" s="1"/>
  <c r="T198"/>
  <c r="S198" s="1"/>
  <c r="F199"/>
  <c r="H199"/>
  <c r="K199"/>
  <c r="J199" s="1"/>
  <c r="T199"/>
  <c r="S199" s="1"/>
  <c r="F200"/>
  <c r="H200"/>
  <c r="K200"/>
  <c r="J200" s="1"/>
  <c r="T200"/>
  <c r="S200" s="1"/>
  <c r="F201"/>
  <c r="H201"/>
  <c r="K201"/>
  <c r="J201" s="1"/>
  <c r="T201"/>
  <c r="S201" s="1"/>
  <c r="F202"/>
  <c r="H202"/>
  <c r="K202"/>
  <c r="J202" s="1"/>
  <c r="T202"/>
  <c r="S202" s="1"/>
  <c r="F203"/>
  <c r="H203"/>
  <c r="K203"/>
  <c r="J203" s="1"/>
  <c r="T203"/>
  <c r="S203" s="1"/>
  <c r="F204"/>
  <c r="H204"/>
  <c r="K204"/>
  <c r="J204" s="1"/>
  <c r="T204"/>
  <c r="S204" s="1"/>
  <c r="F205"/>
  <c r="H205"/>
  <c r="K205"/>
  <c r="J205" s="1"/>
  <c r="T205"/>
  <c r="S205" s="1"/>
  <c r="F206"/>
  <c r="H206"/>
  <c r="K206"/>
  <c r="J206" s="1"/>
  <c r="T206"/>
  <c r="S206" s="1"/>
  <c r="F207"/>
  <c r="H207"/>
  <c r="K207"/>
  <c r="J207" s="1"/>
  <c r="T207"/>
  <c r="S207" s="1"/>
  <c r="F208"/>
  <c r="H208"/>
  <c r="K208"/>
  <c r="J208" s="1"/>
  <c r="T208"/>
  <c r="S208" s="1"/>
  <c r="F209"/>
  <c r="H209"/>
  <c r="K209"/>
  <c r="J209" s="1"/>
  <c r="T209"/>
  <c r="S209" s="1"/>
  <c r="F210"/>
  <c r="H210"/>
  <c r="K210"/>
  <c r="J210" s="1"/>
  <c r="T210"/>
  <c r="S210" s="1"/>
  <c r="F211"/>
  <c r="H211"/>
  <c r="K211"/>
  <c r="J211" s="1"/>
  <c r="T211"/>
  <c r="S211" s="1"/>
  <c r="F212"/>
  <c r="H212"/>
  <c r="K212"/>
  <c r="J212" s="1"/>
  <c r="T212"/>
  <c r="S212" s="1"/>
  <c r="F213"/>
  <c r="H213"/>
  <c r="K213"/>
  <c r="J213" s="1"/>
  <c r="T213"/>
  <c r="S213" s="1"/>
  <c r="F214"/>
  <c r="H214"/>
  <c r="K214"/>
  <c r="J214" s="1"/>
  <c r="T214"/>
  <c r="S214" s="1"/>
  <c r="F215"/>
  <c r="H215"/>
  <c r="K215"/>
  <c r="J215" s="1"/>
  <c r="T215"/>
  <c r="S215" s="1"/>
  <c r="F216"/>
  <c r="H216"/>
  <c r="K216"/>
  <c r="J216" s="1"/>
  <c r="T216"/>
  <c r="S216" s="1"/>
  <c r="F217"/>
  <c r="H217"/>
  <c r="K217"/>
  <c r="J217" s="1"/>
  <c r="T217"/>
  <c r="S217" s="1"/>
  <c r="F218"/>
  <c r="H218"/>
  <c r="K218"/>
  <c r="J218" s="1"/>
  <c r="T218"/>
  <c r="S218" s="1"/>
  <c r="F219"/>
  <c r="H219"/>
  <c r="K219"/>
  <c r="J219" s="1"/>
  <c r="T219"/>
  <c r="S219" s="1"/>
  <c r="F220"/>
  <c r="H220"/>
  <c r="K220"/>
  <c r="J220" s="1"/>
  <c r="T220"/>
  <c r="S220" s="1"/>
  <c r="F221"/>
  <c r="H221"/>
  <c r="K221"/>
  <c r="J221" s="1"/>
  <c r="T221"/>
  <c r="S221" s="1"/>
  <c r="F222"/>
  <c r="H222"/>
  <c r="K222"/>
  <c r="J222" s="1"/>
  <c r="T222"/>
  <c r="S222" s="1"/>
  <c r="F223"/>
  <c r="H223"/>
  <c r="K223"/>
  <c r="J223" s="1"/>
  <c r="T223"/>
  <c r="S223" s="1"/>
  <c r="F224"/>
  <c r="H224"/>
  <c r="K224"/>
  <c r="J224" s="1"/>
  <c r="T224"/>
  <c r="S224" s="1"/>
  <c r="F225"/>
  <c r="H225"/>
  <c r="K225"/>
  <c r="J225" s="1"/>
  <c r="T225"/>
  <c r="S225" s="1"/>
  <c r="F226"/>
  <c r="H226"/>
  <c r="K226"/>
  <c r="J226" s="1"/>
  <c r="T226"/>
  <c r="S226" s="1"/>
  <c r="F227"/>
  <c r="H227"/>
  <c r="K227"/>
  <c r="J227" s="1"/>
  <c r="T227"/>
  <c r="S227" s="1"/>
  <c r="F228"/>
  <c r="H228"/>
  <c r="K228"/>
  <c r="J228" s="1"/>
  <c r="T228"/>
  <c r="S228" s="1"/>
  <c r="F229"/>
  <c r="H229"/>
  <c r="K229"/>
  <c r="J229" s="1"/>
  <c r="T229"/>
  <c r="S229" s="1"/>
  <c r="F230"/>
  <c r="H230"/>
  <c r="K230"/>
  <c r="J230" s="1"/>
  <c r="T230"/>
  <c r="S230" s="1"/>
  <c r="F231"/>
  <c r="H231"/>
  <c r="K231"/>
  <c r="J231" s="1"/>
  <c r="T231"/>
  <c r="S231" s="1"/>
  <c r="F232"/>
  <c r="H232"/>
  <c r="K232"/>
  <c r="J232" s="1"/>
  <c r="T232"/>
  <c r="S232" s="1"/>
  <c r="F233"/>
  <c r="H233"/>
  <c r="K233"/>
  <c r="J233" s="1"/>
  <c r="T233"/>
  <c r="S233" s="1"/>
  <c r="F234"/>
  <c r="H234"/>
  <c r="K234"/>
  <c r="J234" s="1"/>
  <c r="T234"/>
  <c r="S234" s="1"/>
  <c r="F235"/>
  <c r="H235"/>
  <c r="K235"/>
  <c r="J235" s="1"/>
  <c r="T235"/>
  <c r="S235" s="1"/>
  <c r="F236"/>
  <c r="H236"/>
  <c r="K236"/>
  <c r="J236" s="1"/>
  <c r="T236"/>
  <c r="S236" s="1"/>
  <c r="F237"/>
  <c r="H237"/>
  <c r="K237"/>
  <c r="J237" s="1"/>
  <c r="T237"/>
  <c r="S237" s="1"/>
  <c r="F238"/>
  <c r="H238"/>
  <c r="K238"/>
  <c r="J238" s="1"/>
  <c r="T238"/>
  <c r="S238" s="1"/>
  <c r="F239"/>
  <c r="H239"/>
  <c r="K239"/>
  <c r="J239" s="1"/>
  <c r="T239"/>
  <c r="S239" s="1"/>
  <c r="F240"/>
  <c r="H240"/>
  <c r="K240"/>
  <c r="J240" s="1"/>
  <c r="T240"/>
  <c r="S240" s="1"/>
  <c r="F241"/>
  <c r="H241"/>
  <c r="K241"/>
  <c r="J241" s="1"/>
  <c r="T241"/>
  <c r="S241" s="1"/>
  <c r="F242"/>
  <c r="H242"/>
  <c r="K242"/>
  <c r="J242" s="1"/>
  <c r="T242"/>
  <c r="S242" s="1"/>
  <c r="F243"/>
  <c r="H243"/>
  <c r="K243"/>
  <c r="J243" s="1"/>
  <c r="T243"/>
  <c r="S243" s="1"/>
  <c r="F244"/>
  <c r="H244"/>
  <c r="K244"/>
  <c r="J244" s="1"/>
  <c r="T244"/>
  <c r="S244" s="1"/>
  <c r="F245"/>
  <c r="H245"/>
  <c r="K245"/>
  <c r="J245" s="1"/>
  <c r="T245"/>
  <c r="S245" s="1"/>
  <c r="F246"/>
  <c r="H246"/>
  <c r="K246"/>
  <c r="J246" s="1"/>
  <c r="T246"/>
  <c r="S246" s="1"/>
  <c r="F247"/>
  <c r="H247"/>
  <c r="K247"/>
  <c r="J247" s="1"/>
  <c r="T247"/>
  <c r="S247" s="1"/>
  <c r="F248"/>
  <c r="H248"/>
  <c r="K248"/>
  <c r="J248" s="1"/>
  <c r="T248"/>
  <c r="S248" s="1"/>
  <c r="F249"/>
  <c r="H249"/>
  <c r="K249"/>
  <c r="J249" s="1"/>
  <c r="T249"/>
  <c r="S249" s="1"/>
  <c r="F250"/>
  <c r="H250"/>
  <c r="K250"/>
  <c r="J250" s="1"/>
  <c r="T250"/>
  <c r="S250" s="1"/>
  <c r="F251"/>
  <c r="H251"/>
  <c r="K251"/>
  <c r="J251" s="1"/>
  <c r="T251"/>
  <c r="S251" s="1"/>
  <c r="F252"/>
  <c r="H252"/>
  <c r="K252"/>
  <c r="J252" s="1"/>
  <c r="T252"/>
  <c r="S252" s="1"/>
  <c r="F253"/>
  <c r="H253"/>
  <c r="K253"/>
  <c r="J253" s="1"/>
  <c r="T253"/>
  <c r="S253" s="1"/>
  <c r="F254"/>
  <c r="H254"/>
  <c r="K254"/>
  <c r="J254" s="1"/>
  <c r="T254"/>
  <c r="S254" s="1"/>
  <c r="F255"/>
  <c r="H255"/>
  <c r="K255"/>
  <c r="J255" s="1"/>
  <c r="T255"/>
  <c r="S255" s="1"/>
  <c r="F256"/>
  <c r="H256"/>
  <c r="K256"/>
  <c r="J256" s="1"/>
  <c r="T256"/>
  <c r="S256" s="1"/>
  <c r="F257"/>
  <c r="H257"/>
  <c r="K257"/>
  <c r="J257" s="1"/>
  <c r="T257"/>
  <c r="S257" s="1"/>
  <c r="F258"/>
  <c r="H258"/>
  <c r="K258"/>
  <c r="J258" s="1"/>
  <c r="T258"/>
  <c r="S258" s="1"/>
  <c r="F259"/>
  <c r="H259"/>
  <c r="K259"/>
  <c r="J259" s="1"/>
  <c r="T259"/>
  <c r="S259" s="1"/>
  <c r="F260"/>
  <c r="H260"/>
  <c r="K260"/>
  <c r="J260" s="1"/>
  <c r="T260"/>
  <c r="S260" s="1"/>
  <c r="F261"/>
  <c r="H261"/>
  <c r="K261"/>
  <c r="J261" s="1"/>
  <c r="T261"/>
  <c r="S261" s="1"/>
  <c r="F262"/>
  <c r="H262"/>
  <c r="K262"/>
  <c r="J262" s="1"/>
  <c r="T262"/>
  <c r="S262" s="1"/>
  <c r="F263"/>
  <c r="H263"/>
  <c r="K263"/>
  <c r="J263" s="1"/>
  <c r="T263"/>
  <c r="S263" s="1"/>
  <c r="F264"/>
  <c r="H264"/>
  <c r="K264"/>
  <c r="J264" s="1"/>
  <c r="T264"/>
  <c r="S264" s="1"/>
  <c r="F265"/>
  <c r="H265"/>
  <c r="K265"/>
  <c r="J265" s="1"/>
  <c r="T265"/>
  <c r="S265" s="1"/>
  <c r="F266"/>
  <c r="H266"/>
  <c r="K266"/>
  <c r="J266" s="1"/>
  <c r="T266"/>
  <c r="S266" s="1"/>
  <c r="F267"/>
  <c r="H267"/>
  <c r="K267"/>
  <c r="J267" s="1"/>
  <c r="T267"/>
  <c r="S267" s="1"/>
  <c r="F268"/>
  <c r="H268"/>
  <c r="K268"/>
  <c r="J268" s="1"/>
  <c r="T268"/>
  <c r="S268" s="1"/>
  <c r="F269"/>
  <c r="H269"/>
  <c r="K269"/>
  <c r="J269" s="1"/>
  <c r="T269"/>
  <c r="S269" s="1"/>
  <c r="F270"/>
  <c r="H270"/>
  <c r="K270"/>
  <c r="J270" s="1"/>
  <c r="T270"/>
  <c r="S270" s="1"/>
  <c r="F271"/>
  <c r="H271"/>
  <c r="K271"/>
  <c r="J271" s="1"/>
  <c r="T271"/>
  <c r="S271" s="1"/>
  <c r="F272"/>
  <c r="H272"/>
  <c r="K272"/>
  <c r="J272" s="1"/>
  <c r="T272"/>
  <c r="S272" s="1"/>
  <c r="F273"/>
  <c r="H273"/>
  <c r="K273"/>
  <c r="J273" s="1"/>
  <c r="T273"/>
  <c r="S273" s="1"/>
  <c r="F274"/>
  <c r="H274"/>
  <c r="K274"/>
  <c r="J274" s="1"/>
  <c r="T274"/>
  <c r="S274" s="1"/>
  <c r="F275"/>
  <c r="H275"/>
  <c r="K275"/>
  <c r="J275" s="1"/>
  <c r="T275"/>
  <c r="S275" s="1"/>
  <c r="F276"/>
  <c r="H276"/>
  <c r="K276"/>
  <c r="J276" s="1"/>
  <c r="T276"/>
  <c r="S276" s="1"/>
  <c r="F277"/>
  <c r="H277"/>
  <c r="K277"/>
  <c r="J277" s="1"/>
  <c r="T277"/>
  <c r="S277" s="1"/>
  <c r="F278"/>
  <c r="H278"/>
  <c r="K278"/>
  <c r="J278" s="1"/>
  <c r="T278"/>
  <c r="S278" s="1"/>
  <c r="F279"/>
  <c r="H279"/>
  <c r="K279"/>
  <c r="J279" s="1"/>
  <c r="T279"/>
  <c r="S279" s="1"/>
  <c r="F280"/>
  <c r="H280"/>
  <c r="K280"/>
  <c r="J280" s="1"/>
  <c r="T280"/>
  <c r="S280" s="1"/>
  <c r="F281"/>
  <c r="H281"/>
  <c r="K281"/>
  <c r="J281" s="1"/>
  <c r="T281"/>
  <c r="S281" s="1"/>
  <c r="F282"/>
  <c r="H282"/>
  <c r="K282"/>
  <c r="J282" s="1"/>
  <c r="T282"/>
  <c r="S282" s="1"/>
  <c r="F283"/>
  <c r="H283"/>
  <c r="K283"/>
  <c r="J283" s="1"/>
  <c r="T283"/>
  <c r="S283" s="1"/>
  <c r="F284"/>
  <c r="H284"/>
  <c r="K284"/>
  <c r="J284" s="1"/>
  <c r="T284"/>
  <c r="S284" s="1"/>
  <c r="F285"/>
  <c r="H285"/>
  <c r="K285"/>
  <c r="J285" s="1"/>
  <c r="T285"/>
  <c r="S285" s="1"/>
  <c r="F286"/>
  <c r="H286"/>
  <c r="K286"/>
  <c r="J286" s="1"/>
  <c r="T286"/>
  <c r="S286" s="1"/>
  <c r="F287"/>
  <c r="H287"/>
  <c r="K287"/>
  <c r="J287" s="1"/>
  <c r="T287"/>
  <c r="S287" s="1"/>
  <c r="F288"/>
  <c r="H288"/>
  <c r="K288"/>
  <c r="J288" s="1"/>
  <c r="T288"/>
  <c r="S288" s="1"/>
  <c r="F289"/>
  <c r="H289"/>
  <c r="K289"/>
  <c r="J289" s="1"/>
  <c r="T289"/>
  <c r="S289" s="1"/>
  <c r="F290"/>
  <c r="H290"/>
  <c r="K290"/>
  <c r="J290" s="1"/>
  <c r="T290"/>
  <c r="S290" s="1"/>
  <c r="F291"/>
  <c r="H291"/>
  <c r="K291"/>
  <c r="J291" s="1"/>
  <c r="T291"/>
  <c r="S291" s="1"/>
  <c r="F292"/>
  <c r="H292"/>
  <c r="K292"/>
  <c r="J292" s="1"/>
  <c r="T292"/>
  <c r="S292" s="1"/>
  <c r="F293"/>
  <c r="H293"/>
  <c r="K293"/>
  <c r="J293" s="1"/>
  <c r="T293"/>
  <c r="S293" s="1"/>
  <c r="F294"/>
  <c r="H294"/>
  <c r="K294"/>
  <c r="J294" s="1"/>
  <c r="T294"/>
  <c r="S294" s="1"/>
  <c r="F295"/>
  <c r="H295"/>
  <c r="K295"/>
  <c r="J295" s="1"/>
  <c r="T295"/>
  <c r="S295" s="1"/>
  <c r="F296"/>
  <c r="H296"/>
  <c r="K296"/>
  <c r="J296" s="1"/>
  <c r="T296"/>
  <c r="S296" s="1"/>
  <c r="F297"/>
  <c r="H297"/>
  <c r="K297"/>
  <c r="J297" s="1"/>
  <c r="T297"/>
  <c r="S297" s="1"/>
  <c r="F298"/>
  <c r="H298"/>
  <c r="K298"/>
  <c r="J298" s="1"/>
  <c r="T298"/>
  <c r="S298" s="1"/>
  <c r="F299"/>
  <c r="H299"/>
  <c r="K299"/>
  <c r="J299" s="1"/>
  <c r="T299"/>
  <c r="S299" s="1"/>
  <c r="F300"/>
  <c r="H300"/>
  <c r="K300"/>
  <c r="J300" s="1"/>
  <c r="T300"/>
  <c r="S300" s="1"/>
  <c r="F301"/>
  <c r="H301"/>
  <c r="K301"/>
  <c r="J301" s="1"/>
  <c r="T301"/>
  <c r="S301" s="1"/>
  <c r="F302"/>
  <c r="H302"/>
  <c r="K302"/>
  <c r="J302" s="1"/>
  <c r="T302"/>
  <c r="S302" s="1"/>
  <c r="F303"/>
  <c r="H303"/>
  <c r="K303"/>
  <c r="J303" s="1"/>
  <c r="T303"/>
  <c r="S303" s="1"/>
  <c r="F304"/>
  <c r="H304"/>
  <c r="K304"/>
  <c r="J304" s="1"/>
  <c r="T304"/>
  <c r="S304" s="1"/>
  <c r="F305"/>
  <c r="H305"/>
  <c r="K305"/>
  <c r="J305" s="1"/>
  <c r="T305"/>
  <c r="S305" s="1"/>
  <c r="F306"/>
  <c r="H306"/>
  <c r="K306"/>
  <c r="J306" s="1"/>
  <c r="T306"/>
  <c r="S306" s="1"/>
  <c r="F307"/>
  <c r="H307"/>
  <c r="K307"/>
  <c r="J307" s="1"/>
  <c r="T307"/>
  <c r="S307" s="1"/>
  <c r="F308"/>
  <c r="H308"/>
  <c r="K308"/>
  <c r="J308" s="1"/>
  <c r="T308"/>
  <c r="S308" s="1"/>
  <c r="F309"/>
  <c r="H309"/>
  <c r="K309"/>
  <c r="J309" s="1"/>
  <c r="T309"/>
  <c r="S309" s="1"/>
  <c r="F310"/>
  <c r="H310"/>
  <c r="K310"/>
  <c r="J310" s="1"/>
  <c r="T310"/>
  <c r="S310" s="1"/>
  <c r="F311"/>
  <c r="H311"/>
  <c r="K311"/>
  <c r="J311" s="1"/>
  <c r="T311"/>
  <c r="S311" s="1"/>
  <c r="F312"/>
  <c r="H312"/>
  <c r="K312"/>
  <c r="J312" s="1"/>
  <c r="T312"/>
  <c r="S312" s="1"/>
  <c r="F313"/>
  <c r="H313"/>
  <c r="K313"/>
  <c r="J313" s="1"/>
  <c r="T313"/>
  <c r="S313" s="1"/>
  <c r="F314"/>
  <c r="H314"/>
  <c r="K314"/>
  <c r="J314" s="1"/>
  <c r="T314"/>
  <c r="S314" s="1"/>
  <c r="F315"/>
  <c r="H315"/>
  <c r="K315"/>
  <c r="J315" s="1"/>
  <c r="T315"/>
  <c r="S315" s="1"/>
  <c r="F316"/>
  <c r="H316"/>
  <c r="K316"/>
  <c r="J316" s="1"/>
  <c r="T316"/>
  <c r="S316" s="1"/>
  <c r="F317"/>
  <c r="H317"/>
  <c r="K317"/>
  <c r="J317" s="1"/>
  <c r="T317"/>
  <c r="S317" s="1"/>
  <c r="F318"/>
  <c r="H318"/>
  <c r="K318"/>
  <c r="J318" s="1"/>
  <c r="T318"/>
  <c r="S318" s="1"/>
  <c r="F319"/>
  <c r="H319"/>
  <c r="K319"/>
  <c r="J319" s="1"/>
  <c r="T319"/>
  <c r="S319" s="1"/>
  <c r="F320"/>
  <c r="H320"/>
  <c r="K320"/>
  <c r="J320" s="1"/>
  <c r="T320"/>
  <c r="S320" s="1"/>
  <c r="F321"/>
  <c r="H321"/>
  <c r="K321"/>
  <c r="J321" s="1"/>
  <c r="T321"/>
  <c r="S321" s="1"/>
  <c r="F322"/>
  <c r="H322"/>
  <c r="K322"/>
  <c r="J322" s="1"/>
  <c r="T322"/>
  <c r="S322" s="1"/>
  <c r="F323"/>
  <c r="H323"/>
  <c r="K323"/>
  <c r="J323" s="1"/>
  <c r="T323"/>
  <c r="S323" s="1"/>
  <c r="F324"/>
  <c r="H324"/>
  <c r="K324"/>
  <c r="J324" s="1"/>
  <c r="T324"/>
  <c r="S324" s="1"/>
  <c r="F325"/>
  <c r="H325"/>
  <c r="K325"/>
  <c r="J325" s="1"/>
  <c r="T325"/>
  <c r="S325" s="1"/>
  <c r="F326"/>
  <c r="H326"/>
  <c r="K326"/>
  <c r="J326" s="1"/>
  <c r="T326"/>
  <c r="S326" s="1"/>
  <c r="F327"/>
  <c r="H327"/>
  <c r="K327"/>
  <c r="J327" s="1"/>
  <c r="T327"/>
  <c r="S327" s="1"/>
  <c r="F328"/>
  <c r="H328"/>
  <c r="K328"/>
  <c r="J328" s="1"/>
  <c r="T328"/>
  <c r="S328" s="1"/>
  <c r="F329"/>
  <c r="H329"/>
  <c r="K329"/>
  <c r="J329" s="1"/>
  <c r="T329"/>
  <c r="S329" s="1"/>
  <c r="F330"/>
  <c r="H330"/>
  <c r="K330"/>
  <c r="J330" s="1"/>
  <c r="T330"/>
  <c r="S330" s="1"/>
  <c r="F331"/>
  <c r="H331"/>
  <c r="K331"/>
  <c r="J331" s="1"/>
  <c r="T331"/>
  <c r="S331" s="1"/>
  <c r="F332"/>
  <c r="H332"/>
  <c r="K332"/>
  <c r="J332" s="1"/>
  <c r="T332"/>
  <c r="S332" s="1"/>
  <c r="F333"/>
  <c r="H333"/>
  <c r="K333"/>
  <c r="J333" s="1"/>
  <c r="T333"/>
  <c r="S333" s="1"/>
  <c r="F334"/>
  <c r="H334"/>
  <c r="K334"/>
  <c r="J334" s="1"/>
  <c r="T334"/>
  <c r="S334" s="1"/>
  <c r="F335"/>
  <c r="H335"/>
  <c r="K335"/>
  <c r="J335" s="1"/>
  <c r="T335"/>
  <c r="S335" s="1"/>
  <c r="F336"/>
  <c r="H336"/>
  <c r="K336"/>
  <c r="J336" s="1"/>
  <c r="T336"/>
  <c r="S336" s="1"/>
  <c r="F337"/>
  <c r="H337"/>
  <c r="K337"/>
  <c r="J337" s="1"/>
  <c r="T337"/>
  <c r="S337" s="1"/>
  <c r="F338"/>
  <c r="H338"/>
  <c r="K338"/>
  <c r="J338" s="1"/>
  <c r="T338"/>
  <c r="S338" s="1"/>
  <c r="F339"/>
  <c r="H339"/>
  <c r="K339"/>
  <c r="J339" s="1"/>
  <c r="T339"/>
  <c r="S339" s="1"/>
  <c r="F340"/>
  <c r="H340"/>
  <c r="K340"/>
  <c r="J340" s="1"/>
  <c r="T340"/>
  <c r="S340" s="1"/>
  <c r="F341"/>
  <c r="H341"/>
  <c r="K341"/>
  <c r="J341" s="1"/>
  <c r="T341"/>
  <c r="S341" s="1"/>
  <c r="F342"/>
  <c r="H342"/>
  <c r="K342"/>
  <c r="J342" s="1"/>
  <c r="T342"/>
  <c r="S342" s="1"/>
  <c r="F343"/>
  <c r="H343"/>
  <c r="K343"/>
  <c r="J343" s="1"/>
  <c r="T343"/>
  <c r="S343" s="1"/>
  <c r="F344"/>
  <c r="H344"/>
  <c r="K344"/>
  <c r="J344" s="1"/>
  <c r="T344"/>
  <c r="S344" s="1"/>
  <c r="F345"/>
  <c r="H345"/>
  <c r="K345"/>
  <c r="J345" s="1"/>
  <c r="T345"/>
  <c r="S345" s="1"/>
  <c r="F346"/>
  <c r="H346"/>
  <c r="K346"/>
  <c r="J346" s="1"/>
  <c r="T346"/>
  <c r="S346" s="1"/>
  <c r="F347"/>
  <c r="H347"/>
  <c r="K347"/>
  <c r="J347" s="1"/>
  <c r="T347"/>
  <c r="S347" s="1"/>
  <c r="F348"/>
  <c r="H348"/>
  <c r="K348"/>
  <c r="J348" s="1"/>
  <c r="T348"/>
  <c r="S348" s="1"/>
  <c r="F349"/>
  <c r="H349"/>
  <c r="K349"/>
  <c r="J349" s="1"/>
  <c r="T349"/>
  <c r="S349" s="1"/>
  <c r="F350"/>
  <c r="H350"/>
  <c r="K350"/>
  <c r="J350" s="1"/>
  <c r="T350"/>
  <c r="S350" s="1"/>
  <c r="F351"/>
  <c r="H351"/>
  <c r="K351"/>
  <c r="J351" s="1"/>
  <c r="T351"/>
  <c r="S351" s="1"/>
  <c r="F352"/>
  <c r="H352"/>
  <c r="K352"/>
  <c r="J352" s="1"/>
  <c r="T352"/>
  <c r="S352" s="1"/>
  <c r="F353"/>
  <c r="H353"/>
  <c r="K353"/>
  <c r="J353" s="1"/>
  <c r="T353"/>
  <c r="S353" s="1"/>
  <c r="F354"/>
  <c r="H354"/>
  <c r="K354"/>
  <c r="J354" s="1"/>
  <c r="T354"/>
  <c r="S354" s="1"/>
  <c r="F355"/>
  <c r="H355"/>
  <c r="K355"/>
  <c r="J355" s="1"/>
  <c r="T355"/>
  <c r="S355" s="1"/>
  <c r="F356"/>
  <c r="H356"/>
  <c r="K356"/>
  <c r="J356" s="1"/>
  <c r="T356"/>
  <c r="S356" s="1"/>
  <c r="F357"/>
  <c r="H357"/>
  <c r="K357"/>
  <c r="J357" s="1"/>
  <c r="T357"/>
  <c r="S357" s="1"/>
  <c r="F358"/>
  <c r="H358"/>
  <c r="K358"/>
  <c r="J358" s="1"/>
  <c r="T358"/>
  <c r="S358" s="1"/>
  <c r="F359"/>
  <c r="H359"/>
  <c r="K359"/>
  <c r="J359" s="1"/>
  <c r="T359"/>
  <c r="S359" s="1"/>
  <c r="F360"/>
  <c r="H360"/>
  <c r="K360"/>
  <c r="J360" s="1"/>
  <c r="T360"/>
  <c r="S360" s="1"/>
  <c r="F361"/>
  <c r="H361"/>
  <c r="K361"/>
  <c r="J361" s="1"/>
  <c r="T361"/>
  <c r="S361" s="1"/>
  <c r="F362"/>
  <c r="H362"/>
  <c r="K362"/>
  <c r="J362" s="1"/>
  <c r="T362"/>
  <c r="S362" s="1"/>
  <c r="F363"/>
  <c r="H363"/>
  <c r="K363"/>
  <c r="J363" s="1"/>
  <c r="T363"/>
  <c r="S363" s="1"/>
  <c r="F364"/>
  <c r="H364"/>
  <c r="K364"/>
  <c r="J364" s="1"/>
  <c r="T364"/>
  <c r="S364" s="1"/>
  <c r="F365"/>
  <c r="H365"/>
  <c r="K365"/>
  <c r="J365" s="1"/>
  <c r="T365"/>
  <c r="S365" s="1"/>
  <c r="F366"/>
  <c r="H366"/>
  <c r="K366"/>
  <c r="J366" s="1"/>
  <c r="T366"/>
  <c r="S366" s="1"/>
  <c r="F367"/>
  <c r="H367"/>
  <c r="K367"/>
  <c r="J367" s="1"/>
  <c r="T367"/>
  <c r="S367" s="1"/>
  <c r="F368"/>
  <c r="H368"/>
  <c r="K368"/>
  <c r="J368" s="1"/>
  <c r="T368"/>
  <c r="S368" s="1"/>
  <c r="F369"/>
  <c r="H369"/>
  <c r="K369"/>
  <c r="J369" s="1"/>
  <c r="T369"/>
  <c r="S369" s="1"/>
  <c r="F370"/>
  <c r="H370"/>
  <c r="K370"/>
  <c r="J370" s="1"/>
  <c r="T370"/>
  <c r="S370" s="1"/>
  <c r="F371"/>
  <c r="H371"/>
  <c r="K371"/>
  <c r="J371" s="1"/>
  <c r="T371"/>
  <c r="S371" s="1"/>
  <c r="F372"/>
  <c r="H372"/>
  <c r="K372"/>
  <c r="J372" s="1"/>
  <c r="T372"/>
  <c r="S372" s="1"/>
  <c r="F373"/>
  <c r="H373"/>
  <c r="K373"/>
  <c r="J373" s="1"/>
  <c r="T373"/>
  <c r="S373" s="1"/>
  <c r="F374"/>
  <c r="H374"/>
  <c r="K374"/>
  <c r="J374" s="1"/>
  <c r="T374"/>
  <c r="S374" s="1"/>
  <c r="F375"/>
  <c r="H375"/>
  <c r="K375"/>
  <c r="J375" s="1"/>
  <c r="T375"/>
  <c r="S375" s="1"/>
  <c r="F376"/>
  <c r="H376"/>
  <c r="K376"/>
  <c r="J376" s="1"/>
  <c r="T376"/>
  <c r="S376" s="1"/>
  <c r="F377"/>
  <c r="H377"/>
  <c r="K377"/>
  <c r="J377" s="1"/>
  <c r="T377"/>
  <c r="S377" s="1"/>
  <c r="F378"/>
  <c r="H378"/>
  <c r="K378"/>
  <c r="J378" s="1"/>
  <c r="T378"/>
  <c r="S378" s="1"/>
  <c r="F379"/>
  <c r="H379"/>
  <c r="K379"/>
  <c r="J379" s="1"/>
  <c r="T379"/>
  <c r="S379" s="1"/>
  <c r="F380"/>
  <c r="H380"/>
  <c r="K380"/>
  <c r="J380" s="1"/>
  <c r="T380"/>
  <c r="S380" s="1"/>
  <c r="F381"/>
  <c r="H381"/>
  <c r="K381"/>
  <c r="J381" s="1"/>
  <c r="T381"/>
  <c r="S381" s="1"/>
  <c r="F382"/>
  <c r="H382"/>
  <c r="K382"/>
  <c r="J382" s="1"/>
  <c r="T382"/>
  <c r="S382" s="1"/>
  <c r="F383"/>
  <c r="H383"/>
  <c r="K383"/>
  <c r="J383" s="1"/>
  <c r="T383"/>
  <c r="S383" s="1"/>
  <c r="F384"/>
  <c r="H384"/>
  <c r="K384"/>
  <c r="J384" s="1"/>
  <c r="T384"/>
  <c r="S384" s="1"/>
  <c r="F385"/>
  <c r="H385"/>
  <c r="K385"/>
  <c r="J385" s="1"/>
  <c r="T385"/>
  <c r="S385" s="1"/>
  <c r="F386"/>
  <c r="H386"/>
  <c r="K386"/>
  <c r="J386" s="1"/>
  <c r="T386"/>
  <c r="S386" s="1"/>
  <c r="F387"/>
  <c r="H387"/>
  <c r="K387"/>
  <c r="J387" s="1"/>
  <c r="T387"/>
  <c r="S387" s="1"/>
  <c r="F388"/>
  <c r="H388"/>
  <c r="K388"/>
  <c r="J388" s="1"/>
  <c r="T388"/>
  <c r="S388" s="1"/>
  <c r="F389"/>
  <c r="H389"/>
  <c r="K389"/>
  <c r="J389" s="1"/>
  <c r="T389"/>
  <c r="S389" s="1"/>
  <c r="F390"/>
  <c r="H390"/>
  <c r="K390"/>
  <c r="J390" s="1"/>
  <c r="T390"/>
  <c r="S390" s="1"/>
  <c r="F391"/>
  <c r="H391"/>
  <c r="K391"/>
  <c r="J391" s="1"/>
  <c r="T391"/>
  <c r="S391" s="1"/>
  <c r="F392"/>
  <c r="H392"/>
  <c r="K392"/>
  <c r="J392" s="1"/>
  <c r="T392"/>
  <c r="S392" s="1"/>
  <c r="F393"/>
  <c r="H393"/>
  <c r="K393"/>
  <c r="J393" s="1"/>
  <c r="T393"/>
  <c r="S393" s="1"/>
  <c r="F394"/>
  <c r="H394"/>
  <c r="K394"/>
  <c r="J394" s="1"/>
  <c r="T394"/>
  <c r="S394" s="1"/>
  <c r="F395"/>
  <c r="H395"/>
  <c r="K395"/>
  <c r="J395" s="1"/>
  <c r="T395"/>
  <c r="S395" s="1"/>
  <c r="F396"/>
  <c r="H396"/>
  <c r="K396"/>
  <c r="J396" s="1"/>
  <c r="T396"/>
  <c r="S396" s="1"/>
  <c r="F397"/>
  <c r="H397"/>
  <c r="K397"/>
  <c r="J397" s="1"/>
  <c r="T397"/>
  <c r="S397" s="1"/>
  <c r="F398"/>
  <c r="H398"/>
  <c r="K398"/>
  <c r="J398" s="1"/>
  <c r="T398"/>
  <c r="S398" s="1"/>
  <c r="F399"/>
  <c r="H399"/>
  <c r="K399"/>
  <c r="J399" s="1"/>
  <c r="T399"/>
  <c r="S399" s="1"/>
  <c r="F400"/>
  <c r="H400"/>
  <c r="K400"/>
  <c r="J400" s="1"/>
  <c r="T400"/>
  <c r="S400" s="1"/>
  <c r="F401"/>
  <c r="H401"/>
  <c r="K401"/>
  <c r="J401" s="1"/>
  <c r="T401"/>
  <c r="S401" s="1"/>
  <c r="F402"/>
  <c r="H402"/>
  <c r="K402"/>
  <c r="J402" s="1"/>
  <c r="T402"/>
  <c r="S402" s="1"/>
  <c r="F403"/>
  <c r="H403"/>
  <c r="K403"/>
  <c r="J403" s="1"/>
  <c r="T403"/>
  <c r="S403" s="1"/>
  <c r="F404"/>
  <c r="H404"/>
  <c r="K404"/>
  <c r="J404" s="1"/>
  <c r="T404"/>
  <c r="S404" s="1"/>
  <c r="F405"/>
  <c r="H405"/>
  <c r="K405"/>
  <c r="J405" s="1"/>
  <c r="T405"/>
  <c r="S405" s="1"/>
  <c r="F406"/>
  <c r="H406"/>
  <c r="K406"/>
  <c r="J406" s="1"/>
  <c r="T406"/>
  <c r="S406" s="1"/>
  <c r="F407"/>
  <c r="H407"/>
  <c r="K407"/>
  <c r="J407" s="1"/>
  <c r="T407"/>
  <c r="S407" s="1"/>
  <c r="F408"/>
  <c r="H408"/>
  <c r="K408"/>
  <c r="J408" s="1"/>
  <c r="T408"/>
  <c r="S408" s="1"/>
  <c r="F409"/>
  <c r="H409"/>
  <c r="K409"/>
  <c r="J409" s="1"/>
  <c r="T409"/>
  <c r="S409" s="1"/>
  <c r="F410"/>
  <c r="H410"/>
  <c r="K410"/>
  <c r="J410" s="1"/>
  <c r="T410"/>
  <c r="S410" s="1"/>
  <c r="F411"/>
  <c r="H411"/>
  <c r="K411"/>
  <c r="J411" s="1"/>
  <c r="T411"/>
  <c r="S411" s="1"/>
  <c r="F412"/>
  <c r="H412"/>
  <c r="K412"/>
  <c r="J412" s="1"/>
  <c r="T412"/>
  <c r="S412" s="1"/>
  <c r="F413"/>
  <c r="H413"/>
  <c r="K413"/>
  <c r="J413" s="1"/>
  <c r="T413"/>
  <c r="S413" s="1"/>
  <c r="F414"/>
  <c r="H414"/>
  <c r="K414"/>
  <c r="J414" s="1"/>
  <c r="T414"/>
  <c r="S414" s="1"/>
  <c r="F415"/>
  <c r="H415"/>
  <c r="K415"/>
  <c r="J415" s="1"/>
  <c r="T415"/>
  <c r="S415" s="1"/>
  <c r="F416"/>
  <c r="H416"/>
  <c r="K416"/>
  <c r="J416" s="1"/>
  <c r="T416"/>
  <c r="S416" s="1"/>
  <c r="F417"/>
  <c r="H417"/>
  <c r="K417"/>
  <c r="J417" s="1"/>
  <c r="T417"/>
  <c r="S417" s="1"/>
  <c r="F418"/>
  <c r="H418"/>
  <c r="K418"/>
  <c r="J418" s="1"/>
  <c r="T418"/>
  <c r="S418" s="1"/>
  <c r="F419"/>
  <c r="H419"/>
  <c r="K419"/>
  <c r="J419" s="1"/>
  <c r="T419"/>
  <c r="S419" s="1"/>
  <c r="F420"/>
  <c r="H420"/>
  <c r="K420"/>
  <c r="J420" s="1"/>
  <c r="T420"/>
  <c r="S420" s="1"/>
  <c r="F421"/>
  <c r="H421"/>
  <c r="K421"/>
  <c r="J421" s="1"/>
  <c r="T421"/>
  <c r="S421" s="1"/>
  <c r="F422"/>
  <c r="H422"/>
  <c r="K422"/>
  <c r="J422" s="1"/>
  <c r="T422"/>
  <c r="S422" s="1"/>
  <c r="F423"/>
  <c r="H423"/>
  <c r="K423"/>
  <c r="J423" s="1"/>
  <c r="T423"/>
  <c r="S423" s="1"/>
  <c r="F424"/>
  <c r="H424"/>
  <c r="K424"/>
  <c r="J424" s="1"/>
  <c r="T424"/>
  <c r="S424" s="1"/>
  <c r="F425"/>
  <c r="H425"/>
  <c r="K425"/>
  <c r="J425" s="1"/>
  <c r="T425"/>
  <c r="S425" s="1"/>
  <c r="F426"/>
  <c r="H426"/>
  <c r="K426"/>
  <c r="J426" s="1"/>
  <c r="T426"/>
  <c r="S426" s="1"/>
  <c r="F427"/>
  <c r="H427"/>
  <c r="K427"/>
  <c r="J427" s="1"/>
  <c r="T427"/>
  <c r="S427" s="1"/>
  <c r="F428"/>
  <c r="H428"/>
  <c r="K428"/>
  <c r="J428" s="1"/>
  <c r="T428"/>
  <c r="S428" s="1"/>
  <c r="F429"/>
  <c r="H429"/>
  <c r="K429"/>
  <c r="J429" s="1"/>
  <c r="T429"/>
  <c r="S429" s="1"/>
  <c r="F430"/>
  <c r="H430"/>
  <c r="K430"/>
  <c r="J430" s="1"/>
  <c r="T430"/>
  <c r="S430" s="1"/>
  <c r="F431"/>
  <c r="H431"/>
  <c r="K431"/>
  <c r="J431" s="1"/>
  <c r="T431"/>
  <c r="S431" s="1"/>
  <c r="F432"/>
  <c r="H432"/>
  <c r="K432"/>
  <c r="J432" s="1"/>
  <c r="T432"/>
  <c r="S432" s="1"/>
  <c r="F433"/>
  <c r="H433"/>
  <c r="K433"/>
  <c r="J433" s="1"/>
  <c r="T433"/>
  <c r="S433" s="1"/>
  <c r="F434"/>
  <c r="H434"/>
  <c r="K434"/>
  <c r="J434" s="1"/>
  <c r="T434"/>
  <c r="S434" s="1"/>
  <c r="F435"/>
  <c r="H435"/>
  <c r="K435"/>
  <c r="J435" s="1"/>
  <c r="T435"/>
  <c r="S435" s="1"/>
  <c r="F436"/>
  <c r="H436"/>
  <c r="K436"/>
  <c r="J436" s="1"/>
  <c r="T436"/>
  <c r="S436" s="1"/>
  <c r="F437"/>
  <c r="H437"/>
  <c r="K437"/>
  <c r="J437" s="1"/>
  <c r="T437"/>
  <c r="S437" s="1"/>
  <c r="F438"/>
  <c r="H438"/>
  <c r="K438"/>
  <c r="J438" s="1"/>
  <c r="T438"/>
  <c r="S438" s="1"/>
  <c r="F439"/>
  <c r="H439"/>
  <c r="K439"/>
  <c r="J439" s="1"/>
  <c r="T439"/>
  <c r="S439" s="1"/>
  <c r="F440"/>
  <c r="H440"/>
  <c r="K440"/>
  <c r="J440" s="1"/>
  <c r="T440"/>
  <c r="S440" s="1"/>
  <c r="F441"/>
  <c r="H441"/>
  <c r="K441"/>
  <c r="J441" s="1"/>
  <c r="T441"/>
  <c r="S441" s="1"/>
  <c r="F442"/>
  <c r="H442"/>
  <c r="K442"/>
  <c r="J442" s="1"/>
  <c r="T442"/>
  <c r="S442" s="1"/>
  <c r="F443"/>
  <c r="H443"/>
  <c r="K443"/>
  <c r="J443" s="1"/>
  <c r="T443"/>
  <c r="S443" s="1"/>
  <c r="F444"/>
  <c r="H444"/>
  <c r="K444"/>
  <c r="J444" s="1"/>
  <c r="T444"/>
  <c r="S444" s="1"/>
  <c r="F445"/>
  <c r="H445"/>
  <c r="K445"/>
  <c r="J445" s="1"/>
  <c r="T445"/>
  <c r="S445" s="1"/>
  <c r="F446"/>
  <c r="H446"/>
  <c r="K446"/>
  <c r="J446" s="1"/>
  <c r="T446"/>
  <c r="S446" s="1"/>
  <c r="F447"/>
  <c r="H447"/>
  <c r="K447"/>
  <c r="J447" s="1"/>
  <c r="T447"/>
  <c r="S447" s="1"/>
  <c r="F448"/>
  <c r="H448"/>
  <c r="K448"/>
  <c r="J448" s="1"/>
  <c r="T448"/>
  <c r="S448" s="1"/>
  <c r="F449"/>
  <c r="H449"/>
  <c r="K449"/>
  <c r="J449" s="1"/>
  <c r="T449"/>
  <c r="S449" s="1"/>
  <c r="F450"/>
  <c r="H450"/>
  <c r="K450"/>
  <c r="J450" s="1"/>
  <c r="T450"/>
  <c r="S450" s="1"/>
  <c r="F451"/>
  <c r="H451"/>
  <c r="K451"/>
  <c r="J451" s="1"/>
  <c r="T451"/>
  <c r="S451" s="1"/>
  <c r="F452"/>
  <c r="H452"/>
  <c r="K452"/>
  <c r="J452" s="1"/>
  <c r="T452"/>
  <c r="S452" s="1"/>
  <c r="F453"/>
  <c r="H453"/>
  <c r="K453"/>
  <c r="J453" s="1"/>
  <c r="T453"/>
  <c r="S453" s="1"/>
  <c r="F454"/>
  <c r="H454"/>
  <c r="K454"/>
  <c r="J454" s="1"/>
  <c r="T454"/>
  <c r="S454" s="1"/>
  <c r="F455"/>
  <c r="H455"/>
  <c r="K455"/>
  <c r="J455" s="1"/>
  <c r="T455"/>
  <c r="S455" s="1"/>
  <c r="F456"/>
  <c r="H456"/>
  <c r="K456"/>
  <c r="J456" s="1"/>
  <c r="T456"/>
  <c r="S456" s="1"/>
  <c r="F457"/>
  <c r="H457"/>
  <c r="K457"/>
  <c r="J457" s="1"/>
  <c r="T457"/>
  <c r="S457" s="1"/>
  <c r="F458"/>
  <c r="H458"/>
  <c r="K458"/>
  <c r="J458" s="1"/>
  <c r="T458"/>
  <c r="S458" s="1"/>
  <c r="F459"/>
  <c r="H459"/>
  <c r="K459"/>
  <c r="J459" s="1"/>
  <c r="T459"/>
  <c r="S459" s="1"/>
  <c r="F460"/>
  <c r="H460"/>
  <c r="K460"/>
  <c r="J460" s="1"/>
  <c r="T460"/>
  <c r="S460" s="1"/>
  <c r="F461"/>
  <c r="H461"/>
  <c r="K461"/>
  <c r="J461" s="1"/>
  <c r="T461"/>
  <c r="S461" s="1"/>
  <c r="F462"/>
  <c r="H462"/>
  <c r="K462"/>
  <c r="J462" s="1"/>
  <c r="T462"/>
  <c r="S462" s="1"/>
  <c r="F463"/>
  <c r="H463"/>
  <c r="K463"/>
  <c r="J463" s="1"/>
  <c r="T463"/>
  <c r="S463" s="1"/>
  <c r="F464"/>
  <c r="H464"/>
  <c r="K464"/>
  <c r="J464" s="1"/>
  <c r="T464"/>
  <c r="S464" s="1"/>
  <c r="F465"/>
  <c r="H465"/>
  <c r="K465"/>
  <c r="J465" s="1"/>
  <c r="T465"/>
  <c r="S465" s="1"/>
  <c r="F466"/>
  <c r="H466"/>
  <c r="K466"/>
  <c r="J466" s="1"/>
  <c r="T466"/>
  <c r="S466" s="1"/>
  <c r="F467"/>
  <c r="H467"/>
  <c r="K467"/>
  <c r="J467" s="1"/>
  <c r="T467"/>
  <c r="S467" s="1"/>
  <c r="F468"/>
  <c r="H468"/>
  <c r="K468"/>
  <c r="J468" s="1"/>
  <c r="T468"/>
  <c r="S468" s="1"/>
  <c r="F469"/>
  <c r="H469"/>
  <c r="K469"/>
  <c r="J469" s="1"/>
  <c r="T469"/>
  <c r="S469" s="1"/>
  <c r="F470"/>
  <c r="H470"/>
  <c r="K470"/>
  <c r="J470" s="1"/>
  <c r="T470"/>
  <c r="S470" s="1"/>
  <c r="F471"/>
  <c r="H471"/>
  <c r="K471"/>
  <c r="J471" s="1"/>
  <c r="T471"/>
  <c r="S471" s="1"/>
  <c r="F472"/>
  <c r="H472"/>
  <c r="K472"/>
  <c r="J472" s="1"/>
  <c r="T472"/>
  <c r="S472" s="1"/>
  <c r="F473"/>
  <c r="H473"/>
  <c r="K473"/>
  <c r="J473" s="1"/>
  <c r="T473"/>
  <c r="S473" s="1"/>
  <c r="F474"/>
  <c r="H474"/>
  <c r="K474"/>
  <c r="J474" s="1"/>
  <c r="T474"/>
  <c r="S474" s="1"/>
  <c r="F475"/>
  <c r="H475"/>
  <c r="K475"/>
  <c r="J475" s="1"/>
  <c r="T475"/>
  <c r="S475" s="1"/>
  <c r="F476"/>
  <c r="H476"/>
  <c r="K476"/>
  <c r="J476" s="1"/>
  <c r="T476"/>
  <c r="S476" s="1"/>
  <c r="F477"/>
  <c r="H477"/>
  <c r="K477"/>
  <c r="J477" s="1"/>
  <c r="T477"/>
  <c r="S477" s="1"/>
  <c r="F478"/>
  <c r="H478"/>
  <c r="K478"/>
  <c r="J478" s="1"/>
  <c r="T478"/>
  <c r="S478" s="1"/>
  <c r="F479"/>
  <c r="H479"/>
  <c r="K479"/>
  <c r="J479" s="1"/>
  <c r="T479"/>
  <c r="S479" s="1"/>
  <c r="F480"/>
  <c r="H480"/>
  <c r="K480"/>
  <c r="J480" s="1"/>
  <c r="T480"/>
  <c r="S480" s="1"/>
  <c r="F481"/>
  <c r="H481"/>
  <c r="K481"/>
  <c r="J481" s="1"/>
  <c r="T481"/>
  <c r="S481" s="1"/>
  <c r="F482"/>
  <c r="H482"/>
  <c r="K482"/>
  <c r="J482" s="1"/>
  <c r="T482"/>
  <c r="S482" s="1"/>
  <c r="F483"/>
  <c r="H483"/>
  <c r="K483"/>
  <c r="J483" s="1"/>
  <c r="T483"/>
  <c r="S483" s="1"/>
  <c r="F484"/>
  <c r="H484"/>
  <c r="K484"/>
  <c r="J484" s="1"/>
  <c r="T484"/>
  <c r="S484" s="1"/>
  <c r="F485"/>
  <c r="H485"/>
  <c r="K485"/>
  <c r="J485" s="1"/>
  <c r="T485"/>
  <c r="S485" s="1"/>
  <c r="F486"/>
  <c r="H486"/>
  <c r="K486"/>
  <c r="J486" s="1"/>
  <c r="T486"/>
  <c r="S486" s="1"/>
  <c r="F487"/>
  <c r="H487"/>
  <c r="K487"/>
  <c r="J487" s="1"/>
  <c r="T487"/>
  <c r="S487" s="1"/>
  <c r="F488"/>
  <c r="H488"/>
  <c r="K488"/>
  <c r="J488" s="1"/>
  <c r="T488"/>
  <c r="S488" s="1"/>
  <c r="F489"/>
  <c r="H489"/>
  <c r="K489"/>
  <c r="J489" s="1"/>
  <c r="T489"/>
  <c r="S489" s="1"/>
  <c r="F490"/>
  <c r="H490"/>
  <c r="K490"/>
  <c r="J490" s="1"/>
  <c r="T490"/>
  <c r="S490" s="1"/>
  <c r="F491"/>
  <c r="H491"/>
  <c r="K491"/>
  <c r="J491" s="1"/>
  <c r="T491"/>
  <c r="S491" s="1"/>
  <c r="F492"/>
  <c r="H492"/>
  <c r="K492"/>
  <c r="J492" s="1"/>
  <c r="T492"/>
  <c r="S492" s="1"/>
  <c r="F493"/>
  <c r="H493"/>
  <c r="K493"/>
  <c r="J493" s="1"/>
  <c r="T493"/>
  <c r="S493" s="1"/>
  <c r="F494"/>
  <c r="H494"/>
  <c r="K494"/>
  <c r="J494" s="1"/>
  <c r="T494"/>
  <c r="S494" s="1"/>
  <c r="F495"/>
  <c r="H495"/>
  <c r="K495"/>
  <c r="J495" s="1"/>
  <c r="T495"/>
  <c r="S495" s="1"/>
  <c r="F496"/>
  <c r="H496"/>
  <c r="K496"/>
  <c r="J496" s="1"/>
  <c r="T496"/>
  <c r="S496" s="1"/>
  <c r="F497"/>
  <c r="H497"/>
  <c r="K497"/>
  <c r="J497" s="1"/>
  <c r="T497"/>
  <c r="S497" s="1"/>
  <c r="F498"/>
  <c r="H498"/>
  <c r="K498"/>
  <c r="J498" s="1"/>
  <c r="T498"/>
  <c r="S498" s="1"/>
  <c r="F499"/>
  <c r="H499"/>
  <c r="K499"/>
  <c r="J499" s="1"/>
  <c r="T499"/>
  <c r="S499" s="1"/>
  <c r="F500"/>
  <c r="H500"/>
  <c r="K500"/>
  <c r="J500" s="1"/>
  <c r="T500"/>
  <c r="S500" s="1"/>
  <c r="F501"/>
  <c r="H501"/>
  <c r="K501"/>
  <c r="J501" s="1"/>
  <c r="T501"/>
  <c r="S501" s="1"/>
  <c r="F502"/>
  <c r="H502"/>
  <c r="K502"/>
  <c r="J502" s="1"/>
  <c r="T502"/>
  <c r="S502" s="1"/>
  <c r="F503"/>
  <c r="H503"/>
  <c r="K503"/>
  <c r="J503" s="1"/>
  <c r="T503"/>
  <c r="S503" s="1"/>
  <c r="F504"/>
  <c r="H504"/>
  <c r="K504"/>
  <c r="J504" s="1"/>
  <c r="T504"/>
  <c r="S504" s="1"/>
  <c r="F505"/>
  <c r="H505"/>
  <c r="K505"/>
  <c r="J505" s="1"/>
  <c r="T505"/>
  <c r="S505" s="1"/>
  <c r="F506"/>
  <c r="H506"/>
  <c r="K506"/>
  <c r="J506" s="1"/>
  <c r="T506"/>
  <c r="S506" s="1"/>
  <c r="F507"/>
  <c r="H507"/>
  <c r="K507"/>
  <c r="J507" s="1"/>
  <c r="T507"/>
  <c r="S507" s="1"/>
  <c r="F508"/>
  <c r="H508"/>
  <c r="K508"/>
  <c r="J508" s="1"/>
  <c r="T508"/>
  <c r="S508" s="1"/>
  <c r="F509"/>
  <c r="H509"/>
  <c r="K509"/>
  <c r="J509" s="1"/>
  <c r="T509"/>
  <c r="S509" s="1"/>
  <c r="F510"/>
  <c r="H510"/>
  <c r="K510"/>
  <c r="J510" s="1"/>
  <c r="T510"/>
  <c r="S510" s="1"/>
  <c r="F511"/>
  <c r="H511"/>
  <c r="K511"/>
  <c r="J511" s="1"/>
  <c r="T511"/>
  <c r="S511" s="1"/>
  <c r="F512"/>
  <c r="H512"/>
  <c r="K512"/>
  <c r="J512" s="1"/>
  <c r="T512"/>
  <c r="S512" s="1"/>
  <c r="F513"/>
  <c r="H513"/>
  <c r="K513"/>
  <c r="J513" s="1"/>
  <c r="T513"/>
  <c r="S513" s="1"/>
  <c r="F514"/>
  <c r="H514"/>
  <c r="K514"/>
  <c r="J514" s="1"/>
  <c r="T514"/>
  <c r="S514" s="1"/>
  <c r="F515"/>
  <c r="H515"/>
  <c r="K515"/>
  <c r="J515" s="1"/>
  <c r="T515"/>
  <c r="S515" s="1"/>
  <c r="F516"/>
  <c r="H516"/>
  <c r="K516"/>
  <c r="J516" s="1"/>
  <c r="T516"/>
  <c r="S516" s="1"/>
  <c r="F517"/>
  <c r="H517"/>
  <c r="K517"/>
  <c r="J517" s="1"/>
  <c r="T517"/>
  <c r="S517" s="1"/>
  <c r="F518"/>
  <c r="H518"/>
  <c r="K518"/>
  <c r="J518" s="1"/>
  <c r="T518"/>
  <c r="S518" s="1"/>
  <c r="F519"/>
  <c r="H519"/>
  <c r="K519"/>
  <c r="J519" s="1"/>
  <c r="T519"/>
  <c r="S519" s="1"/>
  <c r="F520"/>
  <c r="H520"/>
  <c r="K520"/>
  <c r="J520" s="1"/>
  <c r="T520"/>
  <c r="S520" s="1"/>
  <c r="F521"/>
  <c r="H521"/>
  <c r="K521"/>
  <c r="J521" s="1"/>
  <c r="T521"/>
  <c r="S521" s="1"/>
  <c r="F522"/>
  <c r="H522"/>
  <c r="K522"/>
  <c r="J522" s="1"/>
  <c r="T522"/>
  <c r="S522" s="1"/>
  <c r="F523"/>
  <c r="H523"/>
  <c r="K523"/>
  <c r="J523" s="1"/>
  <c r="T523"/>
  <c r="S523" s="1"/>
  <c r="F524"/>
  <c r="H524"/>
  <c r="K524"/>
  <c r="J524" s="1"/>
  <c r="T524"/>
  <c r="S524" s="1"/>
  <c r="F525"/>
  <c r="H525"/>
  <c r="K525"/>
  <c r="J525" s="1"/>
  <c r="T525"/>
  <c r="S525" s="1"/>
  <c r="F526"/>
  <c r="H526"/>
  <c r="K526"/>
  <c r="J526" s="1"/>
  <c r="T526"/>
  <c r="S526" s="1"/>
  <c r="F527"/>
  <c r="H527"/>
  <c r="K527"/>
  <c r="J527" s="1"/>
  <c r="T527"/>
  <c r="S527" s="1"/>
  <c r="F528"/>
  <c r="H528"/>
  <c r="K528"/>
  <c r="J528" s="1"/>
  <c r="T528"/>
  <c r="S528" s="1"/>
  <c r="F529"/>
  <c r="H529"/>
  <c r="K529"/>
  <c r="J529" s="1"/>
  <c r="T529"/>
  <c r="S529" s="1"/>
  <c r="F530"/>
  <c r="H530"/>
  <c r="K530"/>
  <c r="J530" s="1"/>
  <c r="T530"/>
  <c r="S530" s="1"/>
  <c r="F531"/>
  <c r="H531"/>
  <c r="K531"/>
  <c r="J531" s="1"/>
  <c r="T531"/>
  <c r="S531" s="1"/>
  <c r="F532"/>
  <c r="H532"/>
  <c r="K532"/>
  <c r="J532" s="1"/>
  <c r="T532"/>
  <c r="S532" s="1"/>
  <c r="F533"/>
  <c r="H533"/>
  <c r="K533"/>
  <c r="J533" s="1"/>
  <c r="T533"/>
  <c r="S533" s="1"/>
  <c r="F534"/>
  <c r="H534"/>
  <c r="K534"/>
  <c r="J534" s="1"/>
  <c r="T534"/>
  <c r="S534" s="1"/>
  <c r="F535"/>
  <c r="H535"/>
  <c r="K535"/>
  <c r="J535" s="1"/>
  <c r="T535"/>
  <c r="S535" s="1"/>
  <c r="F536"/>
  <c r="H536"/>
  <c r="K536"/>
  <c r="J536" s="1"/>
  <c r="T536"/>
  <c r="S536" s="1"/>
  <c r="F537"/>
  <c r="H537"/>
  <c r="K537"/>
  <c r="J537" s="1"/>
  <c r="T537"/>
  <c r="S537" s="1"/>
  <c r="F538"/>
  <c r="H538"/>
  <c r="K538"/>
  <c r="J538" s="1"/>
  <c r="T538"/>
  <c r="S538" s="1"/>
  <c r="F539"/>
  <c r="H539"/>
  <c r="K539"/>
  <c r="J539" s="1"/>
  <c r="T539"/>
  <c r="S539" s="1"/>
  <c r="F540"/>
  <c r="H540"/>
  <c r="K540"/>
  <c r="J540" s="1"/>
  <c r="T540"/>
  <c r="S540" s="1"/>
  <c r="F541"/>
  <c r="H541"/>
  <c r="K541"/>
  <c r="J541" s="1"/>
  <c r="T541"/>
  <c r="S541" s="1"/>
  <c r="F542"/>
  <c r="H542"/>
  <c r="K542"/>
  <c r="J542" s="1"/>
  <c r="T542"/>
  <c r="S542" s="1"/>
  <c r="F543"/>
  <c r="H543"/>
  <c r="K543"/>
  <c r="J543" s="1"/>
  <c r="T543"/>
  <c r="S543" s="1"/>
  <c r="F544"/>
  <c r="H544"/>
  <c r="K544"/>
  <c r="J544" s="1"/>
  <c r="T544"/>
  <c r="S544" s="1"/>
  <c r="F545"/>
  <c r="H545"/>
  <c r="K545"/>
  <c r="J545" s="1"/>
  <c r="T545"/>
  <c r="S545" s="1"/>
  <c r="F546"/>
  <c r="H546"/>
  <c r="K546"/>
  <c r="J546" s="1"/>
  <c r="T546"/>
  <c r="S546" s="1"/>
  <c r="F547"/>
  <c r="H547"/>
  <c r="K547"/>
  <c r="J547" s="1"/>
  <c r="T547"/>
  <c r="S547" s="1"/>
  <c r="F548"/>
  <c r="H548"/>
  <c r="K548"/>
  <c r="J548" s="1"/>
  <c r="T548"/>
  <c r="S548" s="1"/>
  <c r="F549"/>
  <c r="H549"/>
  <c r="K549"/>
  <c r="J549" s="1"/>
  <c r="T549"/>
  <c r="S549" s="1"/>
  <c r="F550"/>
  <c r="H550"/>
  <c r="K550"/>
  <c r="J550" s="1"/>
  <c r="T550"/>
  <c r="S550" s="1"/>
  <c r="F551"/>
  <c r="H551"/>
  <c r="K551"/>
  <c r="J551" s="1"/>
  <c r="T551"/>
  <c r="S551" s="1"/>
  <c r="F552"/>
  <c r="H552"/>
  <c r="K552"/>
  <c r="J552" s="1"/>
  <c r="T552"/>
  <c r="S552" s="1"/>
  <c r="F553"/>
  <c r="H553"/>
  <c r="K553"/>
  <c r="J553" s="1"/>
  <c r="T553"/>
  <c r="S553" s="1"/>
  <c r="F554"/>
  <c r="H554"/>
  <c r="K554"/>
  <c r="J554" s="1"/>
  <c r="T554"/>
  <c r="S554" s="1"/>
  <c r="F555"/>
  <c r="H555"/>
  <c r="K555"/>
  <c r="J555" s="1"/>
  <c r="T555"/>
  <c r="S555" s="1"/>
  <c r="F556"/>
  <c r="H556"/>
  <c r="K556"/>
  <c r="J556" s="1"/>
  <c r="T556"/>
  <c r="S556" s="1"/>
  <c r="F557"/>
  <c r="H557"/>
  <c r="K557"/>
  <c r="J557" s="1"/>
  <c r="T557"/>
  <c r="S557" s="1"/>
  <c r="F558"/>
  <c r="H558"/>
  <c r="K558"/>
  <c r="J558" s="1"/>
  <c r="T558"/>
  <c r="S558" s="1"/>
  <c r="F559"/>
  <c r="H559"/>
  <c r="K559"/>
  <c r="J559" s="1"/>
  <c r="T559"/>
  <c r="S559" s="1"/>
  <c r="F560"/>
  <c r="H560"/>
  <c r="K560"/>
  <c r="J560" s="1"/>
  <c r="T560"/>
  <c r="S560" s="1"/>
  <c r="F561"/>
  <c r="H561"/>
  <c r="K561"/>
  <c r="J561" s="1"/>
  <c r="T561"/>
  <c r="S561" s="1"/>
  <c r="F562"/>
  <c r="H562"/>
  <c r="K562"/>
  <c r="J562" s="1"/>
  <c r="N562"/>
  <c r="O562"/>
  <c r="Q562"/>
  <c r="T562"/>
  <c r="S562" s="1"/>
  <c r="C563"/>
  <c r="E563"/>
  <c r="G563"/>
  <c r="F563" s="1"/>
  <c r="F564" s="1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580" s="1"/>
  <c r="F581" s="1"/>
  <c r="F582" s="1"/>
  <c r="F583" s="1"/>
  <c r="F584" s="1"/>
  <c r="F585" s="1"/>
  <c r="F586" s="1"/>
  <c r="F587" s="1"/>
  <c r="F588" s="1"/>
  <c r="F589" s="1"/>
  <c r="F590" s="1"/>
  <c r="F591" s="1"/>
  <c r="F592" s="1"/>
  <c r="F593" s="1"/>
  <c r="F594" s="1"/>
  <c r="F595" s="1"/>
  <c r="F596" s="1"/>
  <c r="F597" s="1"/>
  <c r="F598" s="1"/>
  <c r="F599" s="1"/>
  <c r="F600" s="1"/>
  <c r="F601" s="1"/>
  <c r="F602" s="1"/>
  <c r="F603" s="1"/>
  <c r="F604" s="1"/>
  <c r="F605" s="1"/>
  <c r="F606" s="1"/>
  <c r="F607" s="1"/>
  <c r="F608" s="1"/>
  <c r="F609" s="1"/>
  <c r="F610" s="1"/>
  <c r="F611" s="1"/>
  <c r="F612" s="1"/>
  <c r="F613" s="1"/>
  <c r="F614" s="1"/>
  <c r="F615" s="1"/>
  <c r="F616" s="1"/>
  <c r="F617" s="1"/>
  <c r="F618" s="1"/>
  <c r="F619" s="1"/>
  <c r="F620" s="1"/>
  <c r="F621" s="1"/>
  <c r="F622" s="1"/>
  <c r="F623" s="1"/>
  <c r="F624" s="1"/>
  <c r="F625" s="1"/>
  <c r="F626" s="1"/>
  <c r="F627" s="1"/>
  <c r="F628" s="1"/>
  <c r="F629" s="1"/>
  <c r="F630" s="1"/>
  <c r="F631" s="1"/>
  <c r="F632" s="1"/>
  <c r="F633" s="1"/>
  <c r="F634" s="1"/>
  <c r="F635" s="1"/>
  <c r="F636" s="1"/>
  <c r="F637" s="1"/>
  <c r="F638" s="1"/>
  <c r="F639" s="1"/>
  <c r="F640" s="1"/>
  <c r="F641" s="1"/>
  <c r="F642" s="1"/>
  <c r="F643" s="1"/>
  <c r="F644" s="1"/>
  <c r="F645" s="1"/>
  <c r="F646" s="1"/>
  <c r="F647" s="1"/>
  <c r="F648" s="1"/>
  <c r="F649" s="1"/>
  <c r="F650" s="1"/>
  <c r="F651" s="1"/>
  <c r="F652" s="1"/>
  <c r="F653" s="1"/>
  <c r="F654" s="1"/>
  <c r="F655" s="1"/>
  <c r="F656" s="1"/>
  <c r="F657" s="1"/>
  <c r="F658" s="1"/>
  <c r="F659" s="1"/>
  <c r="L563"/>
  <c r="K563" s="1"/>
  <c r="P563"/>
  <c r="O563" s="1"/>
  <c r="O564" s="1"/>
  <c r="O565" s="1"/>
  <c r="O566" s="1"/>
  <c r="O567" s="1"/>
  <c r="O568" s="1"/>
  <c r="O569" s="1"/>
  <c r="O570" s="1"/>
  <c r="O571" s="1"/>
  <c r="O572" s="1"/>
  <c r="O573" s="1"/>
  <c r="O574" s="1"/>
  <c r="O575" s="1"/>
  <c r="O576" s="1"/>
  <c r="O577" s="1"/>
  <c r="O578" s="1"/>
  <c r="O579" s="1"/>
  <c r="O580" s="1"/>
  <c r="O581" s="1"/>
  <c r="O582" s="1"/>
  <c r="O583" s="1"/>
  <c r="O584" s="1"/>
  <c r="O585" s="1"/>
  <c r="O586" s="1"/>
  <c r="O587" s="1"/>
  <c r="O588" s="1"/>
  <c r="O589" s="1"/>
  <c r="O590" s="1"/>
  <c r="O591" s="1"/>
  <c r="O592" s="1"/>
  <c r="O593" s="1"/>
  <c r="O594" s="1"/>
  <c r="O595" s="1"/>
  <c r="O596" s="1"/>
  <c r="O597" s="1"/>
  <c r="O598" s="1"/>
  <c r="O599" s="1"/>
  <c r="O600" s="1"/>
  <c r="O601" s="1"/>
  <c r="O602" s="1"/>
  <c r="O603" s="1"/>
  <c r="O604" s="1"/>
  <c r="O605" s="1"/>
  <c r="O606" s="1"/>
  <c r="O607" s="1"/>
  <c r="O608" s="1"/>
  <c r="O609" s="1"/>
  <c r="O610" s="1"/>
  <c r="O611" s="1"/>
  <c r="O612" s="1"/>
  <c r="O613" s="1"/>
  <c r="O614" s="1"/>
  <c r="O615" s="1"/>
  <c r="O616" s="1"/>
  <c r="O617" s="1"/>
  <c r="O618" s="1"/>
  <c r="O619" s="1"/>
  <c r="O620" s="1"/>
  <c r="O621" s="1"/>
  <c r="O622" s="1"/>
  <c r="O623" s="1"/>
  <c r="O624" s="1"/>
  <c r="O625" s="1"/>
  <c r="O626" s="1"/>
  <c r="O627" s="1"/>
  <c r="O628" s="1"/>
  <c r="O629" s="1"/>
  <c r="O630" s="1"/>
  <c r="O631" s="1"/>
  <c r="O632" s="1"/>
  <c r="O633" s="1"/>
  <c r="O634" s="1"/>
  <c r="O635" s="1"/>
  <c r="O636" s="1"/>
  <c r="O637" s="1"/>
  <c r="O638" s="1"/>
  <c r="O639" s="1"/>
  <c r="O640" s="1"/>
  <c r="O641" s="1"/>
  <c r="O642" s="1"/>
  <c r="O643" s="1"/>
  <c r="O644" s="1"/>
  <c r="O645" s="1"/>
  <c r="O646" s="1"/>
  <c r="O647" s="1"/>
  <c r="O648" s="1"/>
  <c r="O649" s="1"/>
  <c r="O650" s="1"/>
  <c r="O651" s="1"/>
  <c r="O652" s="1"/>
  <c r="O653" s="1"/>
  <c r="O654" s="1"/>
  <c r="O655" s="1"/>
  <c r="O656" s="1"/>
  <c r="O657" s="1"/>
  <c r="O658" s="1"/>
  <c r="O659" s="1"/>
  <c r="R563"/>
  <c r="Q563" s="1"/>
  <c r="Q564" s="1"/>
  <c r="Q565" s="1"/>
  <c r="Q566" s="1"/>
  <c r="Q567" s="1"/>
  <c r="Q568" s="1"/>
  <c r="Q569" s="1"/>
  <c r="Q570" s="1"/>
  <c r="Q571" s="1"/>
  <c r="Q572" s="1"/>
  <c r="Q573" s="1"/>
  <c r="Q574" s="1"/>
  <c r="Q575" s="1"/>
  <c r="Q576" s="1"/>
  <c r="Q577" s="1"/>
  <c r="Q578" s="1"/>
  <c r="Q579" s="1"/>
  <c r="Q580" s="1"/>
  <c r="Q581" s="1"/>
  <c r="Q582" s="1"/>
  <c r="Q583" s="1"/>
  <c r="Q584" s="1"/>
  <c r="Q585" s="1"/>
  <c r="Q586" s="1"/>
  <c r="Q587" s="1"/>
  <c r="Q588" s="1"/>
  <c r="Q589" s="1"/>
  <c r="Q590" s="1"/>
  <c r="Q591" s="1"/>
  <c r="Q592" s="1"/>
  <c r="Q593" s="1"/>
  <c r="Q594" s="1"/>
  <c r="Q595" s="1"/>
  <c r="Q596" s="1"/>
  <c r="Q597" s="1"/>
  <c r="Q598" s="1"/>
  <c r="Q599" s="1"/>
  <c r="Q600" s="1"/>
  <c r="Q601" s="1"/>
  <c r="Q602" s="1"/>
  <c r="Q603" s="1"/>
  <c r="Q604" s="1"/>
  <c r="Q605" s="1"/>
  <c r="Q606" s="1"/>
  <c r="Q607" s="1"/>
  <c r="Q608" s="1"/>
  <c r="Q609" s="1"/>
  <c r="Q610" s="1"/>
  <c r="Q611" s="1"/>
  <c r="Q612" s="1"/>
  <c r="Q613" s="1"/>
  <c r="Q614" s="1"/>
  <c r="Q615" s="1"/>
  <c r="Q616" s="1"/>
  <c r="Q617" s="1"/>
  <c r="Q618" s="1"/>
  <c r="Q619" s="1"/>
  <c r="Q620" s="1"/>
  <c r="Q621" s="1"/>
  <c r="Q622" s="1"/>
  <c r="Q623" s="1"/>
  <c r="Q624" s="1"/>
  <c r="Q625" s="1"/>
  <c r="Q626" s="1"/>
  <c r="Q627" s="1"/>
  <c r="Q628" s="1"/>
  <c r="Q629" s="1"/>
  <c r="Q630" s="1"/>
  <c r="Q631" s="1"/>
  <c r="Q632" s="1"/>
  <c r="Q633" s="1"/>
  <c r="Q634" s="1"/>
  <c r="Q635" s="1"/>
  <c r="Q636" s="1"/>
  <c r="Q637" s="1"/>
  <c r="Q638" s="1"/>
  <c r="Q639" s="1"/>
  <c r="Q640" s="1"/>
  <c r="Q641" s="1"/>
  <c r="Q642" s="1"/>
  <c r="Q643" s="1"/>
  <c r="Q644" s="1"/>
  <c r="Q645" s="1"/>
  <c r="Q646" s="1"/>
  <c r="Q647" s="1"/>
  <c r="Q648" s="1"/>
  <c r="Q649" s="1"/>
  <c r="Q650" s="1"/>
  <c r="Q651" s="1"/>
  <c r="Q652" s="1"/>
  <c r="Q653" s="1"/>
  <c r="Q654" s="1"/>
  <c r="Q655" s="1"/>
  <c r="Q656" s="1"/>
  <c r="Q657" s="1"/>
  <c r="Q658" s="1"/>
  <c r="Q659" s="1"/>
  <c r="U563"/>
  <c r="T563" s="1"/>
  <c r="C564"/>
  <c r="E564"/>
  <c r="C565"/>
  <c r="E565"/>
  <c r="C566"/>
  <c r="E566"/>
  <c r="C567"/>
  <c r="E567"/>
  <c r="C568"/>
  <c r="E568"/>
  <c r="C569"/>
  <c r="E569"/>
  <c r="C570"/>
  <c r="E570"/>
  <c r="C571"/>
  <c r="E571"/>
  <c r="C572"/>
  <c r="E572"/>
  <c r="C573"/>
  <c r="E573"/>
  <c r="C574"/>
  <c r="E574"/>
  <c r="C575"/>
  <c r="E575"/>
  <c r="C576"/>
  <c r="E576"/>
  <c r="C577"/>
  <c r="E577"/>
  <c r="C578"/>
  <c r="E578"/>
  <c r="C579"/>
  <c r="E579"/>
  <c r="C580"/>
  <c r="E580"/>
  <c r="C581"/>
  <c r="E581"/>
  <c r="C582"/>
  <c r="E582"/>
  <c r="C583"/>
  <c r="E583"/>
  <c r="C584"/>
  <c r="E584"/>
  <c r="C585"/>
  <c r="E585"/>
  <c r="C586"/>
  <c r="E586"/>
  <c r="C587"/>
  <c r="E587"/>
  <c r="C588"/>
  <c r="E588"/>
  <c r="C589"/>
  <c r="E589"/>
  <c r="C590"/>
  <c r="E590"/>
  <c r="C591"/>
  <c r="E591"/>
  <c r="C592"/>
  <c r="E592"/>
  <c r="C593"/>
  <c r="E593"/>
  <c r="C594"/>
  <c r="E594"/>
  <c r="C595"/>
  <c r="E595"/>
  <c r="C596"/>
  <c r="E596"/>
  <c r="C597"/>
  <c r="E597"/>
  <c r="C598"/>
  <c r="E598"/>
  <c r="C599"/>
  <c r="E599"/>
  <c r="C600"/>
  <c r="E600"/>
  <c r="C601"/>
  <c r="E601"/>
  <c r="C602"/>
  <c r="E602"/>
  <c r="C603"/>
  <c r="E603"/>
  <c r="C604"/>
  <c r="E604"/>
  <c r="C605"/>
  <c r="E605"/>
  <c r="C606"/>
  <c r="E606"/>
  <c r="C607"/>
  <c r="E607"/>
  <c r="C608"/>
  <c r="E608"/>
  <c r="C609"/>
  <c r="E609"/>
  <c r="C610"/>
  <c r="E610"/>
  <c r="C611"/>
  <c r="E611"/>
  <c r="C612"/>
  <c r="E612"/>
  <c r="C613"/>
  <c r="E613"/>
  <c r="C614"/>
  <c r="E614"/>
  <c r="C615"/>
  <c r="E615"/>
  <c r="C616"/>
  <c r="E616"/>
  <c r="C617"/>
  <c r="E617"/>
  <c r="C618"/>
  <c r="E618"/>
  <c r="C619"/>
  <c r="E619"/>
  <c r="C620"/>
  <c r="E620"/>
  <c r="C621"/>
  <c r="E621"/>
  <c r="C622"/>
  <c r="E622"/>
  <c r="C623"/>
  <c r="E623"/>
  <c r="C624"/>
  <c r="E624"/>
  <c r="C625"/>
  <c r="E625"/>
  <c r="C626"/>
  <c r="E626"/>
  <c r="C627"/>
  <c r="E627"/>
  <c r="C628"/>
  <c r="E628"/>
  <c r="C629"/>
  <c r="E629"/>
  <c r="C630"/>
  <c r="E630"/>
  <c r="C631"/>
  <c r="E631"/>
  <c r="C632"/>
  <c r="E632"/>
  <c r="C633"/>
  <c r="E633"/>
  <c r="C634"/>
  <c r="E634"/>
  <c r="C635"/>
  <c r="E635"/>
  <c r="C636"/>
  <c r="E636"/>
  <c r="C637"/>
  <c r="E637"/>
  <c r="C638"/>
  <c r="E638"/>
  <c r="C639"/>
  <c r="E639"/>
  <c r="C640"/>
  <c r="E640"/>
  <c r="C641"/>
  <c r="E641"/>
  <c r="C642"/>
  <c r="E642"/>
  <c r="C643"/>
  <c r="E643"/>
  <c r="C644"/>
  <c r="E644"/>
  <c r="C645"/>
  <c r="E645"/>
  <c r="C646"/>
  <c r="E646"/>
  <c r="C647"/>
  <c r="E647"/>
  <c r="C648"/>
  <c r="E648"/>
  <c r="C649"/>
  <c r="E649"/>
  <c r="C650"/>
  <c r="E650"/>
  <c r="C651"/>
  <c r="E651"/>
  <c r="C652"/>
  <c r="E652"/>
  <c r="C653"/>
  <c r="E653"/>
  <c r="C654"/>
  <c r="E654"/>
  <c r="C655"/>
  <c r="E655"/>
  <c r="C656"/>
  <c r="E656"/>
  <c r="C657"/>
  <c r="E657"/>
  <c r="C658"/>
  <c r="E658"/>
  <c r="C659"/>
  <c r="E659"/>
  <c r="C660"/>
  <c r="E660"/>
  <c r="F660"/>
  <c r="O660"/>
  <c r="Q660"/>
  <c r="C661"/>
  <c r="E661"/>
  <c r="F661"/>
  <c r="O661"/>
  <c r="Q661"/>
  <c r="C662"/>
  <c r="E662"/>
  <c r="F662"/>
  <c r="O662"/>
  <c r="Q662"/>
  <c r="C663"/>
  <c r="E663"/>
  <c r="F663"/>
  <c r="O663"/>
  <c r="Q663"/>
  <c r="C664"/>
  <c r="E664"/>
  <c r="F664"/>
  <c r="O664"/>
  <c r="Q664"/>
  <c r="C665"/>
  <c r="E665"/>
  <c r="F665"/>
  <c r="O665"/>
  <c r="Q665"/>
  <c r="C666"/>
  <c r="E666"/>
  <c r="F666"/>
  <c r="O666"/>
  <c r="Q666"/>
  <c r="C667"/>
  <c r="E667"/>
  <c r="F667"/>
  <c r="O667"/>
  <c r="Q667"/>
  <c r="C668"/>
  <c r="E668"/>
  <c r="F668"/>
  <c r="O668"/>
  <c r="Q668"/>
  <c r="C669"/>
  <c r="E669"/>
  <c r="F669"/>
  <c r="O669"/>
  <c r="Q669"/>
  <c r="C670"/>
  <c r="E670"/>
  <c r="F670"/>
  <c r="O670"/>
  <c r="Q670"/>
  <c r="C671"/>
  <c r="E671"/>
  <c r="F671"/>
  <c r="O671"/>
  <c r="Q671"/>
  <c r="C672"/>
  <c r="E672"/>
  <c r="F672"/>
  <c r="O672"/>
  <c r="Q672"/>
  <c r="C673"/>
  <c r="E673"/>
  <c r="F673"/>
  <c r="O673"/>
  <c r="Q673"/>
  <c r="C674"/>
  <c r="E674"/>
  <c r="F674"/>
  <c r="O674"/>
  <c r="Q674"/>
  <c r="C675"/>
  <c r="E675"/>
  <c r="F675"/>
  <c r="O675"/>
  <c r="Q675"/>
  <c r="C676"/>
  <c r="E676"/>
  <c r="F676"/>
  <c r="O676"/>
  <c r="Q676"/>
  <c r="C677"/>
  <c r="E677"/>
  <c r="F677"/>
  <c r="O677"/>
  <c r="Q677"/>
  <c r="C678"/>
  <c r="E678"/>
  <c r="F678"/>
  <c r="O678"/>
  <c r="Q678"/>
  <c r="C679"/>
  <c r="E679"/>
  <c r="F679"/>
  <c r="O679"/>
  <c r="Q679"/>
  <c r="C680"/>
  <c r="E680"/>
  <c r="F680"/>
  <c r="O680"/>
  <c r="Q680"/>
  <c r="C681"/>
  <c r="E681"/>
  <c r="F681"/>
  <c r="O681"/>
  <c r="Q681"/>
  <c r="C682"/>
  <c r="E682"/>
  <c r="F682"/>
  <c r="O682"/>
  <c r="Q682"/>
  <c r="C683"/>
  <c r="E683"/>
  <c r="J683"/>
  <c r="S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T20" i="21"/>
  <c r="P12" i="1" s="1"/>
  <c r="D2" i="2"/>
  <c r="O25" i="1"/>
  <c r="Q52"/>
  <c r="P52"/>
  <c r="O1"/>
  <c r="P1"/>
  <c r="Q1"/>
  <c r="R1"/>
  <c r="S1"/>
  <c r="T1"/>
  <c r="N1"/>
  <c r="B9"/>
  <c r="Q14"/>
  <c r="R14"/>
  <c r="S14"/>
  <c r="T14"/>
  <c r="O14"/>
  <c r="F40"/>
  <c r="G40"/>
  <c r="H40"/>
  <c r="I40"/>
  <c r="J40"/>
  <c r="K40"/>
  <c r="L40"/>
  <c r="M40"/>
  <c r="N40"/>
  <c r="E40"/>
  <c r="E17" i="2"/>
  <c r="R52" i="1"/>
  <c r="S52"/>
  <c r="O52"/>
  <c r="E3" i="38" s="1"/>
  <c r="F38" i="1"/>
  <c r="H59" s="1"/>
  <c r="G38"/>
  <c r="H60" s="1"/>
  <c r="H38"/>
  <c r="H61" s="1"/>
  <c r="I38"/>
  <c r="H62" s="1"/>
  <c r="J38"/>
  <c r="H63" s="1"/>
  <c r="K38"/>
  <c r="H64" s="1"/>
  <c r="L38"/>
  <c r="H65" s="1"/>
  <c r="M38"/>
  <c r="H66" s="1"/>
  <c r="N38"/>
  <c r="H67" s="1"/>
  <c r="F39"/>
  <c r="G39"/>
  <c r="H39"/>
  <c r="I39"/>
  <c r="J39"/>
  <c r="K39"/>
  <c r="L39"/>
  <c r="M39"/>
  <c r="N39"/>
  <c r="E39"/>
  <c r="E38"/>
  <c r="N35"/>
  <c r="E48" i="2"/>
  <c r="J13"/>
  <c r="E10"/>
  <c r="G8"/>
  <c r="H8" s="1"/>
  <c r="I8" s="1"/>
  <c r="J8" s="1"/>
  <c r="I26" i="3"/>
  <c r="G26"/>
  <c r="E26"/>
  <c r="P20"/>
  <c r="P21"/>
  <c r="P22"/>
  <c r="P23"/>
  <c r="P24"/>
  <c r="L14"/>
  <c r="J14"/>
  <c r="H14"/>
  <c r="F14"/>
  <c r="D14"/>
  <c r="D15" s="1"/>
  <c r="J28"/>
  <c r="H28"/>
  <c r="F28"/>
  <c r="D28"/>
  <c r="B28"/>
  <c r="J25"/>
  <c r="P25" s="1"/>
  <c r="M5" i="36"/>
  <c r="T12" i="1" l="1"/>
  <c r="S12"/>
  <c r="R12"/>
  <c r="Q12"/>
  <c r="E11" i="38"/>
  <c r="H11"/>
  <c r="I11"/>
  <c r="J11"/>
  <c r="I3"/>
  <c r="H3"/>
  <c r="G3"/>
  <c r="F3"/>
  <c r="J5"/>
  <c r="J3"/>
  <c r="S563" i="36"/>
  <c r="T564"/>
  <c r="J563"/>
  <c r="K564"/>
  <c r="D27" i="3"/>
  <c r="D29" s="1"/>
  <c r="E28"/>
  <c r="E27" s="1"/>
  <c r="G28"/>
  <c r="G27" s="1"/>
  <c r="I28"/>
  <c r="I27" s="1"/>
  <c r="P16"/>
  <c r="P17"/>
  <c r="P18"/>
  <c r="P19"/>
  <c r="E15"/>
  <c r="E29" s="1"/>
  <c r="F15"/>
  <c r="G15"/>
  <c r="G29" s="1"/>
  <c r="H15"/>
  <c r="I15"/>
  <c r="I29" s="1"/>
  <c r="J15"/>
  <c r="J10"/>
  <c r="H13"/>
  <c r="H12"/>
  <c r="F13"/>
  <c r="F12"/>
  <c r="D13"/>
  <c r="P13" s="1"/>
  <c r="D12"/>
  <c r="P12" s="1"/>
  <c r="H11"/>
  <c r="J11"/>
  <c r="F11"/>
  <c r="E11"/>
  <c r="P11" s="1"/>
  <c r="H10"/>
  <c r="D10"/>
  <c r="P10" s="1"/>
  <c r="H9"/>
  <c r="F9"/>
  <c r="E9"/>
  <c r="D9"/>
  <c r="P9" s="1"/>
  <c r="G6"/>
  <c r="I6"/>
  <c r="J8"/>
  <c r="J7"/>
  <c r="J6" s="1"/>
  <c r="H8"/>
  <c r="H7"/>
  <c r="H6" s="1"/>
  <c r="F8"/>
  <c r="E7"/>
  <c r="E6" s="1"/>
  <c r="F7"/>
  <c r="F6" s="1"/>
  <c r="D8"/>
  <c r="P8" s="1"/>
  <c r="D7"/>
  <c r="D6" s="1"/>
  <c r="D31" s="1"/>
  <c r="E39" i="2"/>
  <c r="F39" s="1"/>
  <c r="G32"/>
  <c r="H32" s="1"/>
  <c r="I32" s="1"/>
  <c r="J32" s="1"/>
  <c r="E19"/>
  <c r="G18"/>
  <c r="G21" s="1"/>
  <c r="F18"/>
  <c r="F21" s="1"/>
  <c r="E18"/>
  <c r="E21" s="1"/>
  <c r="D18"/>
  <c r="D21" s="1"/>
  <c r="F25"/>
  <c r="D25"/>
  <c r="E25"/>
  <c r="G25"/>
  <c r="I25"/>
  <c r="H25"/>
  <c r="E26"/>
  <c r="F26" s="1"/>
  <c r="G26" s="1"/>
  <c r="H26" s="1"/>
  <c r="I26" s="1"/>
  <c r="J31"/>
  <c r="I31"/>
  <c r="H31"/>
  <c r="G31"/>
  <c r="F31"/>
  <c r="F24"/>
  <c r="E24"/>
  <c r="F15"/>
  <c r="G15" s="1"/>
  <c r="H15" s="1"/>
  <c r="I15" s="1"/>
  <c r="J15" s="1"/>
  <c r="P20" i="21"/>
  <c r="N67" i="1"/>
  <c r="N66"/>
  <c r="N65"/>
  <c r="N64"/>
  <c r="N63"/>
  <c r="N62"/>
  <c r="N61"/>
  <c r="N60"/>
  <c r="N59"/>
  <c r="N58"/>
  <c r="F11" i="38" l="1"/>
  <c r="G11"/>
  <c r="J564" i="36"/>
  <c r="K565"/>
  <c r="S564"/>
  <c r="T565"/>
  <c r="D28" i="2"/>
  <c r="D13" s="1"/>
  <c r="E28"/>
  <c r="F28"/>
  <c r="G24"/>
  <c r="H24" s="1"/>
  <c r="I24" s="1"/>
  <c r="J24" s="1"/>
  <c r="H50"/>
  <c r="F50"/>
  <c r="P21" i="1" s="1"/>
  <c r="E13" i="2"/>
  <c r="F13"/>
  <c r="G39"/>
  <c r="I50"/>
  <c r="S21" i="1" s="1"/>
  <c r="E32" i="3"/>
  <c r="E31"/>
  <c r="P6"/>
  <c r="P7"/>
  <c r="J27"/>
  <c r="H27"/>
  <c r="H29" s="1"/>
  <c r="F27"/>
  <c r="P27" s="1"/>
  <c r="P28"/>
  <c r="D54"/>
  <c r="E55" s="1"/>
  <c r="P15"/>
  <c r="J29"/>
  <c r="P14"/>
  <c r="N47" i="1"/>
  <c r="N46"/>
  <c r="N45"/>
  <c r="N44"/>
  <c r="N43"/>
  <c r="N42"/>
  <c r="N41"/>
  <c r="E67"/>
  <c r="N36"/>
  <c r="F67" s="1"/>
  <c r="N37"/>
  <c r="L67"/>
  <c r="K67"/>
  <c r="M26"/>
  <c r="N26"/>
  <c r="L26"/>
  <c r="F24"/>
  <c r="G24"/>
  <c r="H24"/>
  <c r="I24"/>
  <c r="J24"/>
  <c r="K24"/>
  <c r="L24"/>
  <c r="M24"/>
  <c r="N24"/>
  <c r="E24"/>
  <c r="O59"/>
  <c r="M44"/>
  <c r="L58"/>
  <c r="K58"/>
  <c r="E35"/>
  <c r="E58" s="1"/>
  <c r="E36"/>
  <c r="E37"/>
  <c r="E41"/>
  <c r="E42"/>
  <c r="E43"/>
  <c r="E44"/>
  <c r="E45"/>
  <c r="E46"/>
  <c r="E47"/>
  <c r="E48" s="1"/>
  <c r="G29"/>
  <c r="H29" s="1"/>
  <c r="I29" s="1"/>
  <c r="J29" s="1"/>
  <c r="K29" s="1"/>
  <c r="L29" s="1"/>
  <c r="M29" s="1"/>
  <c r="L66"/>
  <c r="L65"/>
  <c r="L64"/>
  <c r="L63"/>
  <c r="L62"/>
  <c r="L61"/>
  <c r="L60"/>
  <c r="L59"/>
  <c r="K66"/>
  <c r="K65"/>
  <c r="K64"/>
  <c r="K63"/>
  <c r="K62"/>
  <c r="K61"/>
  <c r="K60"/>
  <c r="K59"/>
  <c r="D60"/>
  <c r="D61" s="1"/>
  <c r="D62" s="1"/>
  <c r="D63" s="1"/>
  <c r="D64" s="1"/>
  <c r="D65" s="1"/>
  <c r="D66" s="1"/>
  <c r="D67" s="1"/>
  <c r="D68" s="1"/>
  <c r="D69" s="1"/>
  <c r="C50"/>
  <c r="C6"/>
  <c r="S565" i="36" l="1"/>
  <c r="T566"/>
  <c r="J565"/>
  <c r="K566"/>
  <c r="S11" i="1"/>
  <c r="P39"/>
  <c r="P11"/>
  <c r="G28" i="2"/>
  <c r="I28"/>
  <c r="I13" s="1"/>
  <c r="H28"/>
  <c r="H13" s="1"/>
  <c r="S39" i="1"/>
  <c r="P26"/>
  <c r="P24"/>
  <c r="P9" s="1"/>
  <c r="P44"/>
  <c r="S26"/>
  <c r="S24"/>
  <c r="S44"/>
  <c r="H12" i="2"/>
  <c r="R21" i="1"/>
  <c r="I51" i="2"/>
  <c r="I12"/>
  <c r="F12"/>
  <c r="N48" i="1"/>
  <c r="M66"/>
  <c r="M27"/>
  <c r="M62"/>
  <c r="I27"/>
  <c r="M67"/>
  <c r="N27"/>
  <c r="D46" i="2" s="1"/>
  <c r="M63" i="1"/>
  <c r="J27"/>
  <c r="M59"/>
  <c r="F27"/>
  <c r="M58"/>
  <c r="E27"/>
  <c r="M64"/>
  <c r="K27"/>
  <c r="M60"/>
  <c r="G27"/>
  <c r="M65"/>
  <c r="L27"/>
  <c r="M61"/>
  <c r="H27"/>
  <c r="G13" i="2"/>
  <c r="K13" s="1"/>
  <c r="H39"/>
  <c r="J50"/>
  <c r="T21" i="1" s="1"/>
  <c r="F32" i="3"/>
  <c r="F31"/>
  <c r="E54"/>
  <c r="F29"/>
  <c r="G58" i="1"/>
  <c r="E34"/>
  <c r="N34"/>
  <c r="G67"/>
  <c r="P59"/>
  <c r="Q59" s="1"/>
  <c r="R59" s="1"/>
  <c r="S59" s="1"/>
  <c r="T59" s="1"/>
  <c r="F58"/>
  <c r="J43"/>
  <c r="F43"/>
  <c r="L42"/>
  <c r="H42"/>
  <c r="I44"/>
  <c r="K43"/>
  <c r="G43"/>
  <c r="M42"/>
  <c r="P42" s="1"/>
  <c r="Q42" s="1"/>
  <c r="R42" s="1"/>
  <c r="S42" s="1"/>
  <c r="T42" s="1"/>
  <c r="I42"/>
  <c r="J44"/>
  <c r="F44"/>
  <c r="L43"/>
  <c r="H43"/>
  <c r="J42"/>
  <c r="F42"/>
  <c r="K44"/>
  <c r="G44"/>
  <c r="M43"/>
  <c r="I43"/>
  <c r="K42"/>
  <c r="G42"/>
  <c r="L44"/>
  <c r="H44"/>
  <c r="P5"/>
  <c r="Q5" s="1"/>
  <c r="R5" s="1"/>
  <c r="S5" s="1"/>
  <c r="T5" s="1"/>
  <c r="G46"/>
  <c r="H46"/>
  <c r="I46"/>
  <c r="J46"/>
  <c r="K46"/>
  <c r="L46"/>
  <c r="M46"/>
  <c r="G47"/>
  <c r="H47"/>
  <c r="I47"/>
  <c r="J47"/>
  <c r="K47"/>
  <c r="L47"/>
  <c r="M47"/>
  <c r="F46"/>
  <c r="F47"/>
  <c r="F45"/>
  <c r="G45"/>
  <c r="H45"/>
  <c r="I45"/>
  <c r="J45"/>
  <c r="K45"/>
  <c r="L45"/>
  <c r="M45"/>
  <c r="G41"/>
  <c r="H41"/>
  <c r="I41"/>
  <c r="J41"/>
  <c r="K41"/>
  <c r="L41"/>
  <c r="M41"/>
  <c r="F41"/>
  <c r="G37"/>
  <c r="H37"/>
  <c r="I37"/>
  <c r="J37"/>
  <c r="K37"/>
  <c r="L37"/>
  <c r="M37"/>
  <c r="F37"/>
  <c r="G36"/>
  <c r="H36"/>
  <c r="I36"/>
  <c r="J36"/>
  <c r="K36"/>
  <c r="L36"/>
  <c r="M36"/>
  <c r="F36"/>
  <c r="F35"/>
  <c r="E59" s="1"/>
  <c r="G35"/>
  <c r="E60" s="1"/>
  <c r="H35"/>
  <c r="E61" s="1"/>
  <c r="I35"/>
  <c r="E62" s="1"/>
  <c r="J35"/>
  <c r="E63" s="1"/>
  <c r="K35"/>
  <c r="E64" s="1"/>
  <c r="L35"/>
  <c r="E65" s="1"/>
  <c r="M35"/>
  <c r="E66" s="1"/>
  <c r="P27" l="1"/>
  <c r="J566" i="36"/>
  <c r="K567"/>
  <c r="S566"/>
  <c r="T567"/>
  <c r="T11" i="1"/>
  <c r="T22"/>
  <c r="R11"/>
  <c r="S22"/>
  <c r="D50" i="2"/>
  <c r="E46"/>
  <c r="T39" i="1"/>
  <c r="R39"/>
  <c r="T26"/>
  <c r="T24"/>
  <c r="T27" s="1"/>
  <c r="T44"/>
  <c r="R26"/>
  <c r="R24"/>
  <c r="R44"/>
  <c r="S9"/>
  <c r="J12" i="2"/>
  <c r="J51"/>
  <c r="I39"/>
  <c r="F55" i="3"/>
  <c r="F54"/>
  <c r="G32"/>
  <c r="G31"/>
  <c r="G59" i="1"/>
  <c r="F34"/>
  <c r="G66"/>
  <c r="M34"/>
  <c r="G65"/>
  <c r="L34"/>
  <c r="G64"/>
  <c r="K34"/>
  <c r="G63"/>
  <c r="J34"/>
  <c r="G62"/>
  <c r="I34"/>
  <c r="G61"/>
  <c r="H34"/>
  <c r="G60"/>
  <c r="G34"/>
  <c r="S27"/>
  <c r="L48"/>
  <c r="L30" s="1"/>
  <c r="H48"/>
  <c r="H30" s="1"/>
  <c r="J48"/>
  <c r="J30" s="1"/>
  <c r="F59"/>
  <c r="F66"/>
  <c r="F65"/>
  <c r="F64"/>
  <c r="F63"/>
  <c r="F62"/>
  <c r="F61"/>
  <c r="F60"/>
  <c r="M48"/>
  <c r="M30" s="1"/>
  <c r="I48"/>
  <c r="I30" s="1"/>
  <c r="F48"/>
  <c r="F30" s="1"/>
  <c r="K48"/>
  <c r="K30" s="1"/>
  <c r="G48"/>
  <c r="G30" s="1"/>
  <c r="S567" i="36" l="1"/>
  <c r="T568"/>
  <c r="J567"/>
  <c r="K568"/>
  <c r="D12" i="2"/>
  <c r="D5" s="1"/>
  <c r="D4" s="1"/>
  <c r="D1" s="1"/>
  <c r="R9" i="1"/>
  <c r="R27"/>
  <c r="T9"/>
  <c r="J39" i="2"/>
  <c r="H32" i="3"/>
  <c r="H31"/>
  <c r="G54"/>
  <c r="G55"/>
  <c r="P8" i="1"/>
  <c r="P7"/>
  <c r="N30"/>
  <c r="J568" i="36" l="1"/>
  <c r="K569"/>
  <c r="S568"/>
  <c r="T569"/>
  <c r="H54" i="3"/>
  <c r="H55"/>
  <c r="I32"/>
  <c r="I31"/>
  <c r="P46" i="1"/>
  <c r="S569" i="36" l="1"/>
  <c r="T570"/>
  <c r="J569"/>
  <c r="K570"/>
  <c r="J32" i="3"/>
  <c r="J31"/>
  <c r="I54"/>
  <c r="I55"/>
  <c r="R7" i="1"/>
  <c r="R8"/>
  <c r="J570" i="36" l="1"/>
  <c r="K571"/>
  <c r="S570"/>
  <c r="T571"/>
  <c r="J54" i="3"/>
  <c r="J55"/>
  <c r="S7" i="1"/>
  <c r="S8"/>
  <c r="S571" i="36" l="1"/>
  <c r="T572"/>
  <c r="J571"/>
  <c r="K572"/>
  <c r="T7" i="1"/>
  <c r="T8"/>
  <c r="J572" i="36" l="1"/>
  <c r="K573"/>
  <c r="S572"/>
  <c r="T573"/>
  <c r="E50" i="2"/>
  <c r="O21" i="1" s="1"/>
  <c r="P22" s="1"/>
  <c r="S573" i="36" l="1"/>
  <c r="T574"/>
  <c r="J573"/>
  <c r="K574"/>
  <c r="O39" i="1"/>
  <c r="O11"/>
  <c r="E12" i="2"/>
  <c r="E5" s="1"/>
  <c r="E4" s="1"/>
  <c r="O6" i="1" s="1"/>
  <c r="E51" i="2"/>
  <c r="F51"/>
  <c r="J574" i="36" l="1"/>
  <c r="K575"/>
  <c r="S574"/>
  <c r="T575"/>
  <c r="E1" i="2"/>
  <c r="E2" s="1"/>
  <c r="O26" i="1"/>
  <c r="O24"/>
  <c r="O27" s="1"/>
  <c r="O44"/>
  <c r="O8"/>
  <c r="O46"/>
  <c r="O35"/>
  <c r="S575" i="36" l="1"/>
  <c r="T576"/>
  <c r="J575"/>
  <c r="K576"/>
  <c r="O7" i="1"/>
  <c r="O9"/>
  <c r="O34"/>
  <c r="O43"/>
  <c r="J576" i="36" l="1"/>
  <c r="K577"/>
  <c r="S576"/>
  <c r="T577"/>
  <c r="O13" i="1"/>
  <c r="O15" s="1"/>
  <c r="O16" s="1"/>
  <c r="O47"/>
  <c r="S577" i="36" l="1"/>
  <c r="T578"/>
  <c r="J577"/>
  <c r="K578"/>
  <c r="O18" i="1"/>
  <c r="O48"/>
  <c r="O30" l="1"/>
  <c r="E9" i="38" s="1"/>
  <c r="E13" s="1"/>
  <c r="E7"/>
  <c r="J578" i="36"/>
  <c r="K579"/>
  <c r="S578"/>
  <c r="T579"/>
  <c r="O61" i="1"/>
  <c r="G50" i="2"/>
  <c r="G12"/>
  <c r="Q21" i="1"/>
  <c r="H51" i="2"/>
  <c r="G51"/>
  <c r="F47"/>
  <c r="F10"/>
  <c r="F5"/>
  <c r="F4"/>
  <c r="P6" i="1" s="1"/>
  <c r="G47" i="2"/>
  <c r="H47" s="1"/>
  <c r="S579" i="36" l="1"/>
  <c r="T580"/>
  <c r="J579"/>
  <c r="K580"/>
  <c r="Q22" i="1"/>
  <c r="R22"/>
  <c r="Q44"/>
  <c r="Q11"/>
  <c r="Q9"/>
  <c r="Q8"/>
  <c r="Q24"/>
  <c r="Q27" s="1"/>
  <c r="Q26"/>
  <c r="Q46"/>
  <c r="Q39"/>
  <c r="F1" i="2"/>
  <c r="F2" s="1"/>
  <c r="Q7" i="1"/>
  <c r="I47" i="2"/>
  <c r="J580" i="36" l="1"/>
  <c r="K581"/>
  <c r="S580"/>
  <c r="T581"/>
  <c r="P13" i="1"/>
  <c r="P15" s="1"/>
  <c r="P16" s="1"/>
  <c r="P35"/>
  <c r="P43" s="1"/>
  <c r="G10" i="2"/>
  <c r="G5"/>
  <c r="G4" s="1"/>
  <c r="J47"/>
  <c r="H10"/>
  <c r="H5"/>
  <c r="H4" s="1"/>
  <c r="S581" i="36" l="1"/>
  <c r="T582"/>
  <c r="J581"/>
  <c r="K582"/>
  <c r="P34" i="1"/>
  <c r="P18"/>
  <c r="H1" i="2"/>
  <c r="G1"/>
  <c r="P47" i="1"/>
  <c r="J10" i="2"/>
  <c r="J5"/>
  <c r="J4" s="1"/>
  <c r="T6" i="1" s="1"/>
  <c r="I10" i="2"/>
  <c r="I5"/>
  <c r="I4" s="1"/>
  <c r="P30" i="1" l="1"/>
  <c r="F9" i="38" s="1"/>
  <c r="F13" s="1"/>
  <c r="F7"/>
  <c r="J582" i="36"/>
  <c r="K583"/>
  <c r="S582"/>
  <c r="T583"/>
  <c r="B16" i="1"/>
  <c r="T13"/>
  <c r="T15" s="1"/>
  <c r="T16" s="1"/>
  <c r="I1" i="2"/>
  <c r="J1"/>
  <c r="J2" s="1"/>
  <c r="P48" i="1"/>
  <c r="S583" i="36" l="1"/>
  <c r="T584"/>
  <c r="J583"/>
  <c r="K584"/>
  <c r="T35" i="1"/>
  <c r="T43" s="1"/>
  <c r="T47" s="1"/>
  <c r="T18"/>
  <c r="P61"/>
  <c r="T30" l="1"/>
  <c r="F82" s="1"/>
  <c r="J7" i="38"/>
  <c r="J584" i="36"/>
  <c r="K585"/>
  <c r="S584"/>
  <c r="T585"/>
  <c r="T34" i="1"/>
  <c r="T48"/>
  <c r="T61" s="1"/>
  <c r="J15" i="37" l="1"/>
  <c r="J9" i="38"/>
  <c r="J13" s="1"/>
  <c r="S585" i="36"/>
  <c r="T586"/>
  <c r="J585"/>
  <c r="K586"/>
  <c r="J586" l="1"/>
  <c r="K587"/>
  <c r="S586"/>
  <c r="T587"/>
  <c r="S587" l="1"/>
  <c r="T588"/>
  <c r="J587"/>
  <c r="K588"/>
  <c r="J588" l="1"/>
  <c r="K589"/>
  <c r="S588"/>
  <c r="T589"/>
  <c r="S589" l="1"/>
  <c r="T590"/>
  <c r="J589"/>
  <c r="K590"/>
  <c r="J590" l="1"/>
  <c r="K591"/>
  <c r="S590"/>
  <c r="T591"/>
  <c r="S591" l="1"/>
  <c r="T592"/>
  <c r="J591"/>
  <c r="K592"/>
  <c r="J592" l="1"/>
  <c r="K593"/>
  <c r="S592"/>
  <c r="T593"/>
  <c r="S593" l="1"/>
  <c r="T594"/>
  <c r="J593"/>
  <c r="K594"/>
  <c r="J594" l="1"/>
  <c r="K595"/>
  <c r="S594"/>
  <c r="T595"/>
  <c r="S595" l="1"/>
  <c r="T596"/>
  <c r="J595"/>
  <c r="K596"/>
  <c r="J596" l="1"/>
  <c r="K597"/>
  <c r="S596"/>
  <c r="T597"/>
  <c r="S597" l="1"/>
  <c r="T598"/>
  <c r="J597"/>
  <c r="K598"/>
  <c r="J598" l="1"/>
  <c r="K599"/>
  <c r="S598"/>
  <c r="T599"/>
  <c r="S599" l="1"/>
  <c r="T600"/>
  <c r="J599"/>
  <c r="K600"/>
  <c r="J600" l="1"/>
  <c r="K601"/>
  <c r="S600"/>
  <c r="T601"/>
  <c r="S601" l="1"/>
  <c r="T602"/>
  <c r="J601"/>
  <c r="K602"/>
  <c r="J602" l="1"/>
  <c r="K603"/>
  <c r="S602"/>
  <c r="T603"/>
  <c r="S603" l="1"/>
  <c r="T604"/>
  <c r="J603"/>
  <c r="K604"/>
  <c r="J604" l="1"/>
  <c r="K605"/>
  <c r="S604"/>
  <c r="T605"/>
  <c r="S605" l="1"/>
  <c r="T606"/>
  <c r="J605"/>
  <c r="K606"/>
  <c r="J606" l="1"/>
  <c r="K607"/>
  <c r="S606"/>
  <c r="T607"/>
  <c r="S607" l="1"/>
  <c r="T608"/>
  <c r="J607"/>
  <c r="K608"/>
  <c r="J608" l="1"/>
  <c r="K609"/>
  <c r="S608"/>
  <c r="T609"/>
  <c r="S609" l="1"/>
  <c r="T610"/>
  <c r="J609"/>
  <c r="K610"/>
  <c r="J610" l="1"/>
  <c r="K611"/>
  <c r="S610"/>
  <c r="T611"/>
  <c r="S611" l="1"/>
  <c r="T612"/>
  <c r="J611"/>
  <c r="K612"/>
  <c r="J612" l="1"/>
  <c r="K613"/>
  <c r="S612"/>
  <c r="T613"/>
  <c r="S613" l="1"/>
  <c r="T614"/>
  <c r="J613"/>
  <c r="K614"/>
  <c r="J614" l="1"/>
  <c r="K615"/>
  <c r="S614"/>
  <c r="T615"/>
  <c r="S615" l="1"/>
  <c r="T616"/>
  <c r="J615"/>
  <c r="K616"/>
  <c r="J616" l="1"/>
  <c r="K617"/>
  <c r="S616"/>
  <c r="T617"/>
  <c r="S617" l="1"/>
  <c r="T618"/>
  <c r="J617"/>
  <c r="K618"/>
  <c r="J618" l="1"/>
  <c r="K619"/>
  <c r="S618"/>
  <c r="T619"/>
  <c r="S619" l="1"/>
  <c r="T620"/>
  <c r="J619"/>
  <c r="K620"/>
  <c r="J620" l="1"/>
  <c r="K621"/>
  <c r="S620"/>
  <c r="T621"/>
  <c r="S621" l="1"/>
  <c r="T622"/>
  <c r="J621"/>
  <c r="K622"/>
  <c r="J622" l="1"/>
  <c r="K623"/>
  <c r="S622"/>
  <c r="T623"/>
  <c r="S623" l="1"/>
  <c r="T624"/>
  <c r="J623"/>
  <c r="K624"/>
  <c r="J624" l="1"/>
  <c r="K625"/>
  <c r="S624"/>
  <c r="T625"/>
  <c r="S625" l="1"/>
  <c r="T626"/>
  <c r="J625"/>
  <c r="K626"/>
  <c r="J626" l="1"/>
  <c r="K627"/>
  <c r="S626"/>
  <c r="T627"/>
  <c r="S627" l="1"/>
  <c r="T628"/>
  <c r="J627"/>
  <c r="K628"/>
  <c r="J628" l="1"/>
  <c r="K629"/>
  <c r="S628"/>
  <c r="T629"/>
  <c r="S629" l="1"/>
  <c r="T630"/>
  <c r="J629"/>
  <c r="K630"/>
  <c r="J630" l="1"/>
  <c r="K631"/>
  <c r="S630"/>
  <c r="T631"/>
  <c r="S631" l="1"/>
  <c r="T632"/>
  <c r="J631"/>
  <c r="K632"/>
  <c r="J632" l="1"/>
  <c r="K633"/>
  <c r="S632"/>
  <c r="T633"/>
  <c r="S633" l="1"/>
  <c r="T634"/>
  <c r="J633"/>
  <c r="K634"/>
  <c r="J634" l="1"/>
  <c r="K635"/>
  <c r="S634"/>
  <c r="T635"/>
  <c r="S635" l="1"/>
  <c r="T636"/>
  <c r="J635"/>
  <c r="K636"/>
  <c r="J636" l="1"/>
  <c r="K637"/>
  <c r="S636"/>
  <c r="T637"/>
  <c r="S637" l="1"/>
  <c r="T638"/>
  <c r="J637"/>
  <c r="K638"/>
  <c r="J638" l="1"/>
  <c r="K639"/>
  <c r="S638"/>
  <c r="T639"/>
  <c r="S639" l="1"/>
  <c r="T640"/>
  <c r="J639"/>
  <c r="K640"/>
  <c r="J640" l="1"/>
  <c r="K641"/>
  <c r="S640"/>
  <c r="T641"/>
  <c r="S641" l="1"/>
  <c r="T642"/>
  <c r="J641"/>
  <c r="K642"/>
  <c r="J642" l="1"/>
  <c r="K643"/>
  <c r="S642"/>
  <c r="T643"/>
  <c r="S643" l="1"/>
  <c r="T644"/>
  <c r="J643"/>
  <c r="K644"/>
  <c r="J644" l="1"/>
  <c r="K645"/>
  <c r="S644"/>
  <c r="T645"/>
  <c r="S645" l="1"/>
  <c r="T646"/>
  <c r="J645"/>
  <c r="K646"/>
  <c r="J646" l="1"/>
  <c r="K647"/>
  <c r="S646"/>
  <c r="T647"/>
  <c r="S647" l="1"/>
  <c r="T648"/>
  <c r="J647"/>
  <c r="K648"/>
  <c r="J648" l="1"/>
  <c r="K649"/>
  <c r="S648"/>
  <c r="T649"/>
  <c r="S649" l="1"/>
  <c r="T650"/>
  <c r="J649"/>
  <c r="K650"/>
  <c r="J650" l="1"/>
  <c r="K651"/>
  <c r="S650"/>
  <c r="T651"/>
  <c r="S651" l="1"/>
  <c r="T652"/>
  <c r="J651"/>
  <c r="K652"/>
  <c r="J652" l="1"/>
  <c r="K653"/>
  <c r="S652"/>
  <c r="T653"/>
  <c r="S653" l="1"/>
  <c r="T654"/>
  <c r="J653"/>
  <c r="K654"/>
  <c r="J654" l="1"/>
  <c r="K655"/>
  <c r="S654"/>
  <c r="T655"/>
  <c r="S655" l="1"/>
  <c r="T656"/>
  <c r="J655"/>
  <c r="K656"/>
  <c r="J656" l="1"/>
  <c r="K657"/>
  <c r="S656"/>
  <c r="T657"/>
  <c r="S657" l="1"/>
  <c r="T658"/>
  <c r="J657"/>
  <c r="K658"/>
  <c r="J658" l="1"/>
  <c r="K659"/>
  <c r="S658"/>
  <c r="T659"/>
  <c r="S659" l="1"/>
  <c r="T660"/>
  <c r="J659"/>
  <c r="K660"/>
  <c r="J660" l="1"/>
  <c r="K661"/>
  <c r="S660"/>
  <c r="T661"/>
  <c r="S661" l="1"/>
  <c r="T662"/>
  <c r="J661"/>
  <c r="K662"/>
  <c r="J662" l="1"/>
  <c r="K663"/>
  <c r="S662"/>
  <c r="T663"/>
  <c r="S663" l="1"/>
  <c r="T664"/>
  <c r="J663"/>
  <c r="K664"/>
  <c r="J664" l="1"/>
  <c r="K665"/>
  <c r="S664"/>
  <c r="T665"/>
  <c r="S665" l="1"/>
  <c r="T666"/>
  <c r="J665"/>
  <c r="K666"/>
  <c r="J666" l="1"/>
  <c r="K667"/>
  <c r="S666"/>
  <c r="T667"/>
  <c r="S667" l="1"/>
  <c r="T668"/>
  <c r="J667"/>
  <c r="K668"/>
  <c r="J668" l="1"/>
  <c r="K669"/>
  <c r="S668"/>
  <c r="T669"/>
  <c r="S669" l="1"/>
  <c r="T670"/>
  <c r="J669"/>
  <c r="K670"/>
  <c r="J670" l="1"/>
  <c r="K671"/>
  <c r="S670"/>
  <c r="T671"/>
  <c r="S671" l="1"/>
  <c r="T672"/>
  <c r="J671"/>
  <c r="K672"/>
  <c r="J672" l="1"/>
  <c r="K673"/>
  <c r="S672"/>
  <c r="T673"/>
  <c r="S673" l="1"/>
  <c r="T674"/>
  <c r="J673"/>
  <c r="K674"/>
  <c r="J674" l="1"/>
  <c r="K675"/>
  <c r="S674"/>
  <c r="T675"/>
  <c r="S675" l="1"/>
  <c r="T676"/>
  <c r="J675"/>
  <c r="K676"/>
  <c r="J676" l="1"/>
  <c r="K677"/>
  <c r="S676"/>
  <c r="T677"/>
  <c r="S677" l="1"/>
  <c r="T678"/>
  <c r="J677"/>
  <c r="K678"/>
  <c r="J678" l="1"/>
  <c r="K679"/>
  <c r="S678"/>
  <c r="T679"/>
  <c r="S679" l="1"/>
  <c r="T680"/>
  <c r="J679"/>
  <c r="K680"/>
  <c r="J680" l="1"/>
  <c r="K681"/>
  <c r="S680"/>
  <c r="T681"/>
  <c r="S681" l="1"/>
  <c r="T682"/>
  <c r="S682" s="1"/>
  <c r="J681"/>
  <c r="K682"/>
  <c r="J682" s="1"/>
  <c r="Q53" i="1" l="1"/>
  <c r="G5" i="38" s="1"/>
  <c r="Q6" i="1"/>
  <c r="G2" i="2" s="1"/>
  <c r="Q13" i="1"/>
  <c r="Q15"/>
  <c r="Q16" s="1"/>
  <c r="Q18"/>
  <c r="G7" i="38" s="1"/>
  <c r="Q30" i="1"/>
  <c r="B17" s="1"/>
  <c r="G9" i="38"/>
  <c r="G13"/>
  <c r="Q61" i="1" l="1"/>
  <c r="Q35"/>
  <c r="Q34" l="1"/>
  <c r="Q43"/>
  <c r="Q47" s="1"/>
  <c r="Q48" s="1"/>
  <c r="S53"/>
  <c r="I5" i="38" s="1"/>
  <c r="S6" i="1"/>
  <c r="I2" i="2" s="1"/>
  <c r="S13" i="1"/>
  <c r="S15"/>
  <c r="S16" s="1"/>
  <c r="S18"/>
  <c r="I7" i="38" s="1"/>
  <c r="S30" i="1"/>
  <c r="S61" s="1"/>
  <c r="I9" i="38"/>
  <c r="I13"/>
  <c r="R53" i="1"/>
  <c r="H5" i="38" s="1"/>
  <c r="R6" i="1"/>
  <c r="H2" i="2" s="1"/>
  <c r="R13" i="1"/>
  <c r="R15"/>
  <c r="R16" s="1"/>
  <c r="R18"/>
  <c r="H7" i="38" s="1"/>
  <c r="R30" i="1"/>
  <c r="B20" s="1"/>
  <c r="B21" s="1"/>
  <c r="R61"/>
  <c r="O63" l="1"/>
  <c r="O65" s="1"/>
  <c r="O66" s="1"/>
  <c r="H9" i="38"/>
  <c r="H13" s="1"/>
  <c r="F81" i="1"/>
  <c r="F83" s="1"/>
  <c r="B18"/>
  <c r="B19"/>
  <c r="S35"/>
  <c r="R35"/>
  <c r="J14" i="37" l="1"/>
  <c r="K17"/>
  <c r="H17"/>
  <c r="G17"/>
  <c r="K19"/>
  <c r="J17"/>
  <c r="I17"/>
  <c r="I19" s="1"/>
  <c r="H19"/>
  <c r="G19"/>
  <c r="R34" i="1"/>
  <c r="R43"/>
  <c r="R47" s="1"/>
  <c r="R48" s="1"/>
  <c r="S34"/>
  <c r="S43"/>
  <c r="S47" s="1"/>
  <c r="S48" s="1"/>
  <c r="F85"/>
  <c r="F87" s="1"/>
  <c r="J19" i="37"/>
  <c r="G21" s="1"/>
  <c r="K13" i="38"/>
  <c r="H15"/>
  <c r="P53" i="1"/>
  <c r="F5" i="38" s="1"/>
</calcChain>
</file>

<file path=xl/sharedStrings.xml><?xml version="1.0" encoding="utf-8"?>
<sst xmlns="http://schemas.openxmlformats.org/spreadsheetml/2006/main" count="601" uniqueCount="328">
  <si>
    <t>IS INT EXPENSE</t>
  </si>
  <si>
    <t>IS INC TAX EXP</t>
  </si>
  <si>
    <t>MIN NONCONTROL INTEREST CREDITS</t>
  </si>
  <si>
    <t>NET INCOME</t>
  </si>
  <si>
    <t>Cash</t>
  </si>
  <si>
    <t>Pref</t>
  </si>
  <si>
    <t>T Debt</t>
  </si>
  <si>
    <t>EBITDA</t>
  </si>
  <si>
    <t>FY 2005</t>
  </si>
  <si>
    <t>FY 2006</t>
  </si>
  <si>
    <t>FY 2007</t>
  </si>
  <si>
    <t>FY 2008</t>
  </si>
  <si>
    <t>FY 2009</t>
  </si>
  <si>
    <t>FY 2010</t>
  </si>
  <si>
    <t>FY 2011</t>
  </si>
  <si>
    <t>FY 2012</t>
  </si>
  <si>
    <t>FY 2013</t>
  </si>
  <si>
    <t>TOTAL PRODUCTION WORLD MBOE DY</t>
  </si>
  <si>
    <t>CAPITAL EXPEND</t>
  </si>
  <si>
    <t>CF CASH FROM OPER</t>
  </si>
  <si>
    <t>Revenue</t>
  </si>
  <si>
    <t>per b</t>
  </si>
  <si>
    <t>OperEx</t>
  </si>
  <si>
    <t>Minority</t>
  </si>
  <si>
    <t>Trate</t>
  </si>
  <si>
    <t>CapEx</t>
  </si>
  <si>
    <t>CFO</t>
  </si>
  <si>
    <t>PX LAST</t>
  </si>
  <si>
    <t>R</t>
  </si>
  <si>
    <t>Oil</t>
  </si>
  <si>
    <t>FCF</t>
  </si>
  <si>
    <t>NI</t>
  </si>
  <si>
    <t>IntEx</t>
  </si>
  <si>
    <t>Shares</t>
  </si>
  <si>
    <t>#N/A N/A</t>
  </si>
  <si>
    <t>dvd payout ratio</t>
  </si>
  <si>
    <t>Issuer</t>
  </si>
  <si>
    <t>Cpn</t>
  </si>
  <si>
    <t>Maturity</t>
  </si>
  <si>
    <t>Amt Out(M)</t>
  </si>
  <si>
    <t>Curr</t>
  </si>
  <si>
    <t>Mty Type</t>
  </si>
  <si>
    <t>Cntry</t>
  </si>
  <si>
    <t>Cpn Freq</t>
  </si>
  <si>
    <t>Cpn Type</t>
  </si>
  <si>
    <t>NextCall</t>
  </si>
  <si>
    <t>NextPut</t>
  </si>
  <si>
    <t>Series</t>
  </si>
  <si>
    <t>Ticker</t>
  </si>
  <si>
    <t>Issue Date</t>
  </si>
  <si>
    <t>Principal Due(M)</t>
  </si>
  <si>
    <t>Interest Due(M)</t>
  </si>
  <si>
    <t>Rank</t>
  </si>
  <si>
    <t>Bloomberg Id</t>
  </si>
  <si>
    <t>USD</t>
  </si>
  <si>
    <t>BULLET</t>
  </si>
  <si>
    <t>SEMI ANNUAL</t>
  </si>
  <si>
    <t>FIXED</t>
  </si>
  <si>
    <t>Senior Unsecured</t>
  </si>
  <si>
    <t>FLOAT</t>
  </si>
  <si>
    <t>QUARTERLY</t>
  </si>
  <si>
    <t>05/15/17</t>
  </si>
  <si>
    <t>EUR</t>
  </si>
  <si>
    <t>CALLABLE</t>
  </si>
  <si>
    <t>Tranche</t>
  </si>
  <si>
    <t>Trnch Sz(M)</t>
  </si>
  <si>
    <t>Loan Type</t>
  </si>
  <si>
    <t>Effective Dt</t>
  </si>
  <si>
    <t>Facility Amt(Mln)</t>
  </si>
  <si>
    <t>Comm Fee</t>
  </si>
  <si>
    <t>Interest Type</t>
  </si>
  <si>
    <t>Loan Level</t>
  </si>
  <si>
    <t>Loan Status</t>
  </si>
  <si>
    <t>Spread at Close</t>
  </si>
  <si>
    <t>Currency</t>
  </si>
  <si>
    <t>Country</t>
  </si>
  <si>
    <t>Unsecured Loan</t>
  </si>
  <si>
    <t>FLOATER</t>
  </si>
  <si>
    <t>TRANCHE</t>
  </si>
  <si>
    <t>SIGNED</t>
  </si>
  <si>
    <t>REVOLVER</t>
  </si>
  <si>
    <t>chk equity</t>
  </si>
  <si>
    <t>OIL PRODUCTION WORLD MBBL DY</t>
  </si>
  <si>
    <t>NGL PRODUCTION WORLD MBBL DY</t>
  </si>
  <si>
    <t>FY 2014</t>
  </si>
  <si>
    <t>NGUSHHUB Index</t>
  </si>
  <si>
    <t>EH378539</t>
  </si>
  <si>
    <t>05/27/08</t>
  </si>
  <si>
    <t>CHK</t>
  </si>
  <si>
    <t>12/15/18</t>
  </si>
  <si>
    <t>US</t>
  </si>
  <si>
    <t>CNV/PUT/CALL</t>
  </si>
  <si>
    <t>12/15/38</t>
  </si>
  <si>
    <t>Chesapeake Energy Corp</t>
  </si>
  <si>
    <t>EG444388</t>
  </si>
  <si>
    <t>05/15/07</t>
  </si>
  <si>
    <t>05/15/37</t>
  </si>
  <si>
    <t>EF318367</t>
  </si>
  <si>
    <t>03/07/06</t>
  </si>
  <si>
    <t>11/15/15</t>
  </si>
  <si>
    <t>11/15/35</t>
  </si>
  <si>
    <t>EJ599041</t>
  </si>
  <si>
    <t>04/01/13</t>
  </si>
  <si>
    <t>03/15/23</t>
  </si>
  <si>
    <t>EK175352</t>
  </si>
  <si>
    <t>04/24/14</t>
  </si>
  <si>
    <t>04/15/17</t>
  </si>
  <si>
    <t>04/15/22</t>
  </si>
  <si>
    <t>EJ599036</t>
  </si>
  <si>
    <t>06/15/16</t>
  </si>
  <si>
    <t>06/15/21</t>
  </si>
  <si>
    <t>EI568961</t>
  </si>
  <si>
    <t>02/11/11</t>
  </si>
  <si>
    <t>02/15/21</t>
  </si>
  <si>
    <t>EF401386</t>
  </si>
  <si>
    <t>06/09/06</t>
  </si>
  <si>
    <t>11/15/20</t>
  </si>
  <si>
    <t>EI349740</t>
  </si>
  <si>
    <t>08/17/10</t>
  </si>
  <si>
    <t>08/15/20</t>
  </si>
  <si>
    <t>EK175316</t>
  </si>
  <si>
    <t>04/15/15</t>
  </si>
  <si>
    <t>04/15/19</t>
  </si>
  <si>
    <t>EH377002</t>
  </si>
  <si>
    <t>EF183208</t>
  </si>
  <si>
    <t>12/30/05</t>
  </si>
  <si>
    <t>08/15/17</t>
  </si>
  <si>
    <t>EF931382</t>
  </si>
  <si>
    <t>12/06/06</t>
  </si>
  <si>
    <t>01/15/17</t>
  </si>
  <si>
    <t>EJ599031</t>
  </si>
  <si>
    <t>03/15/16</t>
  </si>
  <si>
    <t>BL162237</t>
  </si>
  <si>
    <t>12/15/14</t>
  </si>
  <si>
    <t>12/15/19</t>
  </si>
  <si>
    <t>N Gas</t>
  </si>
  <si>
    <t>Ethane</t>
  </si>
  <si>
    <t>% oil P</t>
  </si>
  <si>
    <t>ВЫВОД ИТОГОВ</t>
  </si>
  <si>
    <t>Регрессионная статистика</t>
  </si>
  <si>
    <t>Множественный R</t>
  </si>
  <si>
    <t>R-квадрат</t>
  </si>
  <si>
    <t>Нормированный R-квадрат</t>
  </si>
  <si>
    <t>Стандартная ошибка</t>
  </si>
  <si>
    <t>Наблюдения</t>
  </si>
  <si>
    <t>Дисперсионный анализ</t>
  </si>
  <si>
    <t>Регрессия</t>
  </si>
  <si>
    <t>Остаток</t>
  </si>
  <si>
    <t>Итого</t>
  </si>
  <si>
    <t>Y-пересечение</t>
  </si>
  <si>
    <t>df</t>
  </si>
  <si>
    <t>SS</t>
  </si>
  <si>
    <t>MS</t>
  </si>
  <si>
    <t>F</t>
  </si>
  <si>
    <t>Значимость F</t>
  </si>
  <si>
    <t>Коэффициенты</t>
  </si>
  <si>
    <t>t-статистика</t>
  </si>
  <si>
    <t>P-Значение</t>
  </si>
  <si>
    <t>Нижние 95%</t>
  </si>
  <si>
    <t>Верхние 95%</t>
  </si>
  <si>
    <t>Нижние 95.0%</t>
  </si>
  <si>
    <t>Верхние 95.0%</t>
  </si>
  <si>
    <t>Переменная X 1</t>
  </si>
  <si>
    <t>Переменная X 2</t>
  </si>
  <si>
    <t>Переменная X 3</t>
  </si>
  <si>
    <t>ВЫВОД ОСТАТКА</t>
  </si>
  <si>
    <t>Наблюдение</t>
  </si>
  <si>
    <t>Предсказанное Y</t>
  </si>
  <si>
    <t>Остатки</t>
  </si>
  <si>
    <t>uscrWTIC Index</t>
  </si>
  <si>
    <t>Barnett, Bcfpd</t>
  </si>
  <si>
    <t>Haynesville, Bcfpd</t>
  </si>
  <si>
    <t>Utica, Bcfpd</t>
  </si>
  <si>
    <t>Marcellus, Bcfpd</t>
  </si>
  <si>
    <t>average fee, per MMcf</t>
  </si>
  <si>
    <t>specified growth rate</t>
  </si>
  <si>
    <t>min volume commitments</t>
  </si>
  <si>
    <t>Take-Away Capacity</t>
  </si>
  <si>
    <t>4Q 15</t>
  </si>
  <si>
    <t>1H 17</t>
  </si>
  <si>
    <t>1H 18</t>
  </si>
  <si>
    <t>1H 19</t>
  </si>
  <si>
    <t>2H 17</t>
  </si>
  <si>
    <t>2H 18</t>
  </si>
  <si>
    <t>2H 19</t>
  </si>
  <si>
    <t>LNG export</t>
  </si>
  <si>
    <t>from NE Pennsylvania</t>
  </si>
  <si>
    <t>from SW Pennsylvania</t>
  </si>
  <si>
    <t>1H 16</t>
  </si>
  <si>
    <t>2H 16</t>
  </si>
  <si>
    <t>to Canada</t>
  </si>
  <si>
    <t>to Gulf Coast</t>
  </si>
  <si>
    <t>to Mid-Atlantic/SE</t>
  </si>
  <si>
    <t>to Midwest</t>
  </si>
  <si>
    <t>from US</t>
  </si>
  <si>
    <t>from Canada</t>
  </si>
  <si>
    <t>to North East</t>
  </si>
  <si>
    <t>Total</t>
  </si>
  <si>
    <t>Sabine Pass</t>
  </si>
  <si>
    <t>Cameron LNG</t>
  </si>
  <si>
    <t>Cove Point</t>
  </si>
  <si>
    <t>Freeport</t>
  </si>
  <si>
    <t>Corpus Christi</t>
  </si>
  <si>
    <t>Kitimat LNG</t>
  </si>
  <si>
    <t>LNG Canada</t>
  </si>
  <si>
    <t>Wespac LNG</t>
  </si>
  <si>
    <t>1H 20</t>
  </si>
  <si>
    <t>2H 2020</t>
  </si>
  <si>
    <t>import volumes</t>
  </si>
  <si>
    <t>Take-away</t>
  </si>
  <si>
    <t>Sum</t>
  </si>
  <si>
    <t>Net pipeline export (Mexico&amp;Canada)</t>
  </si>
  <si>
    <t>Industrial demand</t>
  </si>
  <si>
    <t>Export &amp; Industrial demand</t>
  </si>
  <si>
    <t>New methanol &amp; fertilizer plants</t>
  </si>
  <si>
    <t>Average cost per well, $ mn</t>
  </si>
  <si>
    <t>Sale price</t>
  </si>
  <si>
    <t>Gathering, Treating and Compression</t>
  </si>
  <si>
    <t>MVC</t>
  </si>
  <si>
    <t>Gas production</t>
  </si>
  <si>
    <t>CHK sale price</t>
  </si>
  <si>
    <t>Differential</t>
  </si>
  <si>
    <t>Other production</t>
  </si>
  <si>
    <t>My assumption</t>
  </si>
  <si>
    <t>williams profit</t>
  </si>
  <si>
    <t>Williams contract profit</t>
  </si>
  <si>
    <t>ARD OIL GAS REVENUE</t>
  </si>
  <si>
    <t>ARD Production Exp</t>
  </si>
  <si>
    <t>ARD Production Taxes</t>
  </si>
  <si>
    <t>ARD Oper and Maint Exp</t>
  </si>
  <si>
    <t>ARD General Administrative Exp</t>
  </si>
  <si>
    <t>Maintenance</t>
  </si>
  <si>
    <t>SG&amp;A</t>
  </si>
  <si>
    <t>Pexp</t>
  </si>
  <si>
    <t>Ptaxes</t>
  </si>
  <si>
    <t>Maint</t>
  </si>
  <si>
    <t>OperTx</t>
  </si>
  <si>
    <t>IS D&amp;A COR GAAP</t>
  </si>
  <si>
    <t>D&amp;A</t>
  </si>
  <si>
    <t>ND</t>
  </si>
  <si>
    <t>HH price</t>
  </si>
  <si>
    <t>Firm transport</t>
  </si>
  <si>
    <t>Fuel</t>
  </si>
  <si>
    <t>Basis &amp; Btu uplift</t>
  </si>
  <si>
    <t>2015e</t>
  </si>
  <si>
    <t>2016e</t>
  </si>
  <si>
    <t>2017e</t>
  </si>
  <si>
    <t>2018e</t>
  </si>
  <si>
    <t>2019e</t>
  </si>
  <si>
    <t>2020e</t>
  </si>
  <si>
    <t>Target price, $</t>
  </si>
  <si>
    <t>g =</t>
  </si>
  <si>
    <t>r =</t>
  </si>
  <si>
    <t>Shares Out</t>
  </si>
  <si>
    <t xml:space="preserve">              PV, $ mn</t>
  </si>
  <si>
    <t xml:space="preserve">            + TV, $ mn</t>
  </si>
  <si>
    <t xml:space="preserve">           = EV, $ mn</t>
  </si>
  <si>
    <t xml:space="preserve"> - Net Debt, $ mn</t>
  </si>
  <si>
    <t xml:space="preserve"> = Equity, $ mn</t>
  </si>
  <si>
    <t>LPGSMBME Index</t>
  </si>
  <si>
    <t>PX_LAST</t>
  </si>
  <si>
    <t>Date</t>
  </si>
  <si>
    <t>B</t>
  </si>
  <si>
    <t>W</t>
  </si>
  <si>
    <t>CHK Equity</t>
  </si>
  <si>
    <t>Bear</t>
  </si>
  <si>
    <t>Base</t>
  </si>
  <si>
    <t>Bull</t>
  </si>
  <si>
    <t>Base-Case</t>
  </si>
  <si>
    <t>Low NG price</t>
  </si>
  <si>
    <t>High NG price</t>
  </si>
  <si>
    <t>High WTI</t>
  </si>
  <si>
    <t>Probability</t>
  </si>
  <si>
    <t xml:space="preserve">Terminal growth rate </t>
  </si>
  <si>
    <t>TP, $</t>
  </si>
  <si>
    <t>Weighted Average</t>
  </si>
  <si>
    <t xml:space="preserve">Terminal discount rate </t>
  </si>
  <si>
    <t>Low NG &amp; NGL</t>
  </si>
  <si>
    <t>Equity Value, $ mn</t>
  </si>
  <si>
    <t>Dilluted Shares Out, mn</t>
  </si>
  <si>
    <t>Net Debt, $ mn</t>
  </si>
  <si>
    <t>Present Value, $ mn</t>
  </si>
  <si>
    <t>Terminal Value, $ mn</t>
  </si>
  <si>
    <t>Pref. DVD</t>
  </si>
  <si>
    <t>Interest Exp</t>
  </si>
  <si>
    <t>Debt Redemption</t>
  </si>
  <si>
    <t>HH price, $/mcf</t>
  </si>
  <si>
    <t>WTI price, $/b</t>
  </si>
  <si>
    <t>NGL price, USd/g</t>
  </si>
  <si>
    <t>Net change in cash</t>
  </si>
  <si>
    <t>FIGI</t>
  </si>
  <si>
    <t>03/15/2016</t>
  </si>
  <si>
    <t>BBG004BDTM28</t>
  </si>
  <si>
    <t>01/15/2017</t>
  </si>
  <si>
    <t>AT MATURITY</t>
  </si>
  <si>
    <t>BBG0000FK887</t>
  </si>
  <si>
    <t>08/15/2017</t>
  </si>
  <si>
    <t>BBG00006MP14</t>
  </si>
  <si>
    <t>12/15/2018</t>
  </si>
  <si>
    <t>BBG0000PKMJ2</t>
  </si>
  <si>
    <t>US0003M +325.0</t>
  </si>
  <si>
    <t>04/15/2019</t>
  </si>
  <si>
    <t>BBG006B6FYQ1</t>
  </si>
  <si>
    <t>08/15/2020</t>
  </si>
  <si>
    <t>BBG0014KJH46</t>
  </si>
  <si>
    <t>11/15/2020</t>
  </si>
  <si>
    <t>BBG00004WWN9</t>
  </si>
  <si>
    <t>BBG0000C9WR3</t>
  </si>
  <si>
    <t>02/15/2021</t>
  </si>
  <si>
    <t>BBG001HWMC43</t>
  </si>
  <si>
    <t>06/15/2021</t>
  </si>
  <si>
    <t>BBG004BDTM64</t>
  </si>
  <si>
    <t>04/15/2022</t>
  </si>
  <si>
    <t>BBG006B6PMC1</t>
  </si>
  <si>
    <t>12/15/2022</t>
  </si>
  <si>
    <t>BBG00BRFHQW1</t>
  </si>
  <si>
    <t>03/15/2023</t>
  </si>
  <si>
    <t>BBG004BDTMC7</t>
  </si>
  <si>
    <t>11/15/2035</t>
  </si>
  <si>
    <t>CONV/PUT/CALL</t>
  </si>
  <si>
    <t>BBG0000C1YG9</t>
  </si>
  <si>
    <t>05/15/2037</t>
  </si>
  <si>
    <t>BBG0000HSP14</t>
  </si>
  <si>
    <t>12/15/2038</t>
  </si>
  <si>
    <t>BBG0000FTX92</t>
  </si>
  <si>
    <t>2022</t>
  </si>
  <si>
    <t>HH NG price, per mcf</t>
  </si>
  <si>
    <t>WTI, per barrel</t>
  </si>
</sst>
</file>

<file path=xl/styles.xml><?xml version="1.0" encoding="utf-8"?>
<styleSheet xmlns="http://schemas.openxmlformats.org/spreadsheetml/2006/main">
  <numFmts count="11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(* #,##0.00_);_(* \(#,##0.00\);_(* &quot;-&quot;??_);_(@_)"/>
    <numFmt numFmtId="167" formatCode="0.0%"/>
    <numFmt numFmtId="168" formatCode="[$$-409]#,##0_ ;[Red]\-[$$-409]#,##0\ "/>
    <numFmt numFmtId="169" formatCode="dd\.mm\.yyyy"/>
    <numFmt numFmtId="170" formatCode="_-[$$-409]#,##0_ ;_-[$$-409]\-#,##0\ ;_-[$$-409]&quot;-&quot;_ ;_-@_ "/>
    <numFmt numFmtId="171" formatCode="[$$-409]#,##0.0_ ;\-[$$-409]#,##0.0\ "/>
    <numFmt numFmtId="172" formatCode="_-[$$-409]#,##0.00_ ;_-[$$-409]\-#,##0.00\ ;_-[$$-409]&quot;-&quot;_ ;_-@_ "/>
    <numFmt numFmtId="173" formatCode="[$$-409]#,##0_ ;\-[$$-409]#,##0\ 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166" fontId="6" fillId="0" borderId="0" applyFont="0" applyFill="0" applyBorder="0" applyAlignment="0" applyProtection="0"/>
    <xf numFmtId="0" fontId="10" fillId="3" borderId="0"/>
  </cellStyleXfs>
  <cellXfs count="88">
    <xf numFmtId="0" fontId="0" fillId="0" borderId="0" xfId="0"/>
    <xf numFmtId="0" fontId="0" fillId="0" borderId="0" xfId="0" applyAlignment="1">
      <alignment horizontal="center"/>
    </xf>
    <xf numFmtId="164" fontId="0" fillId="0" borderId="0" xfId="2" applyNumberFormat="1" applyFont="1"/>
    <xf numFmtId="43" fontId="0" fillId="0" borderId="0" xfId="0" applyNumberFormat="1"/>
    <xf numFmtId="9" fontId="0" fillId="0" borderId="0" xfId="3" applyFont="1"/>
    <xf numFmtId="164" fontId="0" fillId="0" borderId="0" xfId="0" applyNumberFormat="1"/>
    <xf numFmtId="9" fontId="0" fillId="0" borderId="0" xfId="0" applyNumberFormat="1"/>
    <xf numFmtId="43" fontId="0" fillId="0" borderId="0" xfId="2" applyFont="1"/>
    <xf numFmtId="43" fontId="0" fillId="0" borderId="0" xfId="2" applyNumberFormat="1" applyFont="1"/>
    <xf numFmtId="164" fontId="3" fillId="0" borderId="0" xfId="2" applyNumberFormat="1" applyFont="1"/>
    <xf numFmtId="0" fontId="4" fillId="0" borderId="0" xfId="4" applyFont="1"/>
    <xf numFmtId="3" fontId="4" fillId="0" borderId="0" xfId="4" applyNumberFormat="1" applyFont="1"/>
    <xf numFmtId="49" fontId="4" fillId="0" borderId="0" xfId="4" applyNumberFormat="1" applyFont="1"/>
    <xf numFmtId="0" fontId="0" fillId="0" borderId="0" xfId="0" applyFill="1" applyBorder="1" applyAlignment="1"/>
    <xf numFmtId="0" fontId="0" fillId="0" borderId="1" xfId="0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Continuous"/>
    </xf>
    <xf numFmtId="165" fontId="0" fillId="0" borderId="0" xfId="2" applyNumberFormat="1" applyFont="1"/>
    <xf numFmtId="9" fontId="0" fillId="0" borderId="0" xfId="2" applyNumberFormat="1" applyFont="1"/>
    <xf numFmtId="0" fontId="0" fillId="0" borderId="0" xfId="0" applyAlignment="1">
      <alignment horizontal="right"/>
    </xf>
    <xf numFmtId="167" fontId="0" fillId="0" borderId="0" xfId="0" applyNumberFormat="1"/>
    <xf numFmtId="0" fontId="0" fillId="0" borderId="3" xfId="0" applyBorder="1" applyAlignment="1">
      <alignment horizontal="right"/>
    </xf>
    <xf numFmtId="0" fontId="0" fillId="0" borderId="3" xfId="0" applyBorder="1"/>
    <xf numFmtId="165" fontId="0" fillId="0" borderId="3" xfId="2" applyNumberFormat="1" applyFont="1" applyBorder="1"/>
    <xf numFmtId="0" fontId="0" fillId="0" borderId="1" xfId="0" applyBorder="1" applyAlignment="1">
      <alignment horizontal="right"/>
    </xf>
    <xf numFmtId="0" fontId="0" fillId="0" borderId="1" xfId="0" applyBorder="1"/>
    <xf numFmtId="165" fontId="0" fillId="0" borderId="1" xfId="2" applyNumberFormat="1" applyFont="1" applyBorder="1"/>
    <xf numFmtId="0" fontId="0" fillId="0" borderId="0" xfId="0" applyFill="1" applyBorder="1" applyAlignment="1">
      <alignment horizontal="right"/>
    </xf>
    <xf numFmtId="0" fontId="0" fillId="0" borderId="4" xfId="0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43" fontId="3" fillId="0" borderId="0" xfId="0" applyNumberFormat="1" applyFont="1"/>
    <xf numFmtId="165" fontId="0" fillId="0" borderId="0" xfId="0" applyNumberFormat="1"/>
    <xf numFmtId="0" fontId="3" fillId="0" borderId="0" xfId="0" applyFont="1"/>
    <xf numFmtId="0" fontId="0" fillId="0" borderId="0" xfId="0" applyFont="1"/>
    <xf numFmtId="164" fontId="0" fillId="0" borderId="0" xfId="0" applyNumberFormat="1" applyFont="1"/>
    <xf numFmtId="0" fontId="0" fillId="2" borderId="0" xfId="0" applyFill="1" applyAlignment="1">
      <alignment horizontal="right"/>
    </xf>
    <xf numFmtId="9" fontId="0" fillId="2" borderId="0" xfId="0" applyNumberFormat="1" applyFill="1"/>
    <xf numFmtId="0" fontId="0" fillId="2" borderId="0" xfId="0" quotePrefix="1" applyFill="1" applyAlignment="1">
      <alignment horizontal="left"/>
    </xf>
    <xf numFmtId="168" fontId="0" fillId="2" borderId="0" xfId="0" applyNumberFormat="1" applyFill="1"/>
    <xf numFmtId="0" fontId="3" fillId="2" borderId="0" xfId="0" applyFont="1" applyFill="1" applyAlignment="1">
      <alignment horizontal="left"/>
    </xf>
    <xf numFmtId="0" fontId="0" fillId="2" borderId="3" xfId="0" applyFill="1" applyBorder="1" applyAlignment="1">
      <alignment horizontal="right"/>
    </xf>
    <xf numFmtId="9" fontId="0" fillId="2" borderId="3" xfId="0" applyNumberFormat="1" applyFill="1" applyBorder="1"/>
    <xf numFmtId="0" fontId="0" fillId="2" borderId="3" xfId="0" quotePrefix="1" applyFill="1" applyBorder="1" applyAlignment="1">
      <alignment horizontal="left"/>
    </xf>
    <xf numFmtId="168" fontId="0" fillId="2" borderId="3" xfId="0" applyNumberFormat="1" applyFill="1" applyBorder="1"/>
    <xf numFmtId="0" fontId="0" fillId="2" borderId="5" xfId="0" applyFill="1" applyBorder="1" applyAlignment="1">
      <alignment horizontal="right"/>
    </xf>
    <xf numFmtId="164" fontId="0" fillId="2" borderId="5" xfId="2" applyNumberFormat="1" applyFont="1" applyFill="1" applyBorder="1" applyAlignment="1">
      <alignment horizontal="right"/>
    </xf>
    <xf numFmtId="165" fontId="3" fillId="2" borderId="0" xfId="2" applyNumberFormat="1" applyFont="1" applyFill="1" applyAlignment="1">
      <alignment horizontal="center"/>
    </xf>
    <xf numFmtId="14" fontId="0" fillId="0" borderId="0" xfId="0" applyNumberFormat="1"/>
    <xf numFmtId="169" fontId="0" fillId="0" borderId="0" xfId="0" applyNumberFormat="1"/>
    <xf numFmtId="0" fontId="0" fillId="2" borderId="0" xfId="0" applyFill="1"/>
    <xf numFmtId="0" fontId="0" fillId="2" borderId="5" xfId="0" applyFill="1" applyBorder="1"/>
    <xf numFmtId="0" fontId="0" fillId="2" borderId="5" xfId="0" applyFill="1" applyBorder="1" applyAlignment="1">
      <alignment horizontal="left"/>
    </xf>
    <xf numFmtId="170" fontId="0" fillId="2" borderId="5" xfId="0" applyNumberFormat="1" applyFill="1" applyBorder="1"/>
    <xf numFmtId="0" fontId="0" fillId="2" borderId="0" xfId="0" applyFill="1" applyAlignment="1">
      <alignment horizontal="center"/>
    </xf>
    <xf numFmtId="172" fontId="0" fillId="2" borderId="5" xfId="0" applyNumberFormat="1" applyFill="1" applyBorder="1" applyAlignment="1">
      <alignment horizontal="right"/>
    </xf>
    <xf numFmtId="170" fontId="0" fillId="2" borderId="5" xfId="0" applyNumberFormat="1" applyFill="1" applyBorder="1" applyAlignment="1">
      <alignment horizontal="right"/>
    </xf>
    <xf numFmtId="172" fontId="0" fillId="2" borderId="7" xfId="0" applyNumberFormat="1" applyFill="1" applyBorder="1" applyAlignment="1">
      <alignment horizontal="right"/>
    </xf>
    <xf numFmtId="170" fontId="0" fillId="2" borderId="6" xfId="0" applyNumberFormat="1" applyFill="1" applyBorder="1" applyAlignment="1">
      <alignment horizontal="right"/>
    </xf>
    <xf numFmtId="172" fontId="0" fillId="2" borderId="6" xfId="0" applyNumberForma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right"/>
    </xf>
    <xf numFmtId="9" fontId="8" fillId="2" borderId="0" xfId="3" applyFont="1" applyFill="1" applyBorder="1"/>
    <xf numFmtId="171" fontId="0" fillId="2" borderId="0" xfId="0" applyNumberFormat="1" applyFill="1" applyAlignment="1">
      <alignment horizontal="center"/>
    </xf>
    <xf numFmtId="171" fontId="0" fillId="2" borderId="8" xfId="0" applyNumberFormat="1" applyFill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173" fontId="0" fillId="2" borderId="8" xfId="0" applyNumberFormat="1" applyFill="1" applyBorder="1" applyAlignment="1">
      <alignment horizontal="center"/>
    </xf>
    <xf numFmtId="0" fontId="0" fillId="0" borderId="6" xfId="0" applyBorder="1"/>
    <xf numFmtId="164" fontId="0" fillId="0" borderId="6" xfId="2" applyNumberFormat="1" applyFont="1" applyBorder="1"/>
    <xf numFmtId="0" fontId="3" fillId="0" borderId="6" xfId="0" applyFont="1" applyBorder="1"/>
    <xf numFmtId="0" fontId="9" fillId="0" borderId="6" xfId="0" applyFont="1" applyBorder="1"/>
    <xf numFmtId="164" fontId="9" fillId="0" borderId="6" xfId="2" applyNumberFormat="1" applyFont="1" applyBorder="1"/>
    <xf numFmtId="165" fontId="0" fillId="0" borderId="6" xfId="2" applyNumberFormat="1" applyFont="1" applyBorder="1"/>
    <xf numFmtId="0" fontId="10" fillId="3" borderId="0" xfId="6" applyNumberFormat="1" applyFont="1" applyFill="1" applyBorder="1" applyAlignment="1" applyProtection="1"/>
    <xf numFmtId="0" fontId="3" fillId="2" borderId="10" xfId="0" applyFont="1" applyFill="1" applyBorder="1" applyAlignment="1">
      <alignment horizontal="center"/>
    </xf>
    <xf numFmtId="172" fontId="0" fillId="2" borderId="11" xfId="0" applyNumberFormat="1" applyFill="1" applyBorder="1" applyAlignment="1">
      <alignment horizontal="right"/>
    </xf>
    <xf numFmtId="170" fontId="0" fillId="2" borderId="11" xfId="0" applyNumberFormat="1" applyFill="1" applyBorder="1" applyAlignment="1">
      <alignment horizontal="right"/>
    </xf>
    <xf numFmtId="170" fontId="0" fillId="2" borderId="11" xfId="0" applyNumberFormat="1" applyFill="1" applyBorder="1"/>
    <xf numFmtId="173" fontId="0" fillId="2" borderId="12" xfId="0" applyNumberFormat="1" applyFill="1" applyBorder="1" applyAlignment="1">
      <alignment horizontal="center"/>
    </xf>
    <xf numFmtId="49" fontId="1" fillId="0" borderId="0" xfId="4" applyNumberFormat="1" applyFont="1"/>
    <xf numFmtId="173" fontId="7" fillId="2" borderId="0" xfId="0" applyNumberFormat="1" applyFont="1" applyFill="1" applyAlignment="1">
      <alignment horizontal="center"/>
    </xf>
    <xf numFmtId="1" fontId="0" fillId="2" borderId="5" xfId="0" applyNumberFormat="1" applyFill="1" applyBorder="1" applyAlignment="1">
      <alignment horizontal="center"/>
    </xf>
    <xf numFmtId="170" fontId="0" fillId="2" borderId="5" xfId="0" applyNumberFormat="1" applyFill="1" applyBorder="1" applyAlignment="1">
      <alignment horizontal="center"/>
    </xf>
    <xf numFmtId="9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4" borderId="0" xfId="0" applyFill="1"/>
  </cellXfs>
  <cellStyles count="7">
    <cellStyle name="blp_column_header" xfId="6"/>
    <cellStyle name="Comma 4" xfId="5"/>
    <cellStyle name="Обычный" xfId="0" builtinId="0"/>
    <cellStyle name="Обычный 2" xfId="1"/>
    <cellStyle name="Обычный 3" xfId="4"/>
    <cellStyle name="Процентный" xfId="3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Переменная </a:t>
            </a:r>
            <a:r>
              <a:rPr lang="en-US"/>
              <a:t>X 1 </a:t>
            </a:r>
            <a:r>
              <a:rPr lang="ru-RU"/>
              <a:t>График подбора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Лист1!$K$58:$K$67</c:f>
              <c:numCache>
                <c:formatCode>_-* #,##0_р_._-;\-* #,##0_р_._-;_-* "-"??_р_._-;_-@_-</c:formatCode>
                <c:ptCount val="10"/>
                <c:pt idx="0">
                  <c:v>54.484999999999999</c:v>
                </c:pt>
                <c:pt idx="1">
                  <c:v>65.472499999999997</c:v>
                </c:pt>
                <c:pt idx="2">
                  <c:v>72.935000000000002</c:v>
                </c:pt>
                <c:pt idx="3">
                  <c:v>97.882500000000007</c:v>
                </c:pt>
                <c:pt idx="4">
                  <c:v>62.107500000000002</c:v>
                </c:pt>
                <c:pt idx="5">
                  <c:v>80.022500000000008</c:v>
                </c:pt>
                <c:pt idx="6">
                  <c:v>111.14749999999999</c:v>
                </c:pt>
                <c:pt idx="7">
                  <c:v>111</c:v>
                </c:pt>
                <c:pt idx="8">
                  <c:v>109</c:v>
                </c:pt>
                <c:pt idx="9">
                  <c:v>99</c:v>
                </c:pt>
              </c:numCache>
            </c:numRef>
          </c:xVal>
          <c:yVal>
            <c:numRef>
              <c:f>Лист1!$F$58:$F$67</c:f>
              <c:numCache>
                <c:formatCode>_-* #,##0.0_р_._-;\-* #,##0.0_р_._-;_-* "-"??_р_._-;_-@_-</c:formatCode>
                <c:ptCount val="10"/>
                <c:pt idx="0">
                  <c:v>4.0585745127113757</c:v>
                </c:pt>
                <c:pt idx="1">
                  <c:v>5.0779748227373398</c:v>
                </c:pt>
                <c:pt idx="2">
                  <c:v>5.3763488056825448</c:v>
                </c:pt>
                <c:pt idx="3">
                  <c:v>6.346717840202639</c:v>
                </c:pt>
                <c:pt idx="4">
                  <c:v>5.8038866694396356</c:v>
                </c:pt>
                <c:pt idx="5">
                  <c:v>5.1753271153738831</c:v>
                </c:pt>
                <c:pt idx="6">
                  <c:v>5.3928715872411486</c:v>
                </c:pt>
                <c:pt idx="7">
                  <c:v>5.5161130558758495</c:v>
                </c:pt>
                <c:pt idx="8">
                  <c:v>4.7422190680168832</c:v>
                </c:pt>
                <c:pt idx="9">
                  <c:v>4.6858027480844449</c:v>
                </c:pt>
              </c:numCache>
            </c:numRef>
          </c:yVal>
        </c:ser>
        <c:ser>
          <c:idx val="1"/>
          <c:order val="1"/>
          <c:tx>
            <c:v>Предсказанное Y</c:v>
          </c:tx>
          <c:spPr>
            <a:ln w="28575">
              <a:noFill/>
            </a:ln>
          </c:spPr>
          <c:xVal>
            <c:numRef>
              <c:f>Лист1!$K$58:$K$67</c:f>
              <c:numCache>
                <c:formatCode>_-* #,##0_р_._-;\-* #,##0_р_._-;_-* "-"??_р_._-;_-@_-</c:formatCode>
                <c:ptCount val="10"/>
                <c:pt idx="0">
                  <c:v>54.484999999999999</c:v>
                </c:pt>
                <c:pt idx="1">
                  <c:v>65.472499999999997</c:v>
                </c:pt>
                <c:pt idx="2">
                  <c:v>72.935000000000002</c:v>
                </c:pt>
                <c:pt idx="3">
                  <c:v>97.882500000000007</c:v>
                </c:pt>
                <c:pt idx="4">
                  <c:v>62.107500000000002</c:v>
                </c:pt>
                <c:pt idx="5">
                  <c:v>80.022500000000008</c:v>
                </c:pt>
                <c:pt idx="6">
                  <c:v>111.14749999999999</c:v>
                </c:pt>
                <c:pt idx="7">
                  <c:v>111</c:v>
                </c:pt>
                <c:pt idx="8">
                  <c:v>109</c:v>
                </c:pt>
                <c:pt idx="9">
                  <c:v>99</c:v>
                </c:pt>
              </c:numCache>
            </c:numRef>
          </c:xVal>
          <c:yVal>
            <c:numRef>
              <c:f>pe!$B$27:$B$36</c:f>
              <c:numCache>
                <c:formatCode>General</c:formatCode>
                <c:ptCount val="10"/>
                <c:pt idx="0">
                  <c:v>4.5771027061223686</c:v>
                </c:pt>
                <c:pt idx="1">
                  <c:v>5.0797882636354341</c:v>
                </c:pt>
                <c:pt idx="2">
                  <c:v>5.3246363202426776</c:v>
                </c:pt>
                <c:pt idx="3">
                  <c:v>5.8921468027025892</c:v>
                </c:pt>
                <c:pt idx="4">
                  <c:v>5.2728594381234597</c:v>
                </c:pt>
                <c:pt idx="5">
                  <c:v>5.4666727397402264</c:v>
                </c:pt>
                <c:pt idx="6">
                  <c:v>5.8455992097929315</c:v>
                </c:pt>
                <c:pt idx="7">
                  <c:v>5.4928448009728523</c:v>
                </c:pt>
                <c:pt idx="8">
                  <c:v>4.9427204001142027</c:v>
                </c:pt>
                <c:pt idx="9">
                  <c:v>4.2814655439190012</c:v>
                </c:pt>
              </c:numCache>
            </c:numRef>
          </c:yVal>
        </c:ser>
        <c:axId val="100937728"/>
        <c:axId val="100939648"/>
      </c:scatterChart>
      <c:valAx>
        <c:axId val="100937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Переменная </a:t>
                </a:r>
                <a:r>
                  <a:rPr lang="en-US"/>
                  <a:t>X 1</a:t>
                </a:r>
              </a:p>
            </c:rich>
          </c:tx>
          <c:layout/>
        </c:title>
        <c:numFmt formatCode="_-* #,##0_р_._-;\-* #,##0_р_._-;_-* &quot;-&quot;??_р_._-;_-@_-" sourceLinked="1"/>
        <c:tickLblPos val="nextTo"/>
        <c:crossAx val="100939648"/>
        <c:crosses val="autoZero"/>
        <c:crossBetween val="midCat"/>
      </c:valAx>
      <c:valAx>
        <c:axId val="1009396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_-* #,##0.0_р_._-;\-* #,##0.0_р_._-;_-* &quot;-&quot;??_р_._-;_-@_-" sourceLinked="1"/>
        <c:tickLblPos val="nextTo"/>
        <c:crossAx val="1009377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321968503937008"/>
          <c:y val="6.6560167633366821E-2"/>
          <c:w val="0.79253696412948349"/>
          <c:h val="0.7357979326658286"/>
        </c:manualLayout>
      </c:layout>
      <c:barChart>
        <c:barDir val="col"/>
        <c:grouping val="clustered"/>
        <c:ser>
          <c:idx val="0"/>
          <c:order val="0"/>
          <c:tx>
            <c:v>CapEx</c:v>
          </c:tx>
          <c:cat>
            <c:strRef>
              <c:f>Лист1!$N$4:$T$4</c:f>
              <c:strCache>
                <c:ptCount val="7"/>
                <c:pt idx="0">
                  <c:v>2014</c:v>
                </c:pt>
                <c:pt idx="1">
                  <c:v>2015e</c:v>
                </c:pt>
                <c:pt idx="2">
                  <c:v>2016e</c:v>
                </c:pt>
                <c:pt idx="3">
                  <c:v>2017e</c:v>
                </c:pt>
                <c:pt idx="4">
                  <c:v>2018e</c:v>
                </c:pt>
                <c:pt idx="5">
                  <c:v>2019e</c:v>
                </c:pt>
                <c:pt idx="6">
                  <c:v>2020e</c:v>
                </c:pt>
              </c:strCache>
            </c:strRef>
          </c:cat>
          <c:val>
            <c:numRef>
              <c:f>Лист1!$N$1:$T$1</c:f>
              <c:numCache>
                <c:formatCode>_-* #,##0_р_._-;\-* #,##0_р_._-;_-* "-"??_р_._-;_-@_-</c:formatCode>
                <c:ptCount val="7"/>
                <c:pt idx="0">
                  <c:v>6618</c:v>
                </c:pt>
                <c:pt idx="1">
                  <c:v>3725</c:v>
                </c:pt>
                <c:pt idx="2">
                  <c:v>1300</c:v>
                </c:pt>
                <c:pt idx="3">
                  <c:v>1500</c:v>
                </c:pt>
                <c:pt idx="4">
                  <c:v>1900</c:v>
                </c:pt>
                <c:pt idx="5">
                  <c:v>2000</c:v>
                </c:pt>
                <c:pt idx="6">
                  <c:v>2000</c:v>
                </c:pt>
              </c:numCache>
            </c:numRef>
          </c:val>
        </c:ser>
        <c:ser>
          <c:idx val="1"/>
          <c:order val="1"/>
          <c:tx>
            <c:v>Cash Flow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val>
            <c:numRef>
              <c:f>Лист1!$N$18:$T$18</c:f>
              <c:numCache>
                <c:formatCode>_-* #,##0_р_._-;\-* #,##0_р_._-;_-* "-"??_р_._-;_-@_-</c:formatCode>
                <c:ptCount val="7"/>
                <c:pt idx="0">
                  <c:v>4634</c:v>
                </c:pt>
                <c:pt idx="1">
                  <c:v>1347.9047526142567</c:v>
                </c:pt>
                <c:pt idx="2">
                  <c:v>970.75640269255518</c:v>
                </c:pt>
                <c:pt idx="3">
                  <c:v>1823.0197630977541</c:v>
                </c:pt>
                <c:pt idx="4">
                  <c:v>2317.4847164702878</c:v>
                </c:pt>
                <c:pt idx="5">
                  <c:v>2610.0547955154325</c:v>
                </c:pt>
                <c:pt idx="6">
                  <c:v>4016.7769370591636</c:v>
                </c:pt>
              </c:numCache>
            </c:numRef>
          </c:val>
        </c:ser>
        <c:axId val="129623168"/>
        <c:axId val="129625088"/>
      </c:barChart>
      <c:lineChart>
        <c:grouping val="standard"/>
        <c:ser>
          <c:idx val="2"/>
          <c:order val="2"/>
          <c:tx>
            <c:v>HH natural gas spot price</c:v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diamond"/>
            <c:size val="8"/>
            <c:spPr>
              <a:solidFill>
                <a:schemeClr val="bg2">
                  <a:lumMod val="50000"/>
                </a:schemeClr>
              </a:solidFill>
            </c:spPr>
          </c:marker>
          <c:val>
            <c:numRef>
              <c:f>Лист1!$N$52:$T$52</c:f>
              <c:numCache>
                <c:formatCode>General</c:formatCode>
                <c:ptCount val="7"/>
                <c:pt idx="0">
                  <c:v>4.3422000000000001</c:v>
                </c:pt>
                <c:pt idx="1">
                  <c:v>2.8</c:v>
                </c:pt>
                <c:pt idx="2">
                  <c:v>2.5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3.75</c:v>
                </c:pt>
              </c:numCache>
            </c:numRef>
          </c:val>
        </c:ser>
        <c:marker val="1"/>
        <c:axId val="125705216"/>
        <c:axId val="125703296"/>
      </c:lineChart>
      <c:catAx>
        <c:axId val="129623168"/>
        <c:scaling>
          <c:orientation val="minMax"/>
        </c:scaling>
        <c:axPos val="b"/>
        <c:numFmt formatCode="General" sourceLinked="1"/>
        <c:tickLblPos val="nextTo"/>
        <c:crossAx val="129625088"/>
        <c:crosses val="autoZero"/>
        <c:auto val="1"/>
        <c:lblAlgn val="ctr"/>
        <c:lblOffset val="100"/>
      </c:catAx>
      <c:valAx>
        <c:axId val="129625088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000"/>
                </a:pPr>
                <a:r>
                  <a:rPr lang="en-US" sz="1000"/>
                  <a:t>$ mn</a:t>
                </a:r>
              </a:p>
            </c:rich>
          </c:tx>
          <c:layout>
            <c:manualLayout>
              <c:xMode val="edge"/>
              <c:yMode val="edge"/>
              <c:x val="0"/>
              <c:y val="2.5184401356944837E-3"/>
            </c:manualLayout>
          </c:layout>
        </c:title>
        <c:numFmt formatCode="_-* #,##0_р_._-;\-* #,##0_р_._-;_-* &quot;-&quot;??_р_._-;_-@_-" sourceLinked="1"/>
        <c:tickLblPos val="nextTo"/>
        <c:crossAx val="129623168"/>
        <c:crosses val="autoZero"/>
        <c:crossBetween val="between"/>
      </c:valAx>
      <c:valAx>
        <c:axId val="125703296"/>
        <c:scaling>
          <c:orientation val="minMax"/>
          <c:min val="2"/>
        </c:scaling>
        <c:axPos val="r"/>
        <c:title>
          <c:tx>
            <c:rich>
              <a:bodyPr rot="0" vert="horz"/>
              <a:lstStyle/>
              <a:p>
                <a:pPr>
                  <a:defRPr sz="1000"/>
                </a:pPr>
                <a:r>
                  <a:rPr lang="en-US" sz="1000"/>
                  <a:t>$/mcf</a:t>
                </a:r>
              </a:p>
            </c:rich>
          </c:tx>
          <c:layout>
            <c:manualLayout>
              <c:xMode val="edge"/>
              <c:yMode val="edge"/>
              <c:x val="0.92630532971996027"/>
              <c:y val="2.5184401356944837E-3"/>
            </c:manualLayout>
          </c:layout>
        </c:title>
        <c:numFmt formatCode="General" sourceLinked="1"/>
        <c:tickLblPos val="nextTo"/>
        <c:crossAx val="125705216"/>
        <c:crosses val="max"/>
        <c:crossBetween val="between"/>
      </c:valAx>
      <c:catAx>
        <c:axId val="125705216"/>
        <c:scaling>
          <c:orientation val="minMax"/>
        </c:scaling>
        <c:delete val="1"/>
        <c:axPos val="b"/>
        <c:tickLblPos val="none"/>
        <c:crossAx val="12570329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"/>
          <c:y val="0.89511033343054369"/>
          <c:w val="0.99070844269466363"/>
          <c:h val="0.10415500145815164"/>
        </c:manualLayout>
      </c:layout>
    </c:legend>
    <c:plotVisOnly val="1"/>
    <c:dispBlanksAs val="gap"/>
  </c:chart>
  <c:spPr>
    <a:noFill/>
    <a:ln>
      <a:noFill/>
    </a:ln>
  </c:spPr>
  <c:txPr>
    <a:bodyPr/>
    <a:lstStyle/>
    <a:p>
      <a:pPr>
        <a:defRPr sz="1200"/>
      </a:pPr>
      <a:endParaRPr lang="ru-RU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Henry Hub price and CHK gas differentials</a:t>
            </a:r>
          </a:p>
        </c:rich>
      </c:tx>
      <c:layout>
        <c:manualLayout>
          <c:xMode val="edge"/>
          <c:yMode val="edge"/>
          <c:x val="0.29963371407503125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2041907139910688"/>
          <c:y val="8.5883337858629713E-2"/>
          <c:w val="0.84777668416448249"/>
          <c:h val="0.64014640674404233"/>
        </c:manualLayout>
      </c:layout>
      <c:barChart>
        <c:barDir val="col"/>
        <c:grouping val="stacked"/>
        <c:ser>
          <c:idx val="0"/>
          <c:order val="0"/>
          <c:tx>
            <c:strRef>
              <c:f>Лист2!$C$9</c:f>
              <c:strCache>
                <c:ptCount val="1"/>
                <c:pt idx="0">
                  <c:v>Gathering, Treating and Compression</c:v>
                </c:pt>
              </c:strCache>
            </c:strRef>
          </c:tx>
          <c:cat>
            <c:strRef>
              <c:f>Лист1!$N$4:$T$4</c:f>
              <c:strCache>
                <c:ptCount val="7"/>
                <c:pt idx="0">
                  <c:v>2014</c:v>
                </c:pt>
                <c:pt idx="1">
                  <c:v>2015e</c:v>
                </c:pt>
                <c:pt idx="2">
                  <c:v>2016e</c:v>
                </c:pt>
                <c:pt idx="3">
                  <c:v>2017e</c:v>
                </c:pt>
                <c:pt idx="4">
                  <c:v>2018e</c:v>
                </c:pt>
                <c:pt idx="5">
                  <c:v>2019e</c:v>
                </c:pt>
                <c:pt idx="6">
                  <c:v>2020e</c:v>
                </c:pt>
              </c:strCache>
            </c:strRef>
          </c:cat>
          <c:val>
            <c:numRef>
              <c:f>Лист2!$D$9:$J$9</c:f>
              <c:numCache>
                <c:formatCode>_-* #,##0.00_р_._-;\-* #,##0.00_р_._-;_-* "-"??_р_._-;_-@_-</c:formatCode>
                <c:ptCount val="7"/>
                <c:pt idx="0">
                  <c:v>0.82499999999999996</c:v>
                </c:pt>
                <c:pt idx="1">
                  <c:v>0.85250000000000004</c:v>
                </c:pt>
                <c:pt idx="2">
                  <c:v>0.65579520503200994</c:v>
                </c:pt>
                <c:pt idx="3">
                  <c:v>0.64256142543991435</c:v>
                </c:pt>
                <c:pt idx="4">
                  <c:v>0.60637532828427365</c:v>
                </c:pt>
                <c:pt idx="5">
                  <c:v>0.39431024607903248</c:v>
                </c:pt>
                <c:pt idx="6">
                  <c:v>0.39775198630593561</c:v>
                </c:pt>
              </c:numCache>
            </c:numRef>
          </c:val>
        </c:ser>
        <c:ser>
          <c:idx val="1"/>
          <c:order val="1"/>
          <c:tx>
            <c:strRef>
              <c:f>Лист2!$C$6</c:f>
              <c:strCache>
                <c:ptCount val="1"/>
                <c:pt idx="0">
                  <c:v>Firm transport</c:v>
                </c:pt>
              </c:strCache>
            </c:strRef>
          </c:tx>
          <c:cat>
            <c:strRef>
              <c:f>Лист1!$N$4:$T$4</c:f>
              <c:strCache>
                <c:ptCount val="7"/>
                <c:pt idx="0">
                  <c:v>2014</c:v>
                </c:pt>
                <c:pt idx="1">
                  <c:v>2015e</c:v>
                </c:pt>
                <c:pt idx="2">
                  <c:v>2016e</c:v>
                </c:pt>
                <c:pt idx="3">
                  <c:v>2017e</c:v>
                </c:pt>
                <c:pt idx="4">
                  <c:v>2018e</c:v>
                </c:pt>
                <c:pt idx="5">
                  <c:v>2019e</c:v>
                </c:pt>
                <c:pt idx="6">
                  <c:v>2020e</c:v>
                </c:pt>
              </c:strCache>
            </c:strRef>
          </c:cat>
          <c:val>
            <c:numRef>
              <c:f>Лист2!$D$6:$J$6</c:f>
              <c:numCache>
                <c:formatCode>_-* #,##0.00_р_._-;\-* #,##0.00_р_._-;_-* "-"??_р_._-;_-@_-</c:formatCode>
                <c:ptCount val="7"/>
                <c:pt idx="0" formatCode="General">
                  <c:v>0.45</c:v>
                </c:pt>
                <c:pt idx="1">
                  <c:v>0.38</c:v>
                </c:pt>
                <c:pt idx="2" formatCode="General">
                  <c:v>0.38</c:v>
                </c:pt>
                <c:pt idx="3" formatCode="General">
                  <c:v>0.38</c:v>
                </c:pt>
                <c:pt idx="4" formatCode="General">
                  <c:v>0.38</c:v>
                </c:pt>
                <c:pt idx="5" formatCode="General">
                  <c:v>0.38</c:v>
                </c:pt>
                <c:pt idx="6" formatCode="General">
                  <c:v>0.38</c:v>
                </c:pt>
              </c:numCache>
            </c:numRef>
          </c:val>
        </c:ser>
        <c:ser>
          <c:idx val="2"/>
          <c:order val="2"/>
          <c:tx>
            <c:strRef>
              <c:f>Лист2!$C$8</c:f>
              <c:strCache>
                <c:ptCount val="1"/>
                <c:pt idx="0">
                  <c:v>Fuel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strRef>
              <c:f>Лист1!$N$4:$T$4</c:f>
              <c:strCache>
                <c:ptCount val="7"/>
                <c:pt idx="0">
                  <c:v>2014</c:v>
                </c:pt>
                <c:pt idx="1">
                  <c:v>2015e</c:v>
                </c:pt>
                <c:pt idx="2">
                  <c:v>2016e</c:v>
                </c:pt>
                <c:pt idx="3">
                  <c:v>2017e</c:v>
                </c:pt>
                <c:pt idx="4">
                  <c:v>2018e</c:v>
                </c:pt>
                <c:pt idx="5">
                  <c:v>2019e</c:v>
                </c:pt>
                <c:pt idx="6">
                  <c:v>2020e</c:v>
                </c:pt>
              </c:strCache>
            </c:strRef>
          </c:cat>
          <c:val>
            <c:numRef>
              <c:f>Лист2!$D$8:$J$8</c:f>
              <c:numCache>
                <c:formatCode>General</c:formatCode>
                <c:ptCount val="7"/>
                <c:pt idx="0">
                  <c:v>0.1</c:v>
                </c:pt>
                <c:pt idx="1">
                  <c:v>9.5000000000000001E-2</c:v>
                </c:pt>
                <c:pt idx="2">
                  <c:v>0.09</c:v>
                </c:pt>
                <c:pt idx="3">
                  <c:v>0.09</c:v>
                </c:pt>
                <c:pt idx="4">
                  <c:v>0.09</c:v>
                </c:pt>
                <c:pt idx="5">
                  <c:v>0.09</c:v>
                </c:pt>
                <c:pt idx="6">
                  <c:v>0.09</c:v>
                </c:pt>
              </c:numCache>
            </c:numRef>
          </c:val>
        </c:ser>
        <c:ser>
          <c:idx val="3"/>
          <c:order val="3"/>
          <c:tx>
            <c:strRef>
              <c:f>Лист2!$C$7</c:f>
              <c:strCache>
                <c:ptCount val="1"/>
                <c:pt idx="0">
                  <c:v>Basis &amp; Btu uplift</c:v>
                </c:pt>
              </c:strCache>
            </c:strRef>
          </c:tx>
          <c:cat>
            <c:strRef>
              <c:f>Лист1!$N$4:$T$4</c:f>
              <c:strCache>
                <c:ptCount val="7"/>
                <c:pt idx="0">
                  <c:v>2014</c:v>
                </c:pt>
                <c:pt idx="1">
                  <c:v>2015e</c:v>
                </c:pt>
                <c:pt idx="2">
                  <c:v>2016e</c:v>
                </c:pt>
                <c:pt idx="3">
                  <c:v>2017e</c:v>
                </c:pt>
                <c:pt idx="4">
                  <c:v>2018e</c:v>
                </c:pt>
                <c:pt idx="5">
                  <c:v>2019e</c:v>
                </c:pt>
                <c:pt idx="6">
                  <c:v>2020e</c:v>
                </c:pt>
              </c:strCache>
            </c:strRef>
          </c:cat>
          <c:val>
            <c:numRef>
              <c:f>Лист2!$D$7:$J$7</c:f>
              <c:numCache>
                <c:formatCode>_-* #,##0.00_р_._-;\-* #,##0.00_р_._-;_-* "-"??_р_._-;_-@_-</c:formatCode>
                <c:ptCount val="7"/>
                <c:pt idx="0" formatCode="General">
                  <c:v>0.33</c:v>
                </c:pt>
                <c:pt idx="1">
                  <c:v>0.38500000000000001</c:v>
                </c:pt>
                <c:pt idx="2" formatCode="General">
                  <c:v>0.3</c:v>
                </c:pt>
                <c:pt idx="3" formatCode="General">
                  <c:v>0.2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Лист2!$C$11</c:f>
              <c:strCache>
                <c:ptCount val="1"/>
                <c:pt idx="0">
                  <c:v>MVC</c:v>
                </c:pt>
              </c:strCache>
            </c:strRef>
          </c:tx>
          <c:cat>
            <c:strRef>
              <c:f>Лист1!$N$4:$T$4</c:f>
              <c:strCache>
                <c:ptCount val="7"/>
                <c:pt idx="0">
                  <c:v>2014</c:v>
                </c:pt>
                <c:pt idx="1">
                  <c:v>2015e</c:v>
                </c:pt>
                <c:pt idx="2">
                  <c:v>2016e</c:v>
                </c:pt>
                <c:pt idx="3">
                  <c:v>2017e</c:v>
                </c:pt>
                <c:pt idx="4">
                  <c:v>2018e</c:v>
                </c:pt>
                <c:pt idx="5">
                  <c:v>2019e</c:v>
                </c:pt>
                <c:pt idx="6">
                  <c:v>2020e</c:v>
                </c:pt>
              </c:strCache>
            </c:strRef>
          </c:cat>
          <c:val>
            <c:numRef>
              <c:f>Лист2!$D$12:$J$12</c:f>
              <c:numCache>
                <c:formatCode>_-* #,##0.00_р_._-;\-* #,##0.00_р_._-;_-* "-"??_р_._-;_-@_-</c:formatCode>
                <c:ptCount val="7"/>
                <c:pt idx="0">
                  <c:v>0.26726237231716332</c:v>
                </c:pt>
                <c:pt idx="1">
                  <c:v>0.35685262716657468</c:v>
                </c:pt>
                <c:pt idx="2">
                  <c:v>0.33493851299921434</c:v>
                </c:pt>
                <c:pt idx="3">
                  <c:v>0.32681928619964462</c:v>
                </c:pt>
                <c:pt idx="4">
                  <c:v>0.26545878192461958</c:v>
                </c:pt>
                <c:pt idx="5">
                  <c:v>0.24776610853791392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Лист2!$C$4</c:f>
              <c:strCache>
                <c:ptCount val="1"/>
                <c:pt idx="0">
                  <c:v>CHK sale price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Лист1!$N$4:$T$4</c:f>
              <c:strCache>
                <c:ptCount val="7"/>
                <c:pt idx="0">
                  <c:v>2014</c:v>
                </c:pt>
                <c:pt idx="1">
                  <c:v>2015e</c:v>
                </c:pt>
                <c:pt idx="2">
                  <c:v>2016e</c:v>
                </c:pt>
                <c:pt idx="3">
                  <c:v>2017e</c:v>
                </c:pt>
                <c:pt idx="4">
                  <c:v>2018e</c:v>
                </c:pt>
                <c:pt idx="5">
                  <c:v>2019e</c:v>
                </c:pt>
                <c:pt idx="6">
                  <c:v>2020e</c:v>
                </c:pt>
              </c:strCache>
            </c:strRef>
          </c:cat>
          <c:val>
            <c:numRef>
              <c:f>Лист2!$D$4:$J$4</c:f>
              <c:numCache>
                <c:formatCode>_-* #,##0.00_р_._-;\-* #,##0.00_р_._-;_-* "-"??_р_._-;_-@_-</c:formatCode>
                <c:ptCount val="7"/>
                <c:pt idx="0">
                  <c:v>2.3777376276828361</c:v>
                </c:pt>
                <c:pt idx="1">
                  <c:v>0.73064737283342529</c:v>
                </c:pt>
                <c:pt idx="2">
                  <c:v>0.73926628196877564</c:v>
                </c:pt>
                <c:pt idx="3">
                  <c:v>1.3606192883604409</c:v>
                </c:pt>
                <c:pt idx="4">
                  <c:v>1.6581658897911069</c:v>
                </c:pt>
                <c:pt idx="5">
                  <c:v>1.8879236453830537</c:v>
                </c:pt>
                <c:pt idx="6">
                  <c:v>2.8822480136940642</c:v>
                </c:pt>
              </c:numCache>
            </c:numRef>
          </c:val>
        </c:ser>
        <c:overlap val="100"/>
        <c:axId val="129776256"/>
        <c:axId val="129786240"/>
      </c:barChart>
      <c:catAx>
        <c:axId val="129776256"/>
        <c:scaling>
          <c:orientation val="minMax"/>
        </c:scaling>
        <c:axPos val="b"/>
        <c:numFmt formatCode="General" sourceLinked="1"/>
        <c:tickLblPos val="nextTo"/>
        <c:crossAx val="129786240"/>
        <c:crosses val="autoZero"/>
        <c:auto val="1"/>
        <c:lblAlgn val="ctr"/>
        <c:lblOffset val="100"/>
      </c:catAx>
      <c:valAx>
        <c:axId val="129786240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$/mcf</a:t>
                </a:r>
              </a:p>
            </c:rich>
          </c:tx>
          <c:layout>
            <c:manualLayout>
              <c:xMode val="edge"/>
              <c:yMode val="edge"/>
              <c:x val="5.5632823365785811E-3"/>
              <c:y val="8.3260928590823697E-3"/>
            </c:manualLayout>
          </c:layout>
        </c:title>
        <c:numFmt formatCode="_-* #,##0.00_р_._-;\-* #,##0.00_р_._-;_-* &quot;-&quot;??_р_._-;_-@_-" sourceLinked="1"/>
        <c:tickLblPos val="nextTo"/>
        <c:crossAx val="129776256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4204543397592801"/>
          <c:w val="1"/>
          <c:h val="0.15738407699037621"/>
        </c:manualLayout>
      </c:layout>
    </c:legend>
    <c:plotVisOnly val="1"/>
  </c:chart>
  <c:spPr>
    <a:noFill/>
    <a:ln>
      <a:noFill/>
    </a:ln>
  </c:spPr>
  <c:txPr>
    <a:bodyPr/>
    <a:lstStyle/>
    <a:p>
      <a:pPr>
        <a:defRPr sz="1400"/>
      </a:pPr>
      <a:endParaRPr lang="ru-RU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Announced Appalachian Basin Takeaway projects</a:t>
            </a:r>
          </a:p>
        </c:rich>
      </c:tx>
      <c:layout>
        <c:manualLayout>
          <c:xMode val="edge"/>
          <c:yMode val="edge"/>
          <c:x val="0.20595027391487569"/>
          <c:y val="0"/>
        </c:manualLayout>
      </c:layout>
    </c:title>
    <c:plotArea>
      <c:layout>
        <c:manualLayout>
          <c:layoutTarget val="inner"/>
          <c:xMode val="edge"/>
          <c:yMode val="edge"/>
          <c:x val="8.7159016627346333E-2"/>
          <c:y val="8.9489230024184338E-2"/>
          <c:w val="0.88862007293336165"/>
          <c:h val="0.66343135903694439"/>
        </c:manualLayout>
      </c:layout>
      <c:barChart>
        <c:barDir val="col"/>
        <c:grouping val="stacked"/>
        <c:ser>
          <c:idx val="0"/>
          <c:order val="0"/>
          <c:spPr>
            <a:noFill/>
            <a:ln>
              <a:noFill/>
            </a:ln>
          </c:spPr>
          <c:cat>
            <c:strRef>
              <c:f>Лист3!$D$5:$J$5</c:f>
              <c:strCache>
                <c:ptCount val="7"/>
                <c:pt idx="0">
                  <c:v>4Q 15</c:v>
                </c:pt>
                <c:pt idx="1">
                  <c:v>1H 16</c:v>
                </c:pt>
                <c:pt idx="2">
                  <c:v>2H 16</c:v>
                </c:pt>
                <c:pt idx="3">
                  <c:v>1H 17</c:v>
                </c:pt>
                <c:pt idx="4">
                  <c:v>2H 17</c:v>
                </c:pt>
                <c:pt idx="5">
                  <c:v>1H 18</c:v>
                </c:pt>
                <c:pt idx="6">
                  <c:v>2H 18</c:v>
                </c:pt>
              </c:strCache>
            </c:strRef>
          </c:cat>
          <c:val>
            <c:numRef>
              <c:f>Лист3!$D$32:$J$32</c:f>
              <c:numCache>
                <c:formatCode>General</c:formatCode>
                <c:ptCount val="7"/>
                <c:pt idx="1">
                  <c:v>4</c:v>
                </c:pt>
                <c:pt idx="2">
                  <c:v>5</c:v>
                </c:pt>
                <c:pt idx="3">
                  <c:v>10.399999999999999</c:v>
                </c:pt>
                <c:pt idx="4">
                  <c:v>10.399999999999999</c:v>
                </c:pt>
                <c:pt idx="5">
                  <c:v>21.4</c:v>
                </c:pt>
                <c:pt idx="6">
                  <c:v>21.4</c:v>
                </c:pt>
              </c:numCache>
            </c:numRef>
          </c:val>
        </c:ser>
        <c:ser>
          <c:idx val="1"/>
          <c:order val="1"/>
          <c:tx>
            <c:strRef>
              <c:f>Лист3!$C$12</c:f>
              <c:strCache>
                <c:ptCount val="1"/>
                <c:pt idx="0">
                  <c:v>to Gulf Coast</c:v>
                </c:pt>
              </c:strCache>
            </c:strRef>
          </c:tx>
          <c:val>
            <c:numRef>
              <c:f>Лист3!$D$12:$J$12</c:f>
              <c:numCache>
                <c:formatCode>General</c:formatCode>
                <c:ptCount val="7"/>
                <c:pt idx="0">
                  <c:v>1.2</c:v>
                </c:pt>
                <c:pt idx="2" formatCode="_-* #,##0.0_р_._-;\-* #,##0.0_р_._-;_-* &quot;-&quot;??_р_._-;_-@_-">
                  <c:v>0.92700000000000005</c:v>
                </c:pt>
                <c:pt idx="4" formatCode="_-* #,##0.0_р_._-;\-* #,##0.0_р_._-;_-* &quot;-&quot;??_р_._-;_-@_-">
                  <c:v>3.9289999999999998</c:v>
                </c:pt>
              </c:numCache>
            </c:numRef>
          </c:val>
        </c:ser>
        <c:ser>
          <c:idx val="2"/>
          <c:order val="2"/>
          <c:tx>
            <c:strRef>
              <c:f>Лист3!$C$10</c:f>
              <c:strCache>
                <c:ptCount val="1"/>
                <c:pt idx="0">
                  <c:v>to Mid-Atlantic/SE</c:v>
                </c:pt>
              </c:strCache>
            </c:strRef>
          </c:tx>
          <c:val>
            <c:numRef>
              <c:f>Лист3!$D$10:$J$10</c:f>
              <c:numCache>
                <c:formatCode>General</c:formatCode>
                <c:ptCount val="7"/>
                <c:pt idx="0">
                  <c:v>0.8</c:v>
                </c:pt>
                <c:pt idx="4">
                  <c:v>1.7</c:v>
                </c:pt>
                <c:pt idx="6">
                  <c:v>5</c:v>
                </c:pt>
              </c:numCache>
            </c:numRef>
          </c:val>
        </c:ser>
        <c:ser>
          <c:idx val="3"/>
          <c:order val="3"/>
          <c:tx>
            <c:strRef>
              <c:f>Лист3!$C$11</c:f>
              <c:strCache>
                <c:ptCount val="1"/>
                <c:pt idx="0">
                  <c:v>to North East</c:v>
                </c:pt>
              </c:strCache>
            </c:strRef>
          </c:tx>
          <c:val>
            <c:numRef>
              <c:f>Лист3!$D$11:$J$11</c:f>
              <c:numCache>
                <c:formatCode>General</c:formatCode>
                <c:ptCount val="7"/>
                <c:pt idx="1">
                  <c:v>0.7</c:v>
                </c:pt>
                <c:pt idx="2">
                  <c:v>0.4</c:v>
                </c:pt>
                <c:pt idx="4">
                  <c:v>2.4</c:v>
                </c:pt>
                <c:pt idx="6">
                  <c:v>3</c:v>
                </c:pt>
              </c:numCache>
            </c:numRef>
          </c:val>
        </c:ser>
        <c:ser>
          <c:idx val="4"/>
          <c:order val="4"/>
          <c:tx>
            <c:strRef>
              <c:f>Лист3!$C$13</c:f>
              <c:strCache>
                <c:ptCount val="1"/>
                <c:pt idx="0">
                  <c:v>to Midwest</c:v>
                </c:pt>
              </c:strCache>
            </c:strRef>
          </c:tx>
          <c:val>
            <c:numRef>
              <c:f>Лист3!$D$13:$J$13</c:f>
              <c:numCache>
                <c:formatCode>General</c:formatCode>
                <c:ptCount val="7"/>
                <c:pt idx="0">
                  <c:v>1.7000000000000002</c:v>
                </c:pt>
                <c:pt idx="2" formatCode="_-* #,##0.0_р_._-;\-* #,##0.0_р_._-;_-* &quot;-&quot;??_р_._-;_-@_-">
                  <c:v>3.0270000000000001</c:v>
                </c:pt>
                <c:pt idx="4" formatCode="_-* #,##0.0_р_._-;\-* #,##0.0_р_._-;_-* &quot;-&quot;??_р_._-;_-@_-">
                  <c:v>1.4790000000000001</c:v>
                </c:pt>
              </c:numCache>
            </c:numRef>
          </c:val>
        </c:ser>
        <c:ser>
          <c:idx val="5"/>
          <c:order val="5"/>
          <c:tx>
            <c:strRef>
              <c:f>Лист3!$C$9</c:f>
              <c:strCache>
                <c:ptCount val="1"/>
                <c:pt idx="0">
                  <c:v>to Canada</c:v>
                </c:pt>
              </c:strCache>
            </c:strRef>
          </c:tx>
          <c:val>
            <c:numRef>
              <c:f>Лист3!$D$9:$J$9</c:f>
              <c:numCache>
                <c:formatCode>General</c:formatCode>
                <c:ptCount val="7"/>
                <c:pt idx="0">
                  <c:v>0.30000000000000004</c:v>
                </c:pt>
                <c:pt idx="1">
                  <c:v>0.3</c:v>
                </c:pt>
                <c:pt idx="2" formatCode="_-* #,##0.0_р_._-;\-* #,##0.0_р_._-;_-* &quot;-&quot;??_р_._-;_-@_-">
                  <c:v>1.0270000000000001</c:v>
                </c:pt>
                <c:pt idx="4" formatCode="_-* #,##0.0_р_._-;\-* #,##0.0_р_._-;_-* &quot;-&quot;??_р_._-;_-@_-">
                  <c:v>1.4790000000000001</c:v>
                </c:pt>
              </c:numCache>
            </c:numRef>
          </c:val>
        </c:ser>
        <c:overlap val="100"/>
        <c:axId val="131467136"/>
        <c:axId val="131468672"/>
      </c:barChart>
      <c:lineChart>
        <c:grouping val="standard"/>
        <c:ser>
          <c:idx val="6"/>
          <c:order val="6"/>
          <c:tx>
            <c:strRef>
              <c:f>Лист3!$C$54</c:f>
              <c:strCache>
                <c:ptCount val="1"/>
                <c:pt idx="0">
                  <c:v>Export &amp; Industrial demand</c:v>
                </c:pt>
              </c:strCache>
            </c:strRef>
          </c:tx>
          <c:marker>
            <c:symbol val="none"/>
          </c:marker>
          <c:val>
            <c:numRef>
              <c:f>Лист3!$D$54:$J$54</c:f>
              <c:numCache>
                <c:formatCode>_-* #,##0.00_р_._-;\-* #,##0.00_р_._-;_-* "-"??_р_._-;_-@_-</c:formatCode>
                <c:ptCount val="7"/>
                <c:pt idx="0">
                  <c:v>1.9749483955714018</c:v>
                </c:pt>
                <c:pt idx="1">
                  <c:v>4.6628448114092702</c:v>
                </c:pt>
                <c:pt idx="2">
                  <c:v>6.2307412272471385</c:v>
                </c:pt>
                <c:pt idx="3">
                  <c:v>7.2815950459748553</c:v>
                </c:pt>
                <c:pt idx="4">
                  <c:v>9.252448864702572</c:v>
                </c:pt>
                <c:pt idx="5">
                  <c:v>13.045528241696379</c:v>
                </c:pt>
                <c:pt idx="6">
                  <c:v>17.998607618690187</c:v>
                </c:pt>
              </c:numCache>
            </c:numRef>
          </c:val>
        </c:ser>
        <c:marker val="1"/>
        <c:axId val="131467136"/>
        <c:axId val="131468672"/>
      </c:lineChart>
      <c:catAx>
        <c:axId val="131467136"/>
        <c:scaling>
          <c:orientation val="minMax"/>
        </c:scaling>
        <c:axPos val="b"/>
        <c:tickLblPos val="nextTo"/>
        <c:spPr>
          <a:ln>
            <a:noFill/>
          </a:ln>
        </c:spPr>
        <c:crossAx val="131468672"/>
        <c:crosses val="autoZero"/>
        <c:auto val="1"/>
        <c:lblAlgn val="ctr"/>
        <c:lblOffset val="100"/>
      </c:catAx>
      <c:valAx>
        <c:axId val="131468672"/>
        <c:scaling>
          <c:orientation val="minMax"/>
          <c:max val="3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 anchor="t" anchorCtr="0"/>
              <a:lstStyle/>
              <a:p>
                <a:pPr>
                  <a:defRPr sz="1200"/>
                </a:pPr>
                <a:r>
                  <a:rPr lang="en-US" sz="1200"/>
                  <a:t>Bcfpd</a:t>
                </a:r>
              </a:p>
            </c:rich>
          </c:tx>
          <c:layout>
            <c:manualLayout>
              <c:xMode val="edge"/>
              <c:yMode val="edge"/>
              <c:x val="0"/>
              <c:y val="9.938904352732595E-3"/>
            </c:manualLayout>
          </c:layout>
        </c:title>
        <c:numFmt formatCode="General" sourceLinked="1"/>
        <c:tickLblPos val="nextTo"/>
        <c:crossAx val="131467136"/>
        <c:crosses val="autoZero"/>
        <c:crossBetween val="between"/>
      </c:valAx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7.7909011373577023E-4"/>
          <c:y val="0.83507257830511461"/>
          <c:w val="0.99922089384844592"/>
          <c:h val="0.16492742169488542"/>
        </c:manualLayout>
      </c:layout>
    </c:legend>
    <c:plotVisOnly val="1"/>
    <c:dispBlanksAs val="gap"/>
  </c:chart>
  <c:spPr>
    <a:noFill/>
    <a:ln>
      <a:noFill/>
    </a:ln>
  </c:spPr>
  <c:txPr>
    <a:bodyPr/>
    <a:lstStyle/>
    <a:p>
      <a:pPr>
        <a:defRPr sz="1400"/>
      </a:pPr>
      <a:endParaRPr lang="ru-RU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8.5473386623132239E-2"/>
          <c:y val="8.3815472426320245E-2"/>
          <c:w val="0.88862007293336165"/>
          <c:h val="0.62087817705295645"/>
        </c:manualLayout>
      </c:layout>
      <c:barChart>
        <c:barDir val="col"/>
        <c:grouping val="stacked"/>
        <c:ser>
          <c:idx val="0"/>
          <c:order val="0"/>
          <c:spPr>
            <a:noFill/>
            <a:ln>
              <a:noFill/>
            </a:ln>
          </c:spPr>
          <c:cat>
            <c:strRef>
              <c:f>Лист3!$D$5:$J$5</c:f>
              <c:strCache>
                <c:ptCount val="7"/>
                <c:pt idx="0">
                  <c:v>4Q 15</c:v>
                </c:pt>
                <c:pt idx="1">
                  <c:v>1H 16</c:v>
                </c:pt>
                <c:pt idx="2">
                  <c:v>2H 16</c:v>
                </c:pt>
                <c:pt idx="3">
                  <c:v>1H 17</c:v>
                </c:pt>
                <c:pt idx="4">
                  <c:v>2H 17</c:v>
                </c:pt>
                <c:pt idx="5">
                  <c:v>1H 18</c:v>
                </c:pt>
                <c:pt idx="6">
                  <c:v>2H 18</c:v>
                </c:pt>
              </c:strCache>
            </c:strRef>
          </c:cat>
          <c:val>
            <c:numRef>
              <c:f>Лист3!$D$55:$J$55</c:f>
              <c:numCache>
                <c:formatCode>_-* #,##0.00_р_._-;\-* #,##0.00_р_._-;_-* "-"??_р_._-;_-@_-</c:formatCode>
                <c:ptCount val="7"/>
                <c:pt idx="1">
                  <c:v>1.9749483955714018</c:v>
                </c:pt>
                <c:pt idx="2">
                  <c:v>4.6628448114092702</c:v>
                </c:pt>
                <c:pt idx="3">
                  <c:v>6.2307412272471385</c:v>
                </c:pt>
                <c:pt idx="4">
                  <c:v>7.2815950459748553</c:v>
                </c:pt>
                <c:pt idx="5">
                  <c:v>9.252448864702572</c:v>
                </c:pt>
                <c:pt idx="6">
                  <c:v>13.045528241696379</c:v>
                </c:pt>
              </c:numCache>
            </c:numRef>
          </c:val>
        </c:ser>
        <c:ser>
          <c:idx val="1"/>
          <c:order val="1"/>
          <c:tx>
            <c:strRef>
              <c:f>Лист3!$C$16</c:f>
              <c:strCache>
                <c:ptCount val="1"/>
                <c:pt idx="0">
                  <c:v>Sabine Pass</c:v>
                </c:pt>
              </c:strCache>
            </c:strRef>
          </c:tx>
          <c:val>
            <c:numRef>
              <c:f>Лист3!$D$16:$J$16</c:f>
              <c:numCache>
                <c:formatCode>General</c:formatCode>
                <c:ptCount val="7"/>
                <c:pt idx="0">
                  <c:v>0.27</c:v>
                </c:pt>
                <c:pt idx="1">
                  <c:v>2.2000000000000002</c:v>
                </c:pt>
                <c:pt idx="5">
                  <c:v>1.38</c:v>
                </c:pt>
              </c:numCache>
            </c:numRef>
          </c:val>
        </c:ser>
        <c:ser>
          <c:idx val="2"/>
          <c:order val="2"/>
          <c:tx>
            <c:strRef>
              <c:f>Лист3!$C$17</c:f>
              <c:strCache>
                <c:ptCount val="1"/>
                <c:pt idx="0">
                  <c:v>Cameron LNG</c:v>
                </c:pt>
              </c:strCache>
            </c:strRef>
          </c:tx>
          <c:val>
            <c:numRef>
              <c:f>Лист3!$D$17:$J$17</c:f>
              <c:numCache>
                <c:formatCode>General</c:formatCode>
                <c:ptCount val="7"/>
                <c:pt idx="5">
                  <c:v>1.7</c:v>
                </c:pt>
              </c:numCache>
            </c:numRef>
          </c:val>
        </c:ser>
        <c:ser>
          <c:idx val="3"/>
          <c:order val="3"/>
          <c:tx>
            <c:strRef>
              <c:f>Лист3!$C$18</c:f>
              <c:strCache>
                <c:ptCount val="1"/>
                <c:pt idx="0">
                  <c:v>Cove Point</c:v>
                </c:pt>
              </c:strCache>
            </c:strRef>
          </c:tx>
          <c:val>
            <c:numRef>
              <c:f>Лист3!$D$18:$J$18</c:f>
              <c:numCache>
                <c:formatCode>General</c:formatCode>
                <c:ptCount val="7"/>
                <c:pt idx="4">
                  <c:v>0.82</c:v>
                </c:pt>
              </c:numCache>
            </c:numRef>
          </c:val>
        </c:ser>
        <c:ser>
          <c:idx val="4"/>
          <c:order val="4"/>
          <c:tx>
            <c:strRef>
              <c:f>Лист3!$C$19</c:f>
              <c:strCache>
                <c:ptCount val="1"/>
                <c:pt idx="0">
                  <c:v>Freeport</c:v>
                </c:pt>
              </c:strCache>
            </c:strRef>
          </c:tx>
          <c:val>
            <c:numRef>
              <c:f>Лист3!$D$19:$J$19</c:f>
              <c:numCache>
                <c:formatCode>General</c:formatCode>
                <c:ptCount val="7"/>
                <c:pt idx="6">
                  <c:v>1.8</c:v>
                </c:pt>
              </c:numCache>
            </c:numRef>
          </c:val>
        </c:ser>
        <c:ser>
          <c:idx val="5"/>
          <c:order val="5"/>
          <c:tx>
            <c:strRef>
              <c:f>Лист3!$C$20</c:f>
              <c:strCache>
                <c:ptCount val="1"/>
                <c:pt idx="0">
                  <c:v>Corpus Christi</c:v>
                </c:pt>
              </c:strCache>
            </c:strRef>
          </c:tx>
          <c:val>
            <c:numRef>
              <c:f>Лист3!$D$20:$J$20</c:f>
              <c:numCache>
                <c:formatCode>General</c:formatCode>
                <c:ptCount val="7"/>
                <c:pt idx="6">
                  <c:v>2.14</c:v>
                </c:pt>
              </c:numCache>
            </c:numRef>
          </c:val>
        </c:ser>
        <c:ser>
          <c:idx val="6"/>
          <c:order val="6"/>
          <c:tx>
            <c:strRef>
              <c:f>Лист3!$C$25</c:f>
              <c:strCache>
                <c:ptCount val="1"/>
                <c:pt idx="0">
                  <c:v>New methanol &amp; fertilizer plants</c:v>
                </c:pt>
              </c:strCache>
            </c:strRef>
          </c:tx>
          <c:val>
            <c:numRef>
              <c:f>Лист3!$D$25:$J$25</c:f>
              <c:numCache>
                <c:formatCode>_-* #,##0.0_р_._-;\-* #,##0.0_р_._-;_-* "-"??_р_._-;_-@_-</c:formatCode>
                <c:ptCount val="7"/>
                <c:pt idx="0" formatCode="General">
                  <c:v>0.5</c:v>
                </c:pt>
                <c:pt idx="2" formatCode="General">
                  <c:v>1.08</c:v>
                </c:pt>
                <c:pt idx="4" formatCode="General">
                  <c:v>0.1</c:v>
                </c:pt>
                <c:pt idx="6" formatCode="General">
                  <c:v>0.30000000000000004</c:v>
                </c:pt>
              </c:numCache>
            </c:numRef>
          </c:val>
        </c:ser>
        <c:ser>
          <c:idx val="7"/>
          <c:order val="7"/>
          <c:tx>
            <c:strRef>
              <c:f>Лист3!$C$27</c:f>
              <c:strCache>
                <c:ptCount val="1"/>
                <c:pt idx="0">
                  <c:v>Net pipeline export (Mexico&amp;Canada)</c:v>
                </c:pt>
              </c:strCache>
            </c:strRef>
          </c:tx>
          <c:val>
            <c:numRef>
              <c:f>Лист3!$D$27:$J$27</c:f>
              <c:numCache>
                <c:formatCode>_-* #,##0.0_р_._-;\-* #,##0.0_р_._-;_-* "-"??_р_._-;_-@_-</c:formatCode>
                <c:ptCount val="7"/>
                <c:pt idx="0">
                  <c:v>1.2009757928316758</c:v>
                </c:pt>
                <c:pt idx="1">
                  <c:v>0.4878964158378678</c:v>
                </c:pt>
                <c:pt idx="2">
                  <c:v>0.4878964158378678</c:v>
                </c:pt>
                <c:pt idx="3">
                  <c:v>1.0508538187277168</c:v>
                </c:pt>
                <c:pt idx="4">
                  <c:v>1.0508538187277163</c:v>
                </c:pt>
                <c:pt idx="5">
                  <c:v>0.7130793769938073</c:v>
                </c:pt>
                <c:pt idx="6">
                  <c:v>0.71307937699380786</c:v>
                </c:pt>
              </c:numCache>
            </c:numRef>
          </c:val>
        </c:ser>
        <c:overlap val="100"/>
        <c:axId val="131528192"/>
        <c:axId val="131529728"/>
      </c:barChart>
      <c:catAx>
        <c:axId val="131528192"/>
        <c:scaling>
          <c:orientation val="minMax"/>
        </c:scaling>
        <c:axPos val="b"/>
        <c:tickLblPos val="nextTo"/>
        <c:crossAx val="131529728"/>
        <c:crosses val="autoZero"/>
        <c:auto val="1"/>
        <c:lblAlgn val="ctr"/>
        <c:lblOffset val="100"/>
      </c:catAx>
      <c:valAx>
        <c:axId val="131529728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 anchor="t" anchorCtr="0"/>
              <a:lstStyle/>
              <a:p>
                <a:pPr>
                  <a:defRPr sz="1200"/>
                </a:pPr>
                <a:r>
                  <a:rPr lang="en-US" sz="1200"/>
                  <a:t>Bcfpd</a:t>
                </a:r>
              </a:p>
            </c:rich>
          </c:tx>
          <c:layout>
            <c:manualLayout>
              <c:xMode val="edge"/>
              <c:yMode val="edge"/>
              <c:x val="0"/>
              <c:y val="1.4282679559349826E-3"/>
            </c:manualLayout>
          </c:layout>
        </c:title>
        <c:numFmt formatCode="General" sourceLinked="1"/>
        <c:tickLblPos val="nextTo"/>
        <c:crossAx val="131528192"/>
        <c:crosses val="autoZero"/>
        <c:crossBetween val="between"/>
      </c:valAx>
    </c:plotArea>
    <c:legend>
      <c:legendPos val="r"/>
      <c:legendEntry>
        <c:idx val="7"/>
        <c:delete val="1"/>
      </c:legendEntry>
      <c:layout>
        <c:manualLayout>
          <c:xMode val="edge"/>
          <c:yMode val="edge"/>
          <c:x val="7.7909011373577023E-4"/>
          <c:y val="0.80670379031578965"/>
          <c:w val="0.99299786641714061"/>
          <c:h val="0.19329620968421071"/>
        </c:manualLayout>
      </c:layout>
    </c:legend>
    <c:plotVisOnly val="1"/>
  </c:chart>
  <c:spPr>
    <a:noFill/>
    <a:ln>
      <a:noFill/>
    </a:ln>
  </c:spPr>
  <c:txPr>
    <a:bodyPr/>
    <a:lstStyle/>
    <a:p>
      <a:pPr>
        <a:defRPr sz="1400"/>
      </a:pPr>
      <a:endParaRPr lang="ru-RU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1730546738448423E-2"/>
          <c:y val="3.5499663261516781E-2"/>
          <c:w val="0.90618610105130648"/>
          <c:h val="0.71916715446540402"/>
        </c:manualLayout>
      </c:layout>
      <c:areaChart>
        <c:grouping val="stacked"/>
        <c:ser>
          <c:idx val="2"/>
          <c:order val="1"/>
          <c:spPr>
            <a:noFill/>
            <a:ln>
              <a:noFill/>
            </a:ln>
          </c:spPr>
          <c:cat>
            <c:numRef>
              <c:f>(Лист4!$C$5:$C$562,Лист4!$B$563:$B$783)</c:f>
              <c:numCache>
                <c:formatCode>dd/mm/yyyy</c:formatCode>
                <c:ptCount val="779"/>
                <c:pt idx="0" formatCode="dd\.mm\.yyyy">
                  <c:v>38353</c:v>
                </c:pt>
                <c:pt idx="1">
                  <c:v>38359</c:v>
                </c:pt>
                <c:pt idx="2">
                  <c:v>38366</c:v>
                </c:pt>
                <c:pt idx="3">
                  <c:v>38373</c:v>
                </c:pt>
                <c:pt idx="4">
                  <c:v>38380</c:v>
                </c:pt>
                <c:pt idx="5">
                  <c:v>38387</c:v>
                </c:pt>
                <c:pt idx="6">
                  <c:v>38394</c:v>
                </c:pt>
                <c:pt idx="7">
                  <c:v>38401</c:v>
                </c:pt>
                <c:pt idx="8">
                  <c:v>38408</c:v>
                </c:pt>
                <c:pt idx="9">
                  <c:v>38415</c:v>
                </c:pt>
                <c:pt idx="10">
                  <c:v>38422</c:v>
                </c:pt>
                <c:pt idx="11">
                  <c:v>38429</c:v>
                </c:pt>
                <c:pt idx="12">
                  <c:v>38436</c:v>
                </c:pt>
                <c:pt idx="13">
                  <c:v>38443</c:v>
                </c:pt>
                <c:pt idx="14">
                  <c:v>38450</c:v>
                </c:pt>
                <c:pt idx="15">
                  <c:v>38457</c:v>
                </c:pt>
                <c:pt idx="16">
                  <c:v>38464</c:v>
                </c:pt>
                <c:pt idx="17">
                  <c:v>38471</c:v>
                </c:pt>
                <c:pt idx="18">
                  <c:v>38478</c:v>
                </c:pt>
                <c:pt idx="19">
                  <c:v>38485</c:v>
                </c:pt>
                <c:pt idx="20">
                  <c:v>38492</c:v>
                </c:pt>
                <c:pt idx="21">
                  <c:v>38499</c:v>
                </c:pt>
                <c:pt idx="22">
                  <c:v>38506</c:v>
                </c:pt>
                <c:pt idx="23">
                  <c:v>38513</c:v>
                </c:pt>
                <c:pt idx="24">
                  <c:v>38520</c:v>
                </c:pt>
                <c:pt idx="25">
                  <c:v>38527</c:v>
                </c:pt>
                <c:pt idx="26">
                  <c:v>38534</c:v>
                </c:pt>
                <c:pt idx="27">
                  <c:v>38541</c:v>
                </c:pt>
                <c:pt idx="28">
                  <c:v>38548</c:v>
                </c:pt>
                <c:pt idx="29">
                  <c:v>38555</c:v>
                </c:pt>
                <c:pt idx="30">
                  <c:v>38562</c:v>
                </c:pt>
                <c:pt idx="31">
                  <c:v>38569</c:v>
                </c:pt>
                <c:pt idx="32">
                  <c:v>38576</c:v>
                </c:pt>
                <c:pt idx="33">
                  <c:v>38583</c:v>
                </c:pt>
                <c:pt idx="34">
                  <c:v>38590</c:v>
                </c:pt>
                <c:pt idx="35">
                  <c:v>38597</c:v>
                </c:pt>
                <c:pt idx="36">
                  <c:v>38604</c:v>
                </c:pt>
                <c:pt idx="37">
                  <c:v>38611</c:v>
                </c:pt>
                <c:pt idx="38">
                  <c:v>38618</c:v>
                </c:pt>
                <c:pt idx="39">
                  <c:v>38625</c:v>
                </c:pt>
                <c:pt idx="40">
                  <c:v>38632</c:v>
                </c:pt>
                <c:pt idx="41">
                  <c:v>38639</c:v>
                </c:pt>
                <c:pt idx="42">
                  <c:v>38646</c:v>
                </c:pt>
                <c:pt idx="43">
                  <c:v>38653</c:v>
                </c:pt>
                <c:pt idx="44">
                  <c:v>38660</c:v>
                </c:pt>
                <c:pt idx="45">
                  <c:v>38667</c:v>
                </c:pt>
                <c:pt idx="46">
                  <c:v>38674</c:v>
                </c:pt>
                <c:pt idx="47">
                  <c:v>38681</c:v>
                </c:pt>
                <c:pt idx="48">
                  <c:v>38688</c:v>
                </c:pt>
                <c:pt idx="49">
                  <c:v>38695</c:v>
                </c:pt>
                <c:pt idx="50">
                  <c:v>38702</c:v>
                </c:pt>
                <c:pt idx="51">
                  <c:v>38709</c:v>
                </c:pt>
                <c:pt idx="52">
                  <c:v>38716</c:v>
                </c:pt>
                <c:pt idx="53">
                  <c:v>38723</c:v>
                </c:pt>
                <c:pt idx="54">
                  <c:v>38730</c:v>
                </c:pt>
                <c:pt idx="55">
                  <c:v>38737</c:v>
                </c:pt>
                <c:pt idx="56">
                  <c:v>38744</c:v>
                </c:pt>
                <c:pt idx="57">
                  <c:v>38751</c:v>
                </c:pt>
                <c:pt idx="58">
                  <c:v>38758</c:v>
                </c:pt>
                <c:pt idx="59">
                  <c:v>38765</c:v>
                </c:pt>
                <c:pt idx="60">
                  <c:v>38772</c:v>
                </c:pt>
                <c:pt idx="61">
                  <c:v>38779</c:v>
                </c:pt>
                <c:pt idx="62">
                  <c:v>38786</c:v>
                </c:pt>
                <c:pt idx="63">
                  <c:v>38793</c:v>
                </c:pt>
                <c:pt idx="64">
                  <c:v>38800</c:v>
                </c:pt>
                <c:pt idx="65">
                  <c:v>38807</c:v>
                </c:pt>
                <c:pt idx="66">
                  <c:v>38814</c:v>
                </c:pt>
                <c:pt idx="67">
                  <c:v>38821</c:v>
                </c:pt>
                <c:pt idx="68">
                  <c:v>38828</c:v>
                </c:pt>
                <c:pt idx="69">
                  <c:v>38835</c:v>
                </c:pt>
                <c:pt idx="70">
                  <c:v>38842</c:v>
                </c:pt>
                <c:pt idx="71">
                  <c:v>38849</c:v>
                </c:pt>
                <c:pt idx="72">
                  <c:v>38856</c:v>
                </c:pt>
                <c:pt idx="73">
                  <c:v>38863</c:v>
                </c:pt>
                <c:pt idx="74">
                  <c:v>38870</c:v>
                </c:pt>
                <c:pt idx="75">
                  <c:v>38877</c:v>
                </c:pt>
                <c:pt idx="76">
                  <c:v>38884</c:v>
                </c:pt>
                <c:pt idx="77">
                  <c:v>38891</c:v>
                </c:pt>
                <c:pt idx="78">
                  <c:v>38898</c:v>
                </c:pt>
                <c:pt idx="79">
                  <c:v>38905</c:v>
                </c:pt>
                <c:pt idx="80">
                  <c:v>38912</c:v>
                </c:pt>
                <c:pt idx="81">
                  <c:v>38919</c:v>
                </c:pt>
                <c:pt idx="82">
                  <c:v>38926</c:v>
                </c:pt>
                <c:pt idx="83">
                  <c:v>38933</c:v>
                </c:pt>
                <c:pt idx="84">
                  <c:v>38940</c:v>
                </c:pt>
                <c:pt idx="85">
                  <c:v>38947</c:v>
                </c:pt>
                <c:pt idx="86">
                  <c:v>38954</c:v>
                </c:pt>
                <c:pt idx="87">
                  <c:v>38961</c:v>
                </c:pt>
                <c:pt idx="88">
                  <c:v>38968</c:v>
                </c:pt>
                <c:pt idx="89">
                  <c:v>38975</c:v>
                </c:pt>
                <c:pt idx="90">
                  <c:v>38982</c:v>
                </c:pt>
                <c:pt idx="91">
                  <c:v>38989</c:v>
                </c:pt>
                <c:pt idx="92">
                  <c:v>38996</c:v>
                </c:pt>
                <c:pt idx="93">
                  <c:v>39003</c:v>
                </c:pt>
                <c:pt idx="94">
                  <c:v>39010</c:v>
                </c:pt>
                <c:pt idx="95">
                  <c:v>39017</c:v>
                </c:pt>
                <c:pt idx="96">
                  <c:v>39024</c:v>
                </c:pt>
                <c:pt idx="97">
                  <c:v>39031</c:v>
                </c:pt>
                <c:pt idx="98">
                  <c:v>39038</c:v>
                </c:pt>
                <c:pt idx="99">
                  <c:v>39045</c:v>
                </c:pt>
                <c:pt idx="100">
                  <c:v>39052</c:v>
                </c:pt>
                <c:pt idx="101">
                  <c:v>39059</c:v>
                </c:pt>
                <c:pt idx="102">
                  <c:v>39066</c:v>
                </c:pt>
                <c:pt idx="103">
                  <c:v>39073</c:v>
                </c:pt>
                <c:pt idx="104">
                  <c:v>39080</c:v>
                </c:pt>
                <c:pt idx="105">
                  <c:v>39087</c:v>
                </c:pt>
                <c:pt idx="106">
                  <c:v>39094</c:v>
                </c:pt>
                <c:pt idx="107">
                  <c:v>39101</c:v>
                </c:pt>
                <c:pt idx="108">
                  <c:v>39108</c:v>
                </c:pt>
                <c:pt idx="109">
                  <c:v>39115</c:v>
                </c:pt>
                <c:pt idx="110">
                  <c:v>39122</c:v>
                </c:pt>
                <c:pt idx="111">
                  <c:v>39129</c:v>
                </c:pt>
                <c:pt idx="112">
                  <c:v>39136</c:v>
                </c:pt>
                <c:pt idx="113">
                  <c:v>39143</c:v>
                </c:pt>
                <c:pt idx="114">
                  <c:v>39150</c:v>
                </c:pt>
                <c:pt idx="115">
                  <c:v>39157</c:v>
                </c:pt>
                <c:pt idx="116">
                  <c:v>39164</c:v>
                </c:pt>
                <c:pt idx="117">
                  <c:v>39171</c:v>
                </c:pt>
                <c:pt idx="118">
                  <c:v>39178</c:v>
                </c:pt>
                <c:pt idx="119">
                  <c:v>39185</c:v>
                </c:pt>
                <c:pt idx="120">
                  <c:v>39192</c:v>
                </c:pt>
                <c:pt idx="121">
                  <c:v>39199</c:v>
                </c:pt>
                <c:pt idx="122">
                  <c:v>39206</c:v>
                </c:pt>
                <c:pt idx="123">
                  <c:v>39213</c:v>
                </c:pt>
                <c:pt idx="124">
                  <c:v>39220</c:v>
                </c:pt>
                <c:pt idx="125">
                  <c:v>39227</c:v>
                </c:pt>
                <c:pt idx="126">
                  <c:v>39234</c:v>
                </c:pt>
                <c:pt idx="127">
                  <c:v>39241</c:v>
                </c:pt>
                <c:pt idx="128">
                  <c:v>39248</c:v>
                </c:pt>
                <c:pt idx="129">
                  <c:v>39255</c:v>
                </c:pt>
                <c:pt idx="130">
                  <c:v>39262</c:v>
                </c:pt>
                <c:pt idx="131">
                  <c:v>39269</c:v>
                </c:pt>
                <c:pt idx="132">
                  <c:v>39276</c:v>
                </c:pt>
                <c:pt idx="133">
                  <c:v>39283</c:v>
                </c:pt>
                <c:pt idx="134">
                  <c:v>39290</c:v>
                </c:pt>
                <c:pt idx="135">
                  <c:v>39297</c:v>
                </c:pt>
                <c:pt idx="136">
                  <c:v>39304</c:v>
                </c:pt>
                <c:pt idx="137">
                  <c:v>39311</c:v>
                </c:pt>
                <c:pt idx="138">
                  <c:v>39318</c:v>
                </c:pt>
                <c:pt idx="139">
                  <c:v>39325</c:v>
                </c:pt>
                <c:pt idx="140">
                  <c:v>39332</c:v>
                </c:pt>
                <c:pt idx="141">
                  <c:v>39339</c:v>
                </c:pt>
                <c:pt idx="142">
                  <c:v>39346</c:v>
                </c:pt>
                <c:pt idx="143">
                  <c:v>39353</c:v>
                </c:pt>
                <c:pt idx="144">
                  <c:v>39360</c:v>
                </c:pt>
                <c:pt idx="145">
                  <c:v>39367</c:v>
                </c:pt>
                <c:pt idx="146">
                  <c:v>39374</c:v>
                </c:pt>
                <c:pt idx="147">
                  <c:v>39381</c:v>
                </c:pt>
                <c:pt idx="148">
                  <c:v>39388</c:v>
                </c:pt>
                <c:pt idx="149">
                  <c:v>39395</c:v>
                </c:pt>
                <c:pt idx="150">
                  <c:v>39402</c:v>
                </c:pt>
                <c:pt idx="151">
                  <c:v>39409</c:v>
                </c:pt>
                <c:pt idx="152">
                  <c:v>39416</c:v>
                </c:pt>
                <c:pt idx="153">
                  <c:v>39423</c:v>
                </c:pt>
                <c:pt idx="154">
                  <c:v>39430</c:v>
                </c:pt>
                <c:pt idx="155">
                  <c:v>39437</c:v>
                </c:pt>
                <c:pt idx="156">
                  <c:v>39444</c:v>
                </c:pt>
                <c:pt idx="157">
                  <c:v>39451</c:v>
                </c:pt>
                <c:pt idx="158">
                  <c:v>39458</c:v>
                </c:pt>
                <c:pt idx="159">
                  <c:v>39465</c:v>
                </c:pt>
                <c:pt idx="160">
                  <c:v>39472</c:v>
                </c:pt>
                <c:pt idx="161">
                  <c:v>39479</c:v>
                </c:pt>
                <c:pt idx="162">
                  <c:v>39486</c:v>
                </c:pt>
                <c:pt idx="163">
                  <c:v>39493</c:v>
                </c:pt>
                <c:pt idx="164">
                  <c:v>39500</c:v>
                </c:pt>
                <c:pt idx="165">
                  <c:v>39507</c:v>
                </c:pt>
                <c:pt idx="166">
                  <c:v>39514</c:v>
                </c:pt>
                <c:pt idx="167">
                  <c:v>39521</c:v>
                </c:pt>
                <c:pt idx="168">
                  <c:v>39528</c:v>
                </c:pt>
                <c:pt idx="169">
                  <c:v>39535</c:v>
                </c:pt>
                <c:pt idx="170">
                  <c:v>39542</c:v>
                </c:pt>
                <c:pt idx="171">
                  <c:v>39549</c:v>
                </c:pt>
                <c:pt idx="172">
                  <c:v>39556</c:v>
                </c:pt>
                <c:pt idx="173">
                  <c:v>39563</c:v>
                </c:pt>
                <c:pt idx="174">
                  <c:v>39570</c:v>
                </c:pt>
                <c:pt idx="175">
                  <c:v>39577</c:v>
                </c:pt>
                <c:pt idx="176">
                  <c:v>39584</c:v>
                </c:pt>
                <c:pt idx="177">
                  <c:v>39591</c:v>
                </c:pt>
                <c:pt idx="178">
                  <c:v>39598</c:v>
                </c:pt>
                <c:pt idx="179">
                  <c:v>39605</c:v>
                </c:pt>
                <c:pt idx="180">
                  <c:v>39612</c:v>
                </c:pt>
                <c:pt idx="181">
                  <c:v>39619</c:v>
                </c:pt>
                <c:pt idx="182">
                  <c:v>39626</c:v>
                </c:pt>
                <c:pt idx="183">
                  <c:v>39633</c:v>
                </c:pt>
                <c:pt idx="184">
                  <c:v>39640</c:v>
                </c:pt>
                <c:pt idx="185">
                  <c:v>39647</c:v>
                </c:pt>
                <c:pt idx="186">
                  <c:v>39654</c:v>
                </c:pt>
                <c:pt idx="187">
                  <c:v>39661</c:v>
                </c:pt>
                <c:pt idx="188">
                  <c:v>39668</c:v>
                </c:pt>
                <c:pt idx="189">
                  <c:v>39675</c:v>
                </c:pt>
                <c:pt idx="190">
                  <c:v>39682</c:v>
                </c:pt>
                <c:pt idx="191">
                  <c:v>39689</c:v>
                </c:pt>
                <c:pt idx="192">
                  <c:v>39696</c:v>
                </c:pt>
                <c:pt idx="193">
                  <c:v>39703</c:v>
                </c:pt>
                <c:pt idx="194">
                  <c:v>39710</c:v>
                </c:pt>
                <c:pt idx="195">
                  <c:v>39717</c:v>
                </c:pt>
                <c:pt idx="196">
                  <c:v>39724</c:v>
                </c:pt>
                <c:pt idx="197">
                  <c:v>39731</c:v>
                </c:pt>
                <c:pt idx="198">
                  <c:v>39738</c:v>
                </c:pt>
                <c:pt idx="199">
                  <c:v>39745</c:v>
                </c:pt>
                <c:pt idx="200">
                  <c:v>39752</c:v>
                </c:pt>
                <c:pt idx="201">
                  <c:v>39759</c:v>
                </c:pt>
                <c:pt idx="202">
                  <c:v>39766</c:v>
                </c:pt>
                <c:pt idx="203">
                  <c:v>39773</c:v>
                </c:pt>
                <c:pt idx="204">
                  <c:v>39780</c:v>
                </c:pt>
                <c:pt idx="205">
                  <c:v>39787</c:v>
                </c:pt>
                <c:pt idx="206">
                  <c:v>39794</c:v>
                </c:pt>
                <c:pt idx="207">
                  <c:v>39801</c:v>
                </c:pt>
                <c:pt idx="208">
                  <c:v>39808</c:v>
                </c:pt>
                <c:pt idx="209">
                  <c:v>39815</c:v>
                </c:pt>
                <c:pt idx="210">
                  <c:v>39822</c:v>
                </c:pt>
                <c:pt idx="211">
                  <c:v>39829</c:v>
                </c:pt>
                <c:pt idx="212">
                  <c:v>39836</c:v>
                </c:pt>
                <c:pt idx="213">
                  <c:v>39843</c:v>
                </c:pt>
                <c:pt idx="214">
                  <c:v>39850</c:v>
                </c:pt>
                <c:pt idx="215">
                  <c:v>39857</c:v>
                </c:pt>
                <c:pt idx="216">
                  <c:v>39864</c:v>
                </c:pt>
                <c:pt idx="217">
                  <c:v>39871</c:v>
                </c:pt>
                <c:pt idx="218">
                  <c:v>39878</c:v>
                </c:pt>
                <c:pt idx="219">
                  <c:v>39885</c:v>
                </c:pt>
                <c:pt idx="220">
                  <c:v>39892</c:v>
                </c:pt>
                <c:pt idx="221">
                  <c:v>39899</c:v>
                </c:pt>
                <c:pt idx="222">
                  <c:v>39906</c:v>
                </c:pt>
                <c:pt idx="223">
                  <c:v>39913</c:v>
                </c:pt>
                <c:pt idx="224">
                  <c:v>39920</c:v>
                </c:pt>
                <c:pt idx="225">
                  <c:v>39927</c:v>
                </c:pt>
                <c:pt idx="226">
                  <c:v>39934</c:v>
                </c:pt>
                <c:pt idx="227">
                  <c:v>39941</c:v>
                </c:pt>
                <c:pt idx="228">
                  <c:v>39948</c:v>
                </c:pt>
                <c:pt idx="229">
                  <c:v>39955</c:v>
                </c:pt>
                <c:pt idx="230">
                  <c:v>39962</c:v>
                </c:pt>
                <c:pt idx="231">
                  <c:v>39969</c:v>
                </c:pt>
                <c:pt idx="232">
                  <c:v>39976</c:v>
                </c:pt>
                <c:pt idx="233">
                  <c:v>39983</c:v>
                </c:pt>
                <c:pt idx="234">
                  <c:v>39990</c:v>
                </c:pt>
                <c:pt idx="235">
                  <c:v>39997</c:v>
                </c:pt>
                <c:pt idx="236">
                  <c:v>40004</c:v>
                </c:pt>
                <c:pt idx="237">
                  <c:v>40011</c:v>
                </c:pt>
                <c:pt idx="238">
                  <c:v>40018</c:v>
                </c:pt>
                <c:pt idx="239">
                  <c:v>40025</c:v>
                </c:pt>
                <c:pt idx="240">
                  <c:v>40032</c:v>
                </c:pt>
                <c:pt idx="241">
                  <c:v>40039</c:v>
                </c:pt>
                <c:pt idx="242">
                  <c:v>40046</c:v>
                </c:pt>
                <c:pt idx="243">
                  <c:v>40053</c:v>
                </c:pt>
                <c:pt idx="244">
                  <c:v>40060</c:v>
                </c:pt>
                <c:pt idx="245">
                  <c:v>40067</c:v>
                </c:pt>
                <c:pt idx="246">
                  <c:v>40074</c:v>
                </c:pt>
                <c:pt idx="247">
                  <c:v>40081</c:v>
                </c:pt>
                <c:pt idx="248">
                  <c:v>40088</c:v>
                </c:pt>
                <c:pt idx="249">
                  <c:v>40095</c:v>
                </c:pt>
                <c:pt idx="250">
                  <c:v>40102</c:v>
                </c:pt>
                <c:pt idx="251">
                  <c:v>40109</c:v>
                </c:pt>
                <c:pt idx="252">
                  <c:v>40116</c:v>
                </c:pt>
                <c:pt idx="253">
                  <c:v>40123</c:v>
                </c:pt>
                <c:pt idx="254">
                  <c:v>40130</c:v>
                </c:pt>
                <c:pt idx="255">
                  <c:v>40137</c:v>
                </c:pt>
                <c:pt idx="256">
                  <c:v>40144</c:v>
                </c:pt>
                <c:pt idx="257">
                  <c:v>40151</c:v>
                </c:pt>
                <c:pt idx="258">
                  <c:v>40158</c:v>
                </c:pt>
                <c:pt idx="259">
                  <c:v>40165</c:v>
                </c:pt>
                <c:pt idx="260">
                  <c:v>40172</c:v>
                </c:pt>
                <c:pt idx="261">
                  <c:v>40179</c:v>
                </c:pt>
                <c:pt idx="262">
                  <c:v>40186</c:v>
                </c:pt>
                <c:pt idx="263">
                  <c:v>40193</c:v>
                </c:pt>
                <c:pt idx="264">
                  <c:v>40200</c:v>
                </c:pt>
                <c:pt idx="265">
                  <c:v>40207</c:v>
                </c:pt>
                <c:pt idx="266">
                  <c:v>40214</c:v>
                </c:pt>
                <c:pt idx="267">
                  <c:v>40221</c:v>
                </c:pt>
                <c:pt idx="268">
                  <c:v>40228</c:v>
                </c:pt>
                <c:pt idx="269">
                  <c:v>40235</c:v>
                </c:pt>
                <c:pt idx="270">
                  <c:v>40242</c:v>
                </c:pt>
                <c:pt idx="271">
                  <c:v>40249</c:v>
                </c:pt>
                <c:pt idx="272">
                  <c:v>40256</c:v>
                </c:pt>
                <c:pt idx="273">
                  <c:v>40263</c:v>
                </c:pt>
                <c:pt idx="274">
                  <c:v>40270</c:v>
                </c:pt>
                <c:pt idx="275">
                  <c:v>40277</c:v>
                </c:pt>
                <c:pt idx="276">
                  <c:v>40284</c:v>
                </c:pt>
                <c:pt idx="277">
                  <c:v>40291</c:v>
                </c:pt>
                <c:pt idx="278">
                  <c:v>40298</c:v>
                </c:pt>
                <c:pt idx="279">
                  <c:v>40305</c:v>
                </c:pt>
                <c:pt idx="280">
                  <c:v>40312</c:v>
                </c:pt>
                <c:pt idx="281">
                  <c:v>40319</c:v>
                </c:pt>
                <c:pt idx="282">
                  <c:v>40326</c:v>
                </c:pt>
                <c:pt idx="283">
                  <c:v>40333</c:v>
                </c:pt>
                <c:pt idx="284">
                  <c:v>40340</c:v>
                </c:pt>
                <c:pt idx="285">
                  <c:v>40347</c:v>
                </c:pt>
                <c:pt idx="286">
                  <c:v>40354</c:v>
                </c:pt>
                <c:pt idx="287">
                  <c:v>40361</c:v>
                </c:pt>
                <c:pt idx="288">
                  <c:v>40368</c:v>
                </c:pt>
                <c:pt idx="289">
                  <c:v>40375</c:v>
                </c:pt>
                <c:pt idx="290">
                  <c:v>40382</c:v>
                </c:pt>
                <c:pt idx="291">
                  <c:v>40389</c:v>
                </c:pt>
                <c:pt idx="292">
                  <c:v>40396</c:v>
                </c:pt>
                <c:pt idx="293">
                  <c:v>40403</c:v>
                </c:pt>
                <c:pt idx="294">
                  <c:v>40410</c:v>
                </c:pt>
                <c:pt idx="295">
                  <c:v>40417</c:v>
                </c:pt>
                <c:pt idx="296">
                  <c:v>40424</c:v>
                </c:pt>
                <c:pt idx="297">
                  <c:v>40431</c:v>
                </c:pt>
                <c:pt idx="298">
                  <c:v>40438</c:v>
                </c:pt>
                <c:pt idx="299">
                  <c:v>40445</c:v>
                </c:pt>
                <c:pt idx="300">
                  <c:v>40452</c:v>
                </c:pt>
                <c:pt idx="301">
                  <c:v>40459</c:v>
                </c:pt>
                <c:pt idx="302">
                  <c:v>40466</c:v>
                </c:pt>
                <c:pt idx="303">
                  <c:v>40473</c:v>
                </c:pt>
                <c:pt idx="304">
                  <c:v>40480</c:v>
                </c:pt>
                <c:pt idx="305">
                  <c:v>40487</c:v>
                </c:pt>
                <c:pt idx="306">
                  <c:v>40494</c:v>
                </c:pt>
                <c:pt idx="307">
                  <c:v>40501</c:v>
                </c:pt>
                <c:pt idx="308">
                  <c:v>40508</c:v>
                </c:pt>
                <c:pt idx="309">
                  <c:v>40515</c:v>
                </c:pt>
                <c:pt idx="310">
                  <c:v>40522</c:v>
                </c:pt>
                <c:pt idx="311">
                  <c:v>40529</c:v>
                </c:pt>
                <c:pt idx="312">
                  <c:v>40536</c:v>
                </c:pt>
                <c:pt idx="313">
                  <c:v>40543</c:v>
                </c:pt>
                <c:pt idx="314">
                  <c:v>40550</c:v>
                </c:pt>
                <c:pt idx="315">
                  <c:v>40557</c:v>
                </c:pt>
                <c:pt idx="316">
                  <c:v>40564</c:v>
                </c:pt>
                <c:pt idx="317">
                  <c:v>40571</c:v>
                </c:pt>
                <c:pt idx="318">
                  <c:v>40578</c:v>
                </c:pt>
                <c:pt idx="319">
                  <c:v>40585</c:v>
                </c:pt>
                <c:pt idx="320">
                  <c:v>40592</c:v>
                </c:pt>
                <c:pt idx="321">
                  <c:v>40599</c:v>
                </c:pt>
                <c:pt idx="322">
                  <c:v>40606</c:v>
                </c:pt>
                <c:pt idx="323">
                  <c:v>40613</c:v>
                </c:pt>
                <c:pt idx="324">
                  <c:v>40620</c:v>
                </c:pt>
                <c:pt idx="325">
                  <c:v>40627</c:v>
                </c:pt>
                <c:pt idx="326">
                  <c:v>40634</c:v>
                </c:pt>
                <c:pt idx="327">
                  <c:v>40641</c:v>
                </c:pt>
                <c:pt idx="328">
                  <c:v>40648</c:v>
                </c:pt>
                <c:pt idx="329">
                  <c:v>40655</c:v>
                </c:pt>
                <c:pt idx="330">
                  <c:v>40662</c:v>
                </c:pt>
                <c:pt idx="331">
                  <c:v>40669</c:v>
                </c:pt>
                <c:pt idx="332">
                  <c:v>40676</c:v>
                </c:pt>
                <c:pt idx="333">
                  <c:v>40683</c:v>
                </c:pt>
                <c:pt idx="334">
                  <c:v>40690</c:v>
                </c:pt>
                <c:pt idx="335">
                  <c:v>40697</c:v>
                </c:pt>
                <c:pt idx="336">
                  <c:v>40704</c:v>
                </c:pt>
                <c:pt idx="337">
                  <c:v>40711</c:v>
                </c:pt>
                <c:pt idx="338">
                  <c:v>40718</c:v>
                </c:pt>
                <c:pt idx="339">
                  <c:v>40725</c:v>
                </c:pt>
                <c:pt idx="340">
                  <c:v>40732</c:v>
                </c:pt>
                <c:pt idx="341">
                  <c:v>40739</c:v>
                </c:pt>
                <c:pt idx="342">
                  <c:v>40746</c:v>
                </c:pt>
                <c:pt idx="343">
                  <c:v>40753</c:v>
                </c:pt>
                <c:pt idx="344">
                  <c:v>40760</c:v>
                </c:pt>
                <c:pt idx="345">
                  <c:v>40767</c:v>
                </c:pt>
                <c:pt idx="346">
                  <c:v>40774</c:v>
                </c:pt>
                <c:pt idx="347">
                  <c:v>40781</c:v>
                </c:pt>
                <c:pt idx="348">
                  <c:v>40788</c:v>
                </c:pt>
                <c:pt idx="349">
                  <c:v>40795</c:v>
                </c:pt>
                <c:pt idx="350">
                  <c:v>40802</c:v>
                </c:pt>
                <c:pt idx="351">
                  <c:v>40809</c:v>
                </c:pt>
                <c:pt idx="352">
                  <c:v>40816</c:v>
                </c:pt>
                <c:pt idx="353">
                  <c:v>40823</c:v>
                </c:pt>
                <c:pt idx="354">
                  <c:v>40830</c:v>
                </c:pt>
                <c:pt idx="355">
                  <c:v>40837</c:v>
                </c:pt>
                <c:pt idx="356">
                  <c:v>40844</c:v>
                </c:pt>
                <c:pt idx="357">
                  <c:v>40851</c:v>
                </c:pt>
                <c:pt idx="358">
                  <c:v>40858</c:v>
                </c:pt>
                <c:pt idx="359">
                  <c:v>40865</c:v>
                </c:pt>
                <c:pt idx="360">
                  <c:v>40872</c:v>
                </c:pt>
                <c:pt idx="361">
                  <c:v>40879</c:v>
                </c:pt>
                <c:pt idx="362">
                  <c:v>40886</c:v>
                </c:pt>
                <c:pt idx="363">
                  <c:v>40893</c:v>
                </c:pt>
                <c:pt idx="364">
                  <c:v>40900</c:v>
                </c:pt>
                <c:pt idx="365">
                  <c:v>40907</c:v>
                </c:pt>
                <c:pt idx="366">
                  <c:v>40914</c:v>
                </c:pt>
                <c:pt idx="367">
                  <c:v>40921</c:v>
                </c:pt>
                <c:pt idx="368">
                  <c:v>40928</c:v>
                </c:pt>
                <c:pt idx="369">
                  <c:v>40935</c:v>
                </c:pt>
                <c:pt idx="370">
                  <c:v>40942</c:v>
                </c:pt>
                <c:pt idx="371">
                  <c:v>40949</c:v>
                </c:pt>
                <c:pt idx="372">
                  <c:v>40956</c:v>
                </c:pt>
                <c:pt idx="373">
                  <c:v>40963</c:v>
                </c:pt>
                <c:pt idx="374">
                  <c:v>40970</c:v>
                </c:pt>
                <c:pt idx="375">
                  <c:v>40977</c:v>
                </c:pt>
                <c:pt idx="376">
                  <c:v>40984</c:v>
                </c:pt>
                <c:pt idx="377">
                  <c:v>40991</c:v>
                </c:pt>
                <c:pt idx="378">
                  <c:v>40998</c:v>
                </c:pt>
                <c:pt idx="379">
                  <c:v>41005</c:v>
                </c:pt>
                <c:pt idx="380">
                  <c:v>41012</c:v>
                </c:pt>
                <c:pt idx="381">
                  <c:v>41019</c:v>
                </c:pt>
                <c:pt idx="382">
                  <c:v>41026</c:v>
                </c:pt>
                <c:pt idx="383">
                  <c:v>41033</c:v>
                </c:pt>
                <c:pt idx="384">
                  <c:v>41040</c:v>
                </c:pt>
                <c:pt idx="385">
                  <c:v>41047</c:v>
                </c:pt>
                <c:pt idx="386">
                  <c:v>41054</c:v>
                </c:pt>
                <c:pt idx="387">
                  <c:v>41061</c:v>
                </c:pt>
                <c:pt idx="388">
                  <c:v>41068</c:v>
                </c:pt>
                <c:pt idx="389">
                  <c:v>41075</c:v>
                </c:pt>
                <c:pt idx="390">
                  <c:v>41082</c:v>
                </c:pt>
                <c:pt idx="391">
                  <c:v>41089</c:v>
                </c:pt>
                <c:pt idx="392">
                  <c:v>41096</c:v>
                </c:pt>
                <c:pt idx="393">
                  <c:v>41103</c:v>
                </c:pt>
                <c:pt idx="394">
                  <c:v>41110</c:v>
                </c:pt>
                <c:pt idx="395">
                  <c:v>41117</c:v>
                </c:pt>
                <c:pt idx="396">
                  <c:v>41124</c:v>
                </c:pt>
                <c:pt idx="397">
                  <c:v>41131</c:v>
                </c:pt>
                <c:pt idx="398">
                  <c:v>41138</c:v>
                </c:pt>
                <c:pt idx="399">
                  <c:v>41145</c:v>
                </c:pt>
                <c:pt idx="400">
                  <c:v>41152</c:v>
                </c:pt>
                <c:pt idx="401">
                  <c:v>41159</c:v>
                </c:pt>
                <c:pt idx="402">
                  <c:v>41166</c:v>
                </c:pt>
                <c:pt idx="403">
                  <c:v>41173</c:v>
                </c:pt>
                <c:pt idx="404">
                  <c:v>41180</c:v>
                </c:pt>
                <c:pt idx="405">
                  <c:v>41187</c:v>
                </c:pt>
                <c:pt idx="406">
                  <c:v>41194</c:v>
                </c:pt>
                <c:pt idx="407">
                  <c:v>41201</c:v>
                </c:pt>
                <c:pt idx="408">
                  <c:v>41208</c:v>
                </c:pt>
                <c:pt idx="409">
                  <c:v>41215</c:v>
                </c:pt>
                <c:pt idx="410">
                  <c:v>41222</c:v>
                </c:pt>
                <c:pt idx="411">
                  <c:v>41229</c:v>
                </c:pt>
                <c:pt idx="412">
                  <c:v>41236</c:v>
                </c:pt>
                <c:pt idx="413">
                  <c:v>41243</c:v>
                </c:pt>
                <c:pt idx="414">
                  <c:v>41250</c:v>
                </c:pt>
                <c:pt idx="415">
                  <c:v>41257</c:v>
                </c:pt>
                <c:pt idx="416">
                  <c:v>41264</c:v>
                </c:pt>
                <c:pt idx="417">
                  <c:v>41271</c:v>
                </c:pt>
                <c:pt idx="418">
                  <c:v>41278</c:v>
                </c:pt>
                <c:pt idx="419">
                  <c:v>41285</c:v>
                </c:pt>
                <c:pt idx="420">
                  <c:v>41292</c:v>
                </c:pt>
                <c:pt idx="421">
                  <c:v>41299</c:v>
                </c:pt>
                <c:pt idx="422">
                  <c:v>41306</c:v>
                </c:pt>
                <c:pt idx="423">
                  <c:v>41313</c:v>
                </c:pt>
                <c:pt idx="424">
                  <c:v>41320</c:v>
                </c:pt>
                <c:pt idx="425">
                  <c:v>41327</c:v>
                </c:pt>
                <c:pt idx="426">
                  <c:v>41334</c:v>
                </c:pt>
                <c:pt idx="427">
                  <c:v>41341</c:v>
                </c:pt>
                <c:pt idx="428">
                  <c:v>41348</c:v>
                </c:pt>
                <c:pt idx="429">
                  <c:v>41355</c:v>
                </c:pt>
                <c:pt idx="430">
                  <c:v>41362</c:v>
                </c:pt>
                <c:pt idx="431">
                  <c:v>41369</c:v>
                </c:pt>
                <c:pt idx="432">
                  <c:v>41376</c:v>
                </c:pt>
                <c:pt idx="433">
                  <c:v>41383</c:v>
                </c:pt>
                <c:pt idx="434">
                  <c:v>41390</c:v>
                </c:pt>
                <c:pt idx="435">
                  <c:v>41397</c:v>
                </c:pt>
                <c:pt idx="436">
                  <c:v>41404</c:v>
                </c:pt>
                <c:pt idx="437">
                  <c:v>41411</c:v>
                </c:pt>
                <c:pt idx="438">
                  <c:v>41418</c:v>
                </c:pt>
                <c:pt idx="439">
                  <c:v>41425</c:v>
                </c:pt>
                <c:pt idx="440">
                  <c:v>41432</c:v>
                </c:pt>
                <c:pt idx="441">
                  <c:v>41439</c:v>
                </c:pt>
                <c:pt idx="442">
                  <c:v>41446</c:v>
                </c:pt>
                <c:pt idx="443">
                  <c:v>41453</c:v>
                </c:pt>
                <c:pt idx="444">
                  <c:v>41460</c:v>
                </c:pt>
                <c:pt idx="445">
                  <c:v>41467</c:v>
                </c:pt>
                <c:pt idx="446">
                  <c:v>41474</c:v>
                </c:pt>
                <c:pt idx="447">
                  <c:v>41481</c:v>
                </c:pt>
                <c:pt idx="448">
                  <c:v>41488</c:v>
                </c:pt>
                <c:pt idx="449">
                  <c:v>41495</c:v>
                </c:pt>
                <c:pt idx="450">
                  <c:v>41502</c:v>
                </c:pt>
                <c:pt idx="451">
                  <c:v>41509</c:v>
                </c:pt>
                <c:pt idx="452">
                  <c:v>41516</c:v>
                </c:pt>
                <c:pt idx="453">
                  <c:v>41523</c:v>
                </c:pt>
                <c:pt idx="454">
                  <c:v>41530</c:v>
                </c:pt>
                <c:pt idx="455">
                  <c:v>41537</c:v>
                </c:pt>
                <c:pt idx="456">
                  <c:v>41544</c:v>
                </c:pt>
                <c:pt idx="457">
                  <c:v>41551</c:v>
                </c:pt>
                <c:pt idx="458">
                  <c:v>41558</c:v>
                </c:pt>
                <c:pt idx="459">
                  <c:v>41565</c:v>
                </c:pt>
                <c:pt idx="460">
                  <c:v>41572</c:v>
                </c:pt>
                <c:pt idx="461">
                  <c:v>41579</c:v>
                </c:pt>
                <c:pt idx="462">
                  <c:v>41586</c:v>
                </c:pt>
                <c:pt idx="463">
                  <c:v>41593</c:v>
                </c:pt>
                <c:pt idx="464">
                  <c:v>41600</c:v>
                </c:pt>
                <c:pt idx="465">
                  <c:v>41607</c:v>
                </c:pt>
                <c:pt idx="466">
                  <c:v>41614</c:v>
                </c:pt>
                <c:pt idx="467">
                  <c:v>41621</c:v>
                </c:pt>
                <c:pt idx="468">
                  <c:v>41628</c:v>
                </c:pt>
                <c:pt idx="469">
                  <c:v>41635</c:v>
                </c:pt>
                <c:pt idx="470">
                  <c:v>41642</c:v>
                </c:pt>
                <c:pt idx="471">
                  <c:v>41649</c:v>
                </c:pt>
                <c:pt idx="472">
                  <c:v>41656</c:v>
                </c:pt>
                <c:pt idx="473">
                  <c:v>41663</c:v>
                </c:pt>
                <c:pt idx="474">
                  <c:v>41670</c:v>
                </c:pt>
                <c:pt idx="475">
                  <c:v>41677</c:v>
                </c:pt>
                <c:pt idx="476">
                  <c:v>41684</c:v>
                </c:pt>
                <c:pt idx="477">
                  <c:v>41691</c:v>
                </c:pt>
                <c:pt idx="478">
                  <c:v>41698</c:v>
                </c:pt>
                <c:pt idx="479">
                  <c:v>41705</c:v>
                </c:pt>
                <c:pt idx="480">
                  <c:v>41712</c:v>
                </c:pt>
                <c:pt idx="481">
                  <c:v>41719</c:v>
                </c:pt>
                <c:pt idx="482">
                  <c:v>41726</c:v>
                </c:pt>
                <c:pt idx="483">
                  <c:v>41733</c:v>
                </c:pt>
                <c:pt idx="484">
                  <c:v>41740</c:v>
                </c:pt>
                <c:pt idx="485">
                  <c:v>41747</c:v>
                </c:pt>
                <c:pt idx="486">
                  <c:v>41754</c:v>
                </c:pt>
                <c:pt idx="487">
                  <c:v>41761</c:v>
                </c:pt>
                <c:pt idx="488">
                  <c:v>41768</c:v>
                </c:pt>
                <c:pt idx="489">
                  <c:v>41775</c:v>
                </c:pt>
                <c:pt idx="490">
                  <c:v>41782</c:v>
                </c:pt>
                <c:pt idx="491">
                  <c:v>41789</c:v>
                </c:pt>
                <c:pt idx="492">
                  <c:v>41796</c:v>
                </c:pt>
                <c:pt idx="493">
                  <c:v>41803</c:v>
                </c:pt>
                <c:pt idx="494">
                  <c:v>41810</c:v>
                </c:pt>
                <c:pt idx="495">
                  <c:v>41817</c:v>
                </c:pt>
                <c:pt idx="496">
                  <c:v>41824</c:v>
                </c:pt>
                <c:pt idx="497">
                  <c:v>41831</c:v>
                </c:pt>
                <c:pt idx="498">
                  <c:v>41838</c:v>
                </c:pt>
                <c:pt idx="499">
                  <c:v>41845</c:v>
                </c:pt>
                <c:pt idx="500">
                  <c:v>41852</c:v>
                </c:pt>
                <c:pt idx="501">
                  <c:v>41859</c:v>
                </c:pt>
                <c:pt idx="502">
                  <c:v>41866</c:v>
                </c:pt>
                <c:pt idx="503">
                  <c:v>41873</c:v>
                </c:pt>
                <c:pt idx="504">
                  <c:v>41880</c:v>
                </c:pt>
                <c:pt idx="505">
                  <c:v>41887</c:v>
                </c:pt>
                <c:pt idx="506">
                  <c:v>41894</c:v>
                </c:pt>
                <c:pt idx="507">
                  <c:v>41901</c:v>
                </c:pt>
                <c:pt idx="508">
                  <c:v>41908</c:v>
                </c:pt>
                <c:pt idx="509">
                  <c:v>41915</c:v>
                </c:pt>
                <c:pt idx="510">
                  <c:v>41922</c:v>
                </c:pt>
                <c:pt idx="511">
                  <c:v>41929</c:v>
                </c:pt>
                <c:pt idx="512">
                  <c:v>41936</c:v>
                </c:pt>
                <c:pt idx="513">
                  <c:v>41943</c:v>
                </c:pt>
                <c:pt idx="514">
                  <c:v>41950</c:v>
                </c:pt>
                <c:pt idx="515">
                  <c:v>41957</c:v>
                </c:pt>
                <c:pt idx="516">
                  <c:v>41964</c:v>
                </c:pt>
                <c:pt idx="517">
                  <c:v>41971</c:v>
                </c:pt>
                <c:pt idx="518">
                  <c:v>41978</c:v>
                </c:pt>
                <c:pt idx="519">
                  <c:v>41985</c:v>
                </c:pt>
                <c:pt idx="520">
                  <c:v>41992</c:v>
                </c:pt>
                <c:pt idx="521">
                  <c:v>41999</c:v>
                </c:pt>
                <c:pt idx="522">
                  <c:v>42006</c:v>
                </c:pt>
                <c:pt idx="523">
                  <c:v>42013</c:v>
                </c:pt>
                <c:pt idx="524">
                  <c:v>42020</c:v>
                </c:pt>
                <c:pt idx="525">
                  <c:v>42027</c:v>
                </c:pt>
                <c:pt idx="526">
                  <c:v>42034</c:v>
                </c:pt>
                <c:pt idx="527">
                  <c:v>42041</c:v>
                </c:pt>
                <c:pt idx="528">
                  <c:v>42048</c:v>
                </c:pt>
                <c:pt idx="529">
                  <c:v>42055</c:v>
                </c:pt>
                <c:pt idx="530">
                  <c:v>42062</c:v>
                </c:pt>
                <c:pt idx="531">
                  <c:v>42069</c:v>
                </c:pt>
                <c:pt idx="532">
                  <c:v>42076</c:v>
                </c:pt>
                <c:pt idx="533">
                  <c:v>42083</c:v>
                </c:pt>
                <c:pt idx="534">
                  <c:v>42090</c:v>
                </c:pt>
                <c:pt idx="535">
                  <c:v>42097</c:v>
                </c:pt>
                <c:pt idx="536">
                  <c:v>42104</c:v>
                </c:pt>
                <c:pt idx="537">
                  <c:v>42111</c:v>
                </c:pt>
                <c:pt idx="538">
                  <c:v>42118</c:v>
                </c:pt>
                <c:pt idx="539">
                  <c:v>42125</c:v>
                </c:pt>
                <c:pt idx="540">
                  <c:v>42132</c:v>
                </c:pt>
                <c:pt idx="541">
                  <c:v>42139</c:v>
                </c:pt>
                <c:pt idx="542">
                  <c:v>42146</c:v>
                </c:pt>
                <c:pt idx="543">
                  <c:v>42153</c:v>
                </c:pt>
                <c:pt idx="544">
                  <c:v>42160</c:v>
                </c:pt>
                <c:pt idx="545">
                  <c:v>42167</c:v>
                </c:pt>
                <c:pt idx="546">
                  <c:v>42174</c:v>
                </c:pt>
                <c:pt idx="547">
                  <c:v>42181</c:v>
                </c:pt>
                <c:pt idx="548">
                  <c:v>42188</c:v>
                </c:pt>
                <c:pt idx="549">
                  <c:v>42195</c:v>
                </c:pt>
                <c:pt idx="550">
                  <c:v>42202</c:v>
                </c:pt>
                <c:pt idx="551">
                  <c:v>42209</c:v>
                </c:pt>
                <c:pt idx="552">
                  <c:v>42216</c:v>
                </c:pt>
                <c:pt idx="553">
                  <c:v>42223</c:v>
                </c:pt>
                <c:pt idx="554">
                  <c:v>42230</c:v>
                </c:pt>
                <c:pt idx="555">
                  <c:v>42237</c:v>
                </c:pt>
                <c:pt idx="556">
                  <c:v>42244</c:v>
                </c:pt>
                <c:pt idx="557">
                  <c:v>42251</c:v>
                </c:pt>
                <c:pt idx="778" formatCode="General">
                  <c:v>0</c:v>
                </c:pt>
              </c:numCache>
            </c:numRef>
          </c:cat>
          <c:val>
            <c:numRef>
              <c:f>Лист4!$F$5:$F$783</c:f>
              <c:numCache>
                <c:formatCode>General</c:formatCode>
                <c:ptCount val="779"/>
                <c:pt idx="0">
                  <c:v>15.6013</c:v>
                </c:pt>
                <c:pt idx="1">
                  <c:v>14.6233</c:v>
                </c:pt>
                <c:pt idx="2">
                  <c:v>15.368600000000001</c:v>
                </c:pt>
                <c:pt idx="3">
                  <c:v>15.8718</c:v>
                </c:pt>
                <c:pt idx="4">
                  <c:v>16.323899999999998</c:v>
                </c:pt>
                <c:pt idx="5">
                  <c:v>16.917999999999999</c:v>
                </c:pt>
                <c:pt idx="6">
                  <c:v>17.3947</c:v>
                </c:pt>
                <c:pt idx="7">
                  <c:v>18.194900000000001</c:v>
                </c:pt>
                <c:pt idx="8">
                  <c:v>19.3645</c:v>
                </c:pt>
                <c:pt idx="9">
                  <c:v>20.939799999999998</c:v>
                </c:pt>
                <c:pt idx="10">
                  <c:v>21.2179</c:v>
                </c:pt>
                <c:pt idx="11">
                  <c:v>21.051400000000001</c:v>
                </c:pt>
                <c:pt idx="12">
                  <c:v>20.343399999999999</c:v>
                </c:pt>
                <c:pt idx="13">
                  <c:v>20.2928</c:v>
                </c:pt>
                <c:pt idx="14">
                  <c:v>20.8566</c:v>
                </c:pt>
                <c:pt idx="15">
                  <c:v>19.159700000000001</c:v>
                </c:pt>
                <c:pt idx="16">
                  <c:v>19.030999999999999</c:v>
                </c:pt>
                <c:pt idx="17">
                  <c:v>18.8627</c:v>
                </c:pt>
                <c:pt idx="18">
                  <c:v>18.660299999999999</c:v>
                </c:pt>
                <c:pt idx="19">
                  <c:v>18.7303</c:v>
                </c:pt>
                <c:pt idx="20">
                  <c:v>17.949000000000002</c:v>
                </c:pt>
                <c:pt idx="21">
                  <c:v>18.8721</c:v>
                </c:pt>
                <c:pt idx="22">
                  <c:v>19.697900000000001</c:v>
                </c:pt>
                <c:pt idx="23">
                  <c:v>20.156600000000001</c:v>
                </c:pt>
                <c:pt idx="24">
                  <c:v>21.4147</c:v>
                </c:pt>
                <c:pt idx="25">
                  <c:v>21.965199999999999</c:v>
                </c:pt>
                <c:pt idx="26">
                  <c:v>21.916</c:v>
                </c:pt>
                <c:pt idx="27">
                  <c:v>23.982700000000001</c:v>
                </c:pt>
                <c:pt idx="28">
                  <c:v>23.7302</c:v>
                </c:pt>
                <c:pt idx="29">
                  <c:v>23.4861</c:v>
                </c:pt>
                <c:pt idx="30">
                  <c:v>24.4358</c:v>
                </c:pt>
                <c:pt idx="31">
                  <c:v>26.064599999999999</c:v>
                </c:pt>
                <c:pt idx="32">
                  <c:v>27.269600000000001</c:v>
                </c:pt>
                <c:pt idx="33">
                  <c:v>25.8035</c:v>
                </c:pt>
                <c:pt idx="34">
                  <c:v>26.395600000000002</c:v>
                </c:pt>
                <c:pt idx="35">
                  <c:v>29.3979</c:v>
                </c:pt>
                <c:pt idx="36">
                  <c:v>31.1312</c:v>
                </c:pt>
                <c:pt idx="37">
                  <c:v>31.433399999999999</c:v>
                </c:pt>
                <c:pt idx="38">
                  <c:v>33.711100000000002</c:v>
                </c:pt>
                <c:pt idx="39">
                  <c:v>35.498800000000003</c:v>
                </c:pt>
                <c:pt idx="40">
                  <c:v>33.788600000000002</c:v>
                </c:pt>
                <c:pt idx="41">
                  <c:v>31.166599999999999</c:v>
                </c:pt>
                <c:pt idx="42">
                  <c:v>29.4603</c:v>
                </c:pt>
                <c:pt idx="43">
                  <c:v>29.855699999999999</c:v>
                </c:pt>
                <c:pt idx="44">
                  <c:v>28.905999999999999</c:v>
                </c:pt>
                <c:pt idx="45">
                  <c:v>26.3294</c:v>
                </c:pt>
                <c:pt idx="46">
                  <c:v>27.131499999999999</c:v>
                </c:pt>
                <c:pt idx="47">
                  <c:v>27.936499999999999</c:v>
                </c:pt>
                <c:pt idx="48">
                  <c:v>27.504200000000001</c:v>
                </c:pt>
                <c:pt idx="49">
                  <c:v>29.486799999999999</c:v>
                </c:pt>
                <c:pt idx="50">
                  <c:v>31.174199999999999</c:v>
                </c:pt>
                <c:pt idx="51">
                  <c:v>30.6615</c:v>
                </c:pt>
                <c:pt idx="52">
                  <c:v>29.5989</c:v>
                </c:pt>
                <c:pt idx="53">
                  <c:v>30.833200000000001</c:v>
                </c:pt>
                <c:pt idx="54">
                  <c:v>30.587800000000001</c:v>
                </c:pt>
                <c:pt idx="55">
                  <c:v>31.436199999999999</c:v>
                </c:pt>
                <c:pt idx="56">
                  <c:v>30.822299999999998</c:v>
                </c:pt>
                <c:pt idx="57">
                  <c:v>32.277099999999997</c:v>
                </c:pt>
                <c:pt idx="58">
                  <c:v>29.725100000000001</c:v>
                </c:pt>
                <c:pt idx="59">
                  <c:v>27.574200000000001</c:v>
                </c:pt>
                <c:pt idx="60">
                  <c:v>28.253299999999999</c:v>
                </c:pt>
                <c:pt idx="61">
                  <c:v>28.802</c:v>
                </c:pt>
                <c:pt idx="62">
                  <c:v>28.359300000000001</c:v>
                </c:pt>
                <c:pt idx="63">
                  <c:v>29.481100000000001</c:v>
                </c:pt>
                <c:pt idx="64">
                  <c:v>28.7698</c:v>
                </c:pt>
                <c:pt idx="65">
                  <c:v>29.976700000000001</c:v>
                </c:pt>
                <c:pt idx="66">
                  <c:v>29.982399999999998</c:v>
                </c:pt>
                <c:pt idx="67">
                  <c:v>29.837700000000002</c:v>
                </c:pt>
                <c:pt idx="68">
                  <c:v>31.096699999999998</c:v>
                </c:pt>
                <c:pt idx="69">
                  <c:v>30.192399999999999</c:v>
                </c:pt>
                <c:pt idx="70">
                  <c:v>31.130700000000001</c:v>
                </c:pt>
                <c:pt idx="71">
                  <c:v>30.869599999999998</c:v>
                </c:pt>
                <c:pt idx="72">
                  <c:v>28.457699999999999</c:v>
                </c:pt>
                <c:pt idx="73">
                  <c:v>27.950700000000001</c:v>
                </c:pt>
                <c:pt idx="74">
                  <c:v>28.778300000000002</c:v>
                </c:pt>
                <c:pt idx="75">
                  <c:v>27.8996</c:v>
                </c:pt>
                <c:pt idx="76">
                  <c:v>27.086099999999998</c:v>
                </c:pt>
                <c:pt idx="77">
                  <c:v>27.6404</c:v>
                </c:pt>
                <c:pt idx="78">
                  <c:v>28.247699999999998</c:v>
                </c:pt>
                <c:pt idx="79">
                  <c:v>28.411799999999999</c:v>
                </c:pt>
                <c:pt idx="80">
                  <c:v>27.840900000000001</c:v>
                </c:pt>
                <c:pt idx="81">
                  <c:v>27.385000000000002</c:v>
                </c:pt>
                <c:pt idx="82">
                  <c:v>29.165199999999999</c:v>
                </c:pt>
                <c:pt idx="83">
                  <c:v>31.047499999999999</c:v>
                </c:pt>
                <c:pt idx="84">
                  <c:v>30.491299999999999</c:v>
                </c:pt>
                <c:pt idx="85">
                  <c:v>29.583200000000001</c:v>
                </c:pt>
                <c:pt idx="86">
                  <c:v>30.111000000000001</c:v>
                </c:pt>
                <c:pt idx="87">
                  <c:v>29.997499999999999</c:v>
                </c:pt>
                <c:pt idx="88">
                  <c:v>29.563400000000001</c:v>
                </c:pt>
                <c:pt idx="89">
                  <c:v>27.577999999999999</c:v>
                </c:pt>
                <c:pt idx="90">
                  <c:v>27.479600000000001</c:v>
                </c:pt>
                <c:pt idx="91">
                  <c:v>27.3642</c:v>
                </c:pt>
                <c:pt idx="92">
                  <c:v>27.2318</c:v>
                </c:pt>
                <c:pt idx="93">
                  <c:v>27.7331</c:v>
                </c:pt>
                <c:pt idx="94">
                  <c:v>28.955200000000001</c:v>
                </c:pt>
                <c:pt idx="95">
                  <c:v>29.825399999999998</c:v>
                </c:pt>
                <c:pt idx="96">
                  <c:v>30.3078</c:v>
                </c:pt>
                <c:pt idx="97">
                  <c:v>30.5518</c:v>
                </c:pt>
                <c:pt idx="98">
                  <c:v>30.602899999999998</c:v>
                </c:pt>
                <c:pt idx="99">
                  <c:v>30.854500000000002</c:v>
                </c:pt>
                <c:pt idx="100">
                  <c:v>31.6907</c:v>
                </c:pt>
                <c:pt idx="101">
                  <c:v>31.567699999999999</c:v>
                </c:pt>
                <c:pt idx="102">
                  <c:v>29.6797</c:v>
                </c:pt>
                <c:pt idx="103">
                  <c:v>28.745200000000001</c:v>
                </c:pt>
                <c:pt idx="104">
                  <c:v>27.718900000000001</c:v>
                </c:pt>
                <c:pt idx="105">
                  <c:v>26.326899999999998</c:v>
                </c:pt>
                <c:pt idx="106">
                  <c:v>26.261299999999999</c:v>
                </c:pt>
                <c:pt idx="107">
                  <c:v>26.7896</c:v>
                </c:pt>
                <c:pt idx="108">
                  <c:v>27.7728</c:v>
                </c:pt>
                <c:pt idx="109">
                  <c:v>27.770900000000001</c:v>
                </c:pt>
                <c:pt idx="110">
                  <c:v>27.821999999999999</c:v>
                </c:pt>
                <c:pt idx="111">
                  <c:v>27.865500000000001</c:v>
                </c:pt>
                <c:pt idx="112">
                  <c:v>28.0642</c:v>
                </c:pt>
                <c:pt idx="113">
                  <c:v>28.826499999999999</c:v>
                </c:pt>
                <c:pt idx="114">
                  <c:v>28.504899999999999</c:v>
                </c:pt>
                <c:pt idx="115">
                  <c:v>28.075500000000002</c:v>
                </c:pt>
                <c:pt idx="116">
                  <c:v>28.902200000000001</c:v>
                </c:pt>
                <c:pt idx="117">
                  <c:v>29.339200000000002</c:v>
                </c:pt>
                <c:pt idx="118">
                  <c:v>30.334299999999999</c:v>
                </c:pt>
                <c:pt idx="119">
                  <c:v>31.4693</c:v>
                </c:pt>
                <c:pt idx="120">
                  <c:v>31.231000000000002</c:v>
                </c:pt>
                <c:pt idx="121">
                  <c:v>31.584700000000002</c:v>
                </c:pt>
                <c:pt idx="122">
                  <c:v>33.1965</c:v>
                </c:pt>
                <c:pt idx="123">
                  <c:v>32.821899999999999</c:v>
                </c:pt>
                <c:pt idx="124">
                  <c:v>32.751899999999999</c:v>
                </c:pt>
                <c:pt idx="125">
                  <c:v>33.228700000000003</c:v>
                </c:pt>
                <c:pt idx="126">
                  <c:v>33.046599999999998</c:v>
                </c:pt>
                <c:pt idx="127">
                  <c:v>33.9163</c:v>
                </c:pt>
                <c:pt idx="128">
                  <c:v>34.308900000000001</c:v>
                </c:pt>
                <c:pt idx="129">
                  <c:v>34.936900000000001</c:v>
                </c:pt>
                <c:pt idx="130">
                  <c:v>33.077300000000001</c:v>
                </c:pt>
                <c:pt idx="131">
                  <c:v>33.3185</c:v>
                </c:pt>
                <c:pt idx="132">
                  <c:v>33.521900000000002</c:v>
                </c:pt>
                <c:pt idx="133">
                  <c:v>34.365600000000001</c:v>
                </c:pt>
                <c:pt idx="134">
                  <c:v>32.574100000000001</c:v>
                </c:pt>
                <c:pt idx="135">
                  <c:v>32.587400000000002</c:v>
                </c:pt>
                <c:pt idx="136">
                  <c:v>33.018700000000003</c:v>
                </c:pt>
                <c:pt idx="137">
                  <c:v>31.5885</c:v>
                </c:pt>
                <c:pt idx="138">
                  <c:v>31.074000000000002</c:v>
                </c:pt>
                <c:pt idx="139">
                  <c:v>30.290800000000001</c:v>
                </c:pt>
                <c:pt idx="140">
                  <c:v>31.845300000000002</c:v>
                </c:pt>
                <c:pt idx="141">
                  <c:v>32.676299999999998</c:v>
                </c:pt>
                <c:pt idx="142">
                  <c:v>33.491599999999998</c:v>
                </c:pt>
                <c:pt idx="143">
                  <c:v>33.266500000000001</c:v>
                </c:pt>
                <c:pt idx="144">
                  <c:v>34.276699999999998</c:v>
                </c:pt>
                <c:pt idx="145">
                  <c:v>35.042900000000003</c:v>
                </c:pt>
                <c:pt idx="146">
                  <c:v>35.778700000000001</c:v>
                </c:pt>
                <c:pt idx="147">
                  <c:v>35.619799999999998</c:v>
                </c:pt>
                <c:pt idx="148">
                  <c:v>37.127600000000001</c:v>
                </c:pt>
                <c:pt idx="149">
                  <c:v>38.154800000000002</c:v>
                </c:pt>
                <c:pt idx="150">
                  <c:v>36.537300000000002</c:v>
                </c:pt>
                <c:pt idx="151">
                  <c:v>35.768299999999996</c:v>
                </c:pt>
                <c:pt idx="152">
                  <c:v>35.754199999999997</c:v>
                </c:pt>
                <c:pt idx="153">
                  <c:v>35.824100000000001</c:v>
                </c:pt>
                <c:pt idx="154">
                  <c:v>36.332999999999998</c:v>
                </c:pt>
                <c:pt idx="155">
                  <c:v>36.228999999999999</c:v>
                </c:pt>
                <c:pt idx="156">
                  <c:v>37.109099999999998</c:v>
                </c:pt>
                <c:pt idx="157">
                  <c:v>37.605699999999999</c:v>
                </c:pt>
                <c:pt idx="158">
                  <c:v>36.997</c:v>
                </c:pt>
                <c:pt idx="159">
                  <c:v>36.421900000000001</c:v>
                </c:pt>
                <c:pt idx="160">
                  <c:v>34.321100000000001</c:v>
                </c:pt>
                <c:pt idx="161">
                  <c:v>35.029600000000002</c:v>
                </c:pt>
                <c:pt idx="162">
                  <c:v>35.523400000000002</c:v>
                </c:pt>
                <c:pt idx="163">
                  <c:v>39.851700000000001</c:v>
                </c:pt>
                <c:pt idx="164">
                  <c:v>41.883400000000002</c:v>
                </c:pt>
                <c:pt idx="165">
                  <c:v>43.377899999999997</c:v>
                </c:pt>
                <c:pt idx="166">
                  <c:v>43.253100000000003</c:v>
                </c:pt>
                <c:pt idx="167">
                  <c:v>44.200800000000001</c:v>
                </c:pt>
                <c:pt idx="168">
                  <c:v>43.110700000000001</c:v>
                </c:pt>
                <c:pt idx="169">
                  <c:v>43.580300000000001</c:v>
                </c:pt>
                <c:pt idx="170">
                  <c:v>43.835700000000003</c:v>
                </c:pt>
                <c:pt idx="171">
                  <c:v>45.509900000000002</c:v>
                </c:pt>
                <c:pt idx="172">
                  <c:v>47.061199999999999</c:v>
                </c:pt>
                <c:pt idx="173">
                  <c:v>50.120100000000001</c:v>
                </c:pt>
                <c:pt idx="174">
                  <c:v>49.270699999999998</c:v>
                </c:pt>
                <c:pt idx="175">
                  <c:v>53.158299999999997</c:v>
                </c:pt>
                <c:pt idx="176">
                  <c:v>54.342500000000001</c:v>
                </c:pt>
                <c:pt idx="177">
                  <c:v>52.692900000000002</c:v>
                </c:pt>
                <c:pt idx="178">
                  <c:v>50.639899999999997</c:v>
                </c:pt>
                <c:pt idx="179">
                  <c:v>52.736400000000003</c:v>
                </c:pt>
                <c:pt idx="180">
                  <c:v>56.026200000000003</c:v>
                </c:pt>
                <c:pt idx="181">
                  <c:v>60.223999999999997</c:v>
                </c:pt>
                <c:pt idx="182">
                  <c:v>61.2928</c:v>
                </c:pt>
                <c:pt idx="183">
                  <c:v>63.728499999999997</c:v>
                </c:pt>
                <c:pt idx="184">
                  <c:v>58.400300000000001</c:v>
                </c:pt>
                <c:pt idx="185">
                  <c:v>54.526000000000003</c:v>
                </c:pt>
                <c:pt idx="186">
                  <c:v>47.530299999999997</c:v>
                </c:pt>
                <c:pt idx="187">
                  <c:v>46.618499999999997</c:v>
                </c:pt>
                <c:pt idx="188">
                  <c:v>42.545499999999997</c:v>
                </c:pt>
                <c:pt idx="189">
                  <c:v>43.054400000000001</c:v>
                </c:pt>
                <c:pt idx="190">
                  <c:v>44.929200000000002</c:v>
                </c:pt>
                <c:pt idx="191">
                  <c:v>46.478499999999997</c:v>
                </c:pt>
                <c:pt idx="192">
                  <c:v>42.422600000000003</c:v>
                </c:pt>
                <c:pt idx="193">
                  <c:v>38.625799999999998</c:v>
                </c:pt>
                <c:pt idx="194">
                  <c:v>36.785200000000003</c:v>
                </c:pt>
                <c:pt idx="195">
                  <c:v>37.802900000000001</c:v>
                </c:pt>
                <c:pt idx="196">
                  <c:v>30.5991</c:v>
                </c:pt>
                <c:pt idx="197">
                  <c:v>19.965599999999998</c:v>
                </c:pt>
                <c:pt idx="198">
                  <c:v>18.338699999999999</c:v>
                </c:pt>
                <c:pt idx="199">
                  <c:v>20.735500000000002</c:v>
                </c:pt>
                <c:pt idx="200">
                  <c:v>19.259900000000002</c:v>
                </c:pt>
                <c:pt idx="201">
                  <c:v>21.628399999999999</c:v>
                </c:pt>
                <c:pt idx="202">
                  <c:v>20.659800000000001</c:v>
                </c:pt>
                <c:pt idx="203">
                  <c:v>17.483599999999999</c:v>
                </c:pt>
                <c:pt idx="204">
                  <c:v>17.479800000000001</c:v>
                </c:pt>
                <c:pt idx="205">
                  <c:v>12.582100000000001</c:v>
                </c:pt>
                <c:pt idx="206">
                  <c:v>15.0565</c:v>
                </c:pt>
                <c:pt idx="207">
                  <c:v>15.077299999999999</c:v>
                </c:pt>
                <c:pt idx="208">
                  <c:v>14.528700000000001</c:v>
                </c:pt>
                <c:pt idx="209">
                  <c:v>15.2972</c:v>
                </c:pt>
                <c:pt idx="210">
                  <c:v>16.988</c:v>
                </c:pt>
                <c:pt idx="211">
                  <c:v>14.8124</c:v>
                </c:pt>
                <c:pt idx="212">
                  <c:v>13.7081</c:v>
                </c:pt>
                <c:pt idx="213">
                  <c:v>15.266500000000001</c:v>
                </c:pt>
                <c:pt idx="214">
                  <c:v>16.142299999999999</c:v>
                </c:pt>
                <c:pt idx="215">
                  <c:v>17.388999999999999</c:v>
                </c:pt>
                <c:pt idx="216">
                  <c:v>15.588100000000001</c:v>
                </c:pt>
                <c:pt idx="217">
                  <c:v>14.6706</c:v>
                </c:pt>
                <c:pt idx="218">
                  <c:v>13.386100000000001</c:v>
                </c:pt>
                <c:pt idx="219">
                  <c:v>14.3414</c:v>
                </c:pt>
                <c:pt idx="220">
                  <c:v>16.2653</c:v>
                </c:pt>
                <c:pt idx="221">
                  <c:v>18.0871</c:v>
                </c:pt>
                <c:pt idx="222">
                  <c:v>17.186599999999999</c:v>
                </c:pt>
                <c:pt idx="223">
                  <c:v>18.5794</c:v>
                </c:pt>
                <c:pt idx="224">
                  <c:v>19.9069</c:v>
                </c:pt>
                <c:pt idx="225">
                  <c:v>18.796500000000002</c:v>
                </c:pt>
                <c:pt idx="226">
                  <c:v>19.053699999999999</c:v>
                </c:pt>
                <c:pt idx="227">
                  <c:v>20.879300000000001</c:v>
                </c:pt>
                <c:pt idx="228">
                  <c:v>19.9939</c:v>
                </c:pt>
                <c:pt idx="229">
                  <c:v>20.067699999999999</c:v>
                </c:pt>
                <c:pt idx="230">
                  <c:v>20.501899999999999</c:v>
                </c:pt>
                <c:pt idx="231">
                  <c:v>22.317</c:v>
                </c:pt>
                <c:pt idx="232">
                  <c:v>22.298100000000002</c:v>
                </c:pt>
                <c:pt idx="233">
                  <c:v>20.8963</c:v>
                </c:pt>
                <c:pt idx="234">
                  <c:v>18.433299999999999</c:v>
                </c:pt>
                <c:pt idx="235">
                  <c:v>18.359500000000001</c:v>
                </c:pt>
                <c:pt idx="236">
                  <c:v>16.779900000000001</c:v>
                </c:pt>
                <c:pt idx="237">
                  <c:v>18.128699999999998</c:v>
                </c:pt>
                <c:pt idx="238">
                  <c:v>19.621300000000002</c:v>
                </c:pt>
                <c:pt idx="239">
                  <c:v>20.027999999999999</c:v>
                </c:pt>
                <c:pt idx="240">
                  <c:v>22.288599999999999</c:v>
                </c:pt>
                <c:pt idx="241">
                  <c:v>22.695399999999999</c:v>
                </c:pt>
                <c:pt idx="242">
                  <c:v>21.677599999999998</c:v>
                </c:pt>
                <c:pt idx="243">
                  <c:v>22.2073</c:v>
                </c:pt>
                <c:pt idx="244">
                  <c:v>21.0458</c:v>
                </c:pt>
                <c:pt idx="245">
                  <c:v>23.2</c:v>
                </c:pt>
                <c:pt idx="246">
                  <c:v>26.510999999999999</c:v>
                </c:pt>
                <c:pt idx="247">
                  <c:v>26.649100000000001</c:v>
                </c:pt>
                <c:pt idx="248">
                  <c:v>26.174299999999999</c:v>
                </c:pt>
                <c:pt idx="249">
                  <c:v>26.440999999999999</c:v>
                </c:pt>
                <c:pt idx="250">
                  <c:v>27.347200000000001</c:v>
                </c:pt>
                <c:pt idx="251">
                  <c:v>26.734300000000001</c:v>
                </c:pt>
                <c:pt idx="252">
                  <c:v>24.097200000000001</c:v>
                </c:pt>
                <c:pt idx="253">
                  <c:v>23.087</c:v>
                </c:pt>
                <c:pt idx="254">
                  <c:v>23.7453</c:v>
                </c:pt>
                <c:pt idx="255">
                  <c:v>22.687799999999999</c:v>
                </c:pt>
                <c:pt idx="256">
                  <c:v>22.672699999999999</c:v>
                </c:pt>
                <c:pt idx="257">
                  <c:v>22.1373</c:v>
                </c:pt>
                <c:pt idx="258">
                  <c:v>21.5641</c:v>
                </c:pt>
                <c:pt idx="259">
                  <c:v>23.624199999999998</c:v>
                </c:pt>
                <c:pt idx="260">
                  <c:v>25.6191</c:v>
                </c:pt>
                <c:pt idx="261">
                  <c:v>25.1982</c:v>
                </c:pt>
                <c:pt idx="262">
                  <c:v>27.116399999999999</c:v>
                </c:pt>
                <c:pt idx="263">
                  <c:v>26.291599999999999</c:v>
                </c:pt>
                <c:pt idx="264">
                  <c:v>25.933599999999998</c:v>
                </c:pt>
                <c:pt idx="265">
                  <c:v>24.5379</c:v>
                </c:pt>
                <c:pt idx="266">
                  <c:v>23.9572</c:v>
                </c:pt>
                <c:pt idx="267">
                  <c:v>23.314</c:v>
                </c:pt>
                <c:pt idx="268">
                  <c:v>25.359000000000002</c:v>
                </c:pt>
                <c:pt idx="269">
                  <c:v>25.2057</c:v>
                </c:pt>
                <c:pt idx="270">
                  <c:v>25.107399999999998</c:v>
                </c:pt>
                <c:pt idx="271">
                  <c:v>24.286300000000001</c:v>
                </c:pt>
                <c:pt idx="272">
                  <c:v>23.436900000000001</c:v>
                </c:pt>
                <c:pt idx="273">
                  <c:v>21.645399999999999</c:v>
                </c:pt>
                <c:pt idx="274">
                  <c:v>22.3416</c:v>
                </c:pt>
                <c:pt idx="275">
                  <c:v>23.052900000000001</c:v>
                </c:pt>
                <c:pt idx="276">
                  <c:v>23.0472</c:v>
                </c:pt>
                <c:pt idx="277">
                  <c:v>22.714300000000001</c:v>
                </c:pt>
                <c:pt idx="278">
                  <c:v>22.559200000000001</c:v>
                </c:pt>
                <c:pt idx="279">
                  <c:v>21.802499999999998</c:v>
                </c:pt>
                <c:pt idx="280">
                  <c:v>21.910299999999999</c:v>
                </c:pt>
                <c:pt idx="281">
                  <c:v>20.557700000000001</c:v>
                </c:pt>
                <c:pt idx="282">
                  <c:v>20.291</c:v>
                </c:pt>
                <c:pt idx="283">
                  <c:v>22.202100000000002</c:v>
                </c:pt>
                <c:pt idx="284">
                  <c:v>22.782399999999999</c:v>
                </c:pt>
                <c:pt idx="285">
                  <c:v>23.5807</c:v>
                </c:pt>
                <c:pt idx="286">
                  <c:v>22.228100000000001</c:v>
                </c:pt>
                <c:pt idx="287">
                  <c:v>20.052600000000002</c:v>
                </c:pt>
                <c:pt idx="288">
                  <c:v>20.0715</c:v>
                </c:pt>
                <c:pt idx="289">
                  <c:v>20.1264</c:v>
                </c:pt>
                <c:pt idx="290">
                  <c:v>20.2607</c:v>
                </c:pt>
                <c:pt idx="291">
                  <c:v>20.149100000000001</c:v>
                </c:pt>
                <c:pt idx="292">
                  <c:v>20.9209</c:v>
                </c:pt>
                <c:pt idx="293">
                  <c:v>20.332599999999999</c:v>
                </c:pt>
                <c:pt idx="294">
                  <c:v>19.7348</c:v>
                </c:pt>
                <c:pt idx="295">
                  <c:v>19.244800000000001</c:v>
                </c:pt>
                <c:pt idx="296">
                  <c:v>20.0242</c:v>
                </c:pt>
                <c:pt idx="297">
                  <c:v>19.9817</c:v>
                </c:pt>
                <c:pt idx="298">
                  <c:v>20.368500000000001</c:v>
                </c:pt>
                <c:pt idx="299">
                  <c:v>20.107500000000002</c:v>
                </c:pt>
                <c:pt idx="300">
                  <c:v>21.066600000000001</c:v>
                </c:pt>
                <c:pt idx="301">
                  <c:v>21.323899999999998</c:v>
                </c:pt>
                <c:pt idx="302">
                  <c:v>22.0124</c:v>
                </c:pt>
                <c:pt idx="303">
                  <c:v>20.8017</c:v>
                </c:pt>
                <c:pt idx="304">
                  <c:v>20.203900000000001</c:v>
                </c:pt>
                <c:pt idx="305">
                  <c:v>20.9512</c:v>
                </c:pt>
                <c:pt idx="306">
                  <c:v>21.774100000000001</c:v>
                </c:pt>
                <c:pt idx="307">
                  <c:v>21.047699999999999</c:v>
                </c:pt>
                <c:pt idx="308">
                  <c:v>20.9346</c:v>
                </c:pt>
                <c:pt idx="309">
                  <c:v>20.500900000000001</c:v>
                </c:pt>
                <c:pt idx="310">
                  <c:v>21.552800000000001</c:v>
                </c:pt>
                <c:pt idx="311">
                  <c:v>22.003</c:v>
                </c:pt>
                <c:pt idx="312">
                  <c:v>24.063099999999999</c:v>
                </c:pt>
                <c:pt idx="313">
                  <c:v>24.488800000000001</c:v>
                </c:pt>
                <c:pt idx="314">
                  <c:v>25.132000000000001</c:v>
                </c:pt>
                <c:pt idx="315">
                  <c:v>26.021100000000001</c:v>
                </c:pt>
                <c:pt idx="316">
                  <c:v>26.274100000000001</c:v>
                </c:pt>
                <c:pt idx="317">
                  <c:v>26.231100000000001</c:v>
                </c:pt>
                <c:pt idx="318">
                  <c:v>28.527699999999999</c:v>
                </c:pt>
                <c:pt idx="319">
                  <c:v>29.386500000000002</c:v>
                </c:pt>
                <c:pt idx="320">
                  <c:v>29.104600000000001</c:v>
                </c:pt>
                <c:pt idx="321">
                  <c:v>32.173999999999999</c:v>
                </c:pt>
                <c:pt idx="322">
                  <c:v>32.235500000000002</c:v>
                </c:pt>
                <c:pt idx="323">
                  <c:v>31.121200000000002</c:v>
                </c:pt>
                <c:pt idx="324">
                  <c:v>32.006599999999999</c:v>
                </c:pt>
                <c:pt idx="325">
                  <c:v>32.0274</c:v>
                </c:pt>
                <c:pt idx="326">
                  <c:v>31.739799999999999</c:v>
                </c:pt>
                <c:pt idx="327">
                  <c:v>32.127699999999997</c:v>
                </c:pt>
                <c:pt idx="328">
                  <c:v>30.844999999999999</c:v>
                </c:pt>
                <c:pt idx="329">
                  <c:v>30.471399999999999</c:v>
                </c:pt>
                <c:pt idx="330">
                  <c:v>31.3293</c:v>
                </c:pt>
                <c:pt idx="331">
                  <c:v>29.7195</c:v>
                </c:pt>
                <c:pt idx="332">
                  <c:v>29.151900000000001</c:v>
                </c:pt>
                <c:pt idx="333">
                  <c:v>28.223099999999999</c:v>
                </c:pt>
                <c:pt idx="334">
                  <c:v>29.191700000000001</c:v>
                </c:pt>
                <c:pt idx="335">
                  <c:v>29.040800000000001</c:v>
                </c:pt>
                <c:pt idx="336">
                  <c:v>27.996099999999998</c:v>
                </c:pt>
                <c:pt idx="337">
                  <c:v>26.9102</c:v>
                </c:pt>
                <c:pt idx="338">
                  <c:v>27.025600000000001</c:v>
                </c:pt>
                <c:pt idx="339">
                  <c:v>27.496600000000001</c:v>
                </c:pt>
                <c:pt idx="340">
                  <c:v>28.745200000000001</c:v>
                </c:pt>
                <c:pt idx="341">
                  <c:v>28.873799999999999</c:v>
                </c:pt>
                <c:pt idx="342">
                  <c:v>31.9025</c:v>
                </c:pt>
                <c:pt idx="343">
                  <c:v>32.000900000000001</c:v>
                </c:pt>
                <c:pt idx="344">
                  <c:v>31.168500000000002</c:v>
                </c:pt>
                <c:pt idx="345">
                  <c:v>27.863600000000002</c:v>
                </c:pt>
                <c:pt idx="346">
                  <c:v>29.2806</c:v>
                </c:pt>
                <c:pt idx="347">
                  <c:v>28.058499999999999</c:v>
                </c:pt>
                <c:pt idx="348">
                  <c:v>30.610500000000002</c:v>
                </c:pt>
                <c:pt idx="349">
                  <c:v>29.504300000000001</c:v>
                </c:pt>
                <c:pt idx="350">
                  <c:v>29.7592</c:v>
                </c:pt>
                <c:pt idx="351">
                  <c:v>27.243099999999998</c:v>
                </c:pt>
                <c:pt idx="352">
                  <c:v>25.502700000000001</c:v>
                </c:pt>
                <c:pt idx="353">
                  <c:v>23.785</c:v>
                </c:pt>
                <c:pt idx="354">
                  <c:v>25.485700000000001</c:v>
                </c:pt>
                <c:pt idx="355">
                  <c:v>25.892399999999999</c:v>
                </c:pt>
                <c:pt idx="356">
                  <c:v>26.991499999999998</c:v>
                </c:pt>
                <c:pt idx="357">
                  <c:v>26.338899999999999</c:v>
                </c:pt>
                <c:pt idx="358">
                  <c:v>24.874700000000001</c:v>
                </c:pt>
                <c:pt idx="359">
                  <c:v>23.7699</c:v>
                </c:pt>
                <c:pt idx="360">
                  <c:v>21.958500000000001</c:v>
                </c:pt>
                <c:pt idx="361">
                  <c:v>23.310199999999998</c:v>
                </c:pt>
                <c:pt idx="362">
                  <c:v>23.694199999999999</c:v>
                </c:pt>
                <c:pt idx="363">
                  <c:v>21.846</c:v>
                </c:pt>
                <c:pt idx="364">
                  <c:v>21.777899999999999</c:v>
                </c:pt>
                <c:pt idx="365">
                  <c:v>21.565999999999999</c:v>
                </c:pt>
                <c:pt idx="366">
                  <c:v>22.4788</c:v>
                </c:pt>
                <c:pt idx="367">
                  <c:v>21.376799999999999</c:v>
                </c:pt>
                <c:pt idx="368">
                  <c:v>19.8398</c:v>
                </c:pt>
                <c:pt idx="369">
                  <c:v>21.206600000000002</c:v>
                </c:pt>
                <c:pt idx="370">
                  <c:v>20.4726</c:v>
                </c:pt>
                <c:pt idx="371">
                  <c:v>21.076000000000001</c:v>
                </c:pt>
                <c:pt idx="372">
                  <c:v>22.108899999999998</c:v>
                </c:pt>
                <c:pt idx="373">
                  <c:v>23.429400000000001</c:v>
                </c:pt>
                <c:pt idx="374">
                  <c:v>23.537199999999999</c:v>
                </c:pt>
                <c:pt idx="375">
                  <c:v>22.8902</c:v>
                </c:pt>
                <c:pt idx="376">
                  <c:v>23.202400000000001</c:v>
                </c:pt>
                <c:pt idx="377">
                  <c:v>23.7075</c:v>
                </c:pt>
                <c:pt idx="378">
                  <c:v>22.337800000000001</c:v>
                </c:pt>
                <c:pt idx="379">
                  <c:v>21.379200000000001</c:v>
                </c:pt>
                <c:pt idx="380">
                  <c:v>19.456700000000001</c:v>
                </c:pt>
                <c:pt idx="381">
                  <c:v>17.368200000000002</c:v>
                </c:pt>
                <c:pt idx="382">
                  <c:v>16.870699999999999</c:v>
                </c:pt>
                <c:pt idx="383">
                  <c:v>16.904699999999998</c:v>
                </c:pt>
                <c:pt idx="384">
                  <c:v>15.8018</c:v>
                </c:pt>
                <c:pt idx="385">
                  <c:v>13.6433</c:v>
                </c:pt>
                <c:pt idx="386">
                  <c:v>14.436</c:v>
                </c:pt>
                <c:pt idx="387">
                  <c:v>15.4343</c:v>
                </c:pt>
                <c:pt idx="388">
                  <c:v>16.636099999999999</c:v>
                </c:pt>
                <c:pt idx="389">
                  <c:v>16.541499999999999</c:v>
                </c:pt>
                <c:pt idx="390">
                  <c:v>17.432500000000001</c:v>
                </c:pt>
                <c:pt idx="391">
                  <c:v>16.7212</c:v>
                </c:pt>
                <c:pt idx="392">
                  <c:v>18.3902</c:v>
                </c:pt>
                <c:pt idx="393">
                  <c:v>18.07</c:v>
                </c:pt>
                <c:pt idx="394">
                  <c:v>17.612200000000001</c:v>
                </c:pt>
                <c:pt idx="395">
                  <c:v>16.675799999999999</c:v>
                </c:pt>
                <c:pt idx="396">
                  <c:v>17.405999999999999</c:v>
                </c:pt>
                <c:pt idx="397">
                  <c:v>18.342400000000001</c:v>
                </c:pt>
                <c:pt idx="398">
                  <c:v>18.056799999999999</c:v>
                </c:pt>
                <c:pt idx="399">
                  <c:v>18.488099999999999</c:v>
                </c:pt>
                <c:pt idx="400">
                  <c:v>18.270600000000002</c:v>
                </c:pt>
                <c:pt idx="401">
                  <c:v>18.6267</c:v>
                </c:pt>
                <c:pt idx="402">
                  <c:v>18.913799999999998</c:v>
                </c:pt>
                <c:pt idx="403">
                  <c:v>18.6678</c:v>
                </c:pt>
                <c:pt idx="404">
                  <c:v>18.017099999999999</c:v>
                </c:pt>
                <c:pt idx="405">
                  <c:v>18.261099999999999</c:v>
                </c:pt>
                <c:pt idx="406">
                  <c:v>18.684899999999999</c:v>
                </c:pt>
                <c:pt idx="407">
                  <c:v>19.653400000000001</c:v>
                </c:pt>
                <c:pt idx="408">
                  <c:v>19.222100000000001</c:v>
                </c:pt>
                <c:pt idx="409">
                  <c:v>18.545500000000001</c:v>
                </c:pt>
                <c:pt idx="410">
                  <c:v>16.762799999999999</c:v>
                </c:pt>
                <c:pt idx="411">
                  <c:v>15.9815</c:v>
                </c:pt>
                <c:pt idx="412">
                  <c:v>16.668700000000001</c:v>
                </c:pt>
                <c:pt idx="413">
                  <c:v>16.393899999999999</c:v>
                </c:pt>
                <c:pt idx="414">
                  <c:v>16.096900000000002</c:v>
                </c:pt>
                <c:pt idx="415">
                  <c:v>15.9437</c:v>
                </c:pt>
                <c:pt idx="416">
                  <c:v>16.286100000000001</c:v>
                </c:pt>
                <c:pt idx="417">
                  <c:v>15.983000000000001</c:v>
                </c:pt>
                <c:pt idx="418">
                  <c:v>15.9475</c:v>
                </c:pt>
                <c:pt idx="419">
                  <c:v>16.114000000000001</c:v>
                </c:pt>
                <c:pt idx="420">
                  <c:v>16.456399999999999</c:v>
                </c:pt>
                <c:pt idx="421">
                  <c:v>17.8203</c:v>
                </c:pt>
                <c:pt idx="422">
                  <c:v>18.637599999999999</c:v>
                </c:pt>
                <c:pt idx="423">
                  <c:v>19.224</c:v>
                </c:pt>
                <c:pt idx="424">
                  <c:v>19.1143</c:v>
                </c:pt>
                <c:pt idx="425">
                  <c:v>19.2226</c:v>
                </c:pt>
                <c:pt idx="426">
                  <c:v>18.696200000000001</c:v>
                </c:pt>
                <c:pt idx="427">
                  <c:v>19.089700000000001</c:v>
                </c:pt>
                <c:pt idx="428">
                  <c:v>20.682500000000001</c:v>
                </c:pt>
                <c:pt idx="429">
                  <c:v>19.889900000000001</c:v>
                </c:pt>
                <c:pt idx="430">
                  <c:v>19.395199999999999</c:v>
                </c:pt>
                <c:pt idx="431">
                  <c:v>18.645099999999999</c:v>
                </c:pt>
                <c:pt idx="432">
                  <c:v>18.930800000000001</c:v>
                </c:pt>
                <c:pt idx="433">
                  <c:v>17.784400000000002</c:v>
                </c:pt>
                <c:pt idx="434">
                  <c:v>18.0398</c:v>
                </c:pt>
                <c:pt idx="435">
                  <c:v>18.247900000000001</c:v>
                </c:pt>
                <c:pt idx="436">
                  <c:v>18.442699999999999</c:v>
                </c:pt>
                <c:pt idx="437">
                  <c:v>19.322400000000002</c:v>
                </c:pt>
                <c:pt idx="438">
                  <c:v>20.067699999999999</c:v>
                </c:pt>
                <c:pt idx="439">
                  <c:v>21.0718</c:v>
                </c:pt>
                <c:pt idx="440">
                  <c:v>20.6371</c:v>
                </c:pt>
                <c:pt idx="441">
                  <c:v>20.0488</c:v>
                </c:pt>
                <c:pt idx="442">
                  <c:v>19.558800000000002</c:v>
                </c:pt>
                <c:pt idx="443">
                  <c:v>19.053699999999999</c:v>
                </c:pt>
                <c:pt idx="444">
                  <c:v>19.8019</c:v>
                </c:pt>
                <c:pt idx="445">
                  <c:v>20.052600000000002</c:v>
                </c:pt>
                <c:pt idx="446">
                  <c:v>20.8263</c:v>
                </c:pt>
                <c:pt idx="447">
                  <c:v>21.255700000000001</c:v>
                </c:pt>
                <c:pt idx="448">
                  <c:v>22.511900000000001</c:v>
                </c:pt>
                <c:pt idx="449">
                  <c:v>23.739599999999999</c:v>
                </c:pt>
                <c:pt idx="450">
                  <c:v>23.637499999999999</c:v>
                </c:pt>
                <c:pt idx="451">
                  <c:v>24.0291</c:v>
                </c:pt>
                <c:pt idx="452">
                  <c:v>24.681699999999999</c:v>
                </c:pt>
                <c:pt idx="453">
                  <c:v>24.706299999999999</c:v>
                </c:pt>
                <c:pt idx="454">
                  <c:v>25.201899999999998</c:v>
                </c:pt>
                <c:pt idx="455">
                  <c:v>25.436499999999999</c:v>
                </c:pt>
                <c:pt idx="456">
                  <c:v>24.948499999999999</c:v>
                </c:pt>
                <c:pt idx="457">
                  <c:v>24.776299999999999</c:v>
                </c:pt>
                <c:pt idx="458">
                  <c:v>24.817900000000002</c:v>
                </c:pt>
                <c:pt idx="459">
                  <c:v>25.795999999999999</c:v>
                </c:pt>
                <c:pt idx="460">
                  <c:v>26.554600000000001</c:v>
                </c:pt>
                <c:pt idx="461">
                  <c:v>26.5962</c:v>
                </c:pt>
                <c:pt idx="462">
                  <c:v>25.41</c:v>
                </c:pt>
                <c:pt idx="463">
                  <c:v>24.401700000000002</c:v>
                </c:pt>
                <c:pt idx="464">
                  <c:v>24.384699999999999</c:v>
                </c:pt>
                <c:pt idx="465">
                  <c:v>25.089400000000001</c:v>
                </c:pt>
                <c:pt idx="466">
                  <c:v>25.428999999999998</c:v>
                </c:pt>
                <c:pt idx="467">
                  <c:v>25.228400000000001</c:v>
                </c:pt>
                <c:pt idx="468">
                  <c:v>25.366499999999998</c:v>
                </c:pt>
                <c:pt idx="469">
                  <c:v>26.070699999999999</c:v>
                </c:pt>
                <c:pt idx="470">
                  <c:v>25.3566</c:v>
                </c:pt>
                <c:pt idx="471">
                  <c:v>24.532299999999999</c:v>
                </c:pt>
                <c:pt idx="472">
                  <c:v>24.144500000000001</c:v>
                </c:pt>
                <c:pt idx="473">
                  <c:v>25.3873</c:v>
                </c:pt>
                <c:pt idx="474">
                  <c:v>25.317299999999999</c:v>
                </c:pt>
                <c:pt idx="475">
                  <c:v>24.165299999999998</c:v>
                </c:pt>
                <c:pt idx="476">
                  <c:v>23.522100000000002</c:v>
                </c:pt>
                <c:pt idx="477">
                  <c:v>24.935700000000001</c:v>
                </c:pt>
                <c:pt idx="478">
                  <c:v>24.904900000000001</c:v>
                </c:pt>
                <c:pt idx="479">
                  <c:v>24.2409</c:v>
                </c:pt>
                <c:pt idx="480">
                  <c:v>23.8872</c:v>
                </c:pt>
                <c:pt idx="481">
                  <c:v>23.395299999999999</c:v>
                </c:pt>
                <c:pt idx="482">
                  <c:v>23.881499999999999</c:v>
                </c:pt>
                <c:pt idx="483">
                  <c:v>24.859500000000001</c:v>
                </c:pt>
                <c:pt idx="484">
                  <c:v>24.7971</c:v>
                </c:pt>
                <c:pt idx="485">
                  <c:v>25.905200000000001</c:v>
                </c:pt>
                <c:pt idx="486">
                  <c:v>27.245000000000001</c:v>
                </c:pt>
                <c:pt idx="487">
                  <c:v>27.1069</c:v>
                </c:pt>
                <c:pt idx="488">
                  <c:v>27.472100000000001</c:v>
                </c:pt>
                <c:pt idx="489">
                  <c:v>27.6631</c:v>
                </c:pt>
                <c:pt idx="490">
                  <c:v>26.442900000000002</c:v>
                </c:pt>
                <c:pt idx="491">
                  <c:v>27.0379</c:v>
                </c:pt>
                <c:pt idx="492">
                  <c:v>27.891999999999999</c:v>
                </c:pt>
                <c:pt idx="493">
                  <c:v>28.336600000000001</c:v>
                </c:pt>
                <c:pt idx="494">
                  <c:v>29.002500000000001</c:v>
                </c:pt>
                <c:pt idx="495">
                  <c:v>29.040299999999998</c:v>
                </c:pt>
                <c:pt idx="496">
                  <c:v>29.347000000000001</c:v>
                </c:pt>
                <c:pt idx="497">
                  <c:v>28.652000000000001</c:v>
                </c:pt>
                <c:pt idx="498">
                  <c:v>27.475999999999999</c:v>
                </c:pt>
                <c:pt idx="499">
                  <c:v>27</c:v>
                </c:pt>
                <c:pt idx="500">
                  <c:v>26.67</c:v>
                </c:pt>
                <c:pt idx="501">
                  <c:v>26.32</c:v>
                </c:pt>
                <c:pt idx="502">
                  <c:v>25.844000000000001</c:v>
                </c:pt>
                <c:pt idx="503">
                  <c:v>26.084</c:v>
                </c:pt>
                <c:pt idx="504">
                  <c:v>26.762</c:v>
                </c:pt>
                <c:pt idx="505">
                  <c:v>26.372499999999999</c:v>
                </c:pt>
                <c:pt idx="506">
                  <c:v>25.391999999999999</c:v>
                </c:pt>
                <c:pt idx="507">
                  <c:v>25.04</c:v>
                </c:pt>
                <c:pt idx="508">
                  <c:v>23.867999999999999</c:v>
                </c:pt>
                <c:pt idx="509">
                  <c:v>22.608000000000001</c:v>
                </c:pt>
                <c:pt idx="510">
                  <c:v>20.207999999999998</c:v>
                </c:pt>
                <c:pt idx="511">
                  <c:v>18.808</c:v>
                </c:pt>
                <c:pt idx="512">
                  <c:v>21.452000000000002</c:v>
                </c:pt>
                <c:pt idx="513">
                  <c:v>21.501999999999999</c:v>
                </c:pt>
                <c:pt idx="514">
                  <c:v>22.402000000000001</c:v>
                </c:pt>
                <c:pt idx="515">
                  <c:v>23.132000000000001</c:v>
                </c:pt>
                <c:pt idx="516">
                  <c:v>23.52</c:v>
                </c:pt>
                <c:pt idx="517">
                  <c:v>22.765000000000001</c:v>
                </c:pt>
                <c:pt idx="518">
                  <c:v>19.722000000000001</c:v>
                </c:pt>
                <c:pt idx="519">
                  <c:v>17.492000000000001</c:v>
                </c:pt>
                <c:pt idx="520">
                  <c:v>18.47</c:v>
                </c:pt>
                <c:pt idx="521">
                  <c:v>19.565000000000001</c:v>
                </c:pt>
                <c:pt idx="522">
                  <c:v>19.745000000000001</c:v>
                </c:pt>
                <c:pt idx="523">
                  <c:v>18.238</c:v>
                </c:pt>
                <c:pt idx="524">
                  <c:v>18.332000000000001</c:v>
                </c:pt>
                <c:pt idx="525">
                  <c:v>19.557500000000001</c:v>
                </c:pt>
                <c:pt idx="526">
                  <c:v>19.582000000000001</c:v>
                </c:pt>
                <c:pt idx="527">
                  <c:v>20.738</c:v>
                </c:pt>
                <c:pt idx="528">
                  <c:v>20.472000000000001</c:v>
                </c:pt>
                <c:pt idx="529">
                  <c:v>20.677499999999998</c:v>
                </c:pt>
                <c:pt idx="530">
                  <c:v>18.29</c:v>
                </c:pt>
                <c:pt idx="531">
                  <c:v>15.875999999999999</c:v>
                </c:pt>
                <c:pt idx="532">
                  <c:v>14.018000000000001</c:v>
                </c:pt>
                <c:pt idx="533">
                  <c:v>13.802</c:v>
                </c:pt>
                <c:pt idx="534">
                  <c:v>14.192</c:v>
                </c:pt>
                <c:pt idx="535">
                  <c:v>14.2675</c:v>
                </c:pt>
                <c:pt idx="536">
                  <c:v>15.151999999999999</c:v>
                </c:pt>
                <c:pt idx="537">
                  <c:v>15.472</c:v>
                </c:pt>
                <c:pt idx="538">
                  <c:v>14.672000000000001</c:v>
                </c:pt>
                <c:pt idx="539">
                  <c:v>15.27</c:v>
                </c:pt>
                <c:pt idx="540">
                  <c:v>15.35</c:v>
                </c:pt>
                <c:pt idx="541">
                  <c:v>15.19</c:v>
                </c:pt>
                <c:pt idx="542">
                  <c:v>14.916</c:v>
                </c:pt>
                <c:pt idx="543">
                  <c:v>14.46</c:v>
                </c:pt>
                <c:pt idx="544">
                  <c:v>13.532</c:v>
                </c:pt>
                <c:pt idx="545">
                  <c:v>12.837999999999999</c:v>
                </c:pt>
                <c:pt idx="546">
                  <c:v>12.1</c:v>
                </c:pt>
                <c:pt idx="547">
                  <c:v>11.497999999999999</c:v>
                </c:pt>
                <c:pt idx="548">
                  <c:v>10.88</c:v>
                </c:pt>
                <c:pt idx="549">
                  <c:v>11.247999999999999</c:v>
                </c:pt>
                <c:pt idx="550">
                  <c:v>11.218</c:v>
                </c:pt>
                <c:pt idx="551">
                  <c:v>9.1199999999999992</c:v>
                </c:pt>
                <c:pt idx="552">
                  <c:v>8.83</c:v>
                </c:pt>
                <c:pt idx="553">
                  <c:v>7.9379999999999997</c:v>
                </c:pt>
                <c:pt idx="554">
                  <c:v>7.97</c:v>
                </c:pt>
                <c:pt idx="555">
                  <c:v>7.3380000000000001</c:v>
                </c:pt>
                <c:pt idx="556">
                  <c:v>6.6779999999999999</c:v>
                </c:pt>
                <c:pt idx="557">
                  <c:v>7.4939999999999998</c:v>
                </c:pt>
                <c:pt idx="558" formatCode="_-* #,##0.00_р_._-;\-* #,##0.00_р_._-;_-* &quot;-&quot;??_р_._-;_-@_-">
                  <c:v>7.4932231404958678</c:v>
                </c:pt>
                <c:pt idx="559" formatCode="_-* #,##0.00_р_._-;\-* #,##0.00_р_._-;_-* &quot;-&quot;??_р_._-;_-@_-">
                  <c:v>7.4924462809917358</c:v>
                </c:pt>
                <c:pt idx="560" formatCode="_-* #,##0.00_р_._-;\-* #,##0.00_р_._-;_-* &quot;-&quot;??_р_._-;_-@_-">
                  <c:v>7.4916694214876038</c:v>
                </c:pt>
                <c:pt idx="561" formatCode="_-* #,##0.00_р_._-;\-* #,##0.00_р_._-;_-* &quot;-&quot;??_р_._-;_-@_-">
                  <c:v>7.4908925619834719</c:v>
                </c:pt>
                <c:pt idx="562" formatCode="_-* #,##0.00_р_._-;\-* #,##0.00_р_._-;_-* &quot;-&quot;??_р_._-;_-@_-">
                  <c:v>7.4901157024793399</c:v>
                </c:pt>
                <c:pt idx="563" formatCode="_-* #,##0.00_р_._-;\-* #,##0.00_р_._-;_-* &quot;-&quot;??_р_._-;_-@_-">
                  <c:v>7.4893388429752079</c:v>
                </c:pt>
                <c:pt idx="564" formatCode="_-* #,##0.00_р_._-;\-* #,##0.00_р_._-;_-* &quot;-&quot;??_р_._-;_-@_-">
                  <c:v>7.4885619834710759</c:v>
                </c:pt>
                <c:pt idx="565" formatCode="_-* #,##0.00_р_._-;\-* #,##0.00_р_._-;_-* &quot;-&quot;??_р_._-;_-@_-">
                  <c:v>7.487785123966944</c:v>
                </c:pt>
                <c:pt idx="566" formatCode="_-* #,##0.00_р_._-;\-* #,##0.00_р_._-;_-* &quot;-&quot;??_р_._-;_-@_-">
                  <c:v>7.487008264462812</c:v>
                </c:pt>
                <c:pt idx="567" formatCode="_-* #,##0.00_р_._-;\-* #,##0.00_р_._-;_-* &quot;-&quot;??_р_._-;_-@_-">
                  <c:v>7.48623140495868</c:v>
                </c:pt>
                <c:pt idx="568" formatCode="_-* #,##0.00_р_._-;\-* #,##0.00_р_._-;_-* &quot;-&quot;??_р_._-;_-@_-">
                  <c:v>7.485454545454548</c:v>
                </c:pt>
                <c:pt idx="569" formatCode="_-* #,##0.00_р_._-;\-* #,##0.00_р_._-;_-* &quot;-&quot;??_р_._-;_-@_-">
                  <c:v>7.484677685950416</c:v>
                </c:pt>
                <c:pt idx="570" formatCode="_-* #,##0.00_р_._-;\-* #,##0.00_р_._-;_-* &quot;-&quot;??_р_._-;_-@_-">
                  <c:v>7.4839008264462841</c:v>
                </c:pt>
                <c:pt idx="571" formatCode="_-* #,##0.00_р_._-;\-* #,##0.00_р_._-;_-* &quot;-&quot;??_р_._-;_-@_-">
                  <c:v>7.4831239669421521</c:v>
                </c:pt>
                <c:pt idx="572" formatCode="_-* #,##0.00_р_._-;\-* #,##0.00_р_._-;_-* &quot;-&quot;??_р_._-;_-@_-">
                  <c:v>7.4823471074380201</c:v>
                </c:pt>
                <c:pt idx="573" formatCode="_-* #,##0.00_р_._-;\-* #,##0.00_р_._-;_-* &quot;-&quot;??_р_._-;_-@_-">
                  <c:v>7.4815702479338881</c:v>
                </c:pt>
                <c:pt idx="574" formatCode="_-* #,##0.00_р_._-;\-* #,##0.00_р_._-;_-* &quot;-&quot;??_р_._-;_-@_-">
                  <c:v>7.4807933884297562</c:v>
                </c:pt>
                <c:pt idx="575" formatCode="_-* #,##0.00_р_._-;\-* #,##0.00_р_._-;_-* &quot;-&quot;??_р_._-;_-@_-">
                  <c:v>7.4800165289256242</c:v>
                </c:pt>
                <c:pt idx="576" formatCode="_-* #,##0.00_р_._-;\-* #,##0.00_р_._-;_-* &quot;-&quot;??_р_._-;_-@_-">
                  <c:v>7.4792396694214922</c:v>
                </c:pt>
                <c:pt idx="577" formatCode="_-* #,##0.00_р_._-;\-* #,##0.00_р_._-;_-* &quot;-&quot;??_р_._-;_-@_-">
                  <c:v>7.4784628099173602</c:v>
                </c:pt>
                <c:pt idx="578" formatCode="_-* #,##0.00_р_._-;\-* #,##0.00_р_._-;_-* &quot;-&quot;??_р_._-;_-@_-">
                  <c:v>7.4776859504132283</c:v>
                </c:pt>
                <c:pt idx="579" formatCode="_-* #,##0.00_р_._-;\-* #,##0.00_р_._-;_-* &quot;-&quot;??_р_._-;_-@_-">
                  <c:v>7.4769090909090963</c:v>
                </c:pt>
                <c:pt idx="580" formatCode="_-* #,##0.00_р_._-;\-* #,##0.00_р_._-;_-* &quot;-&quot;??_р_._-;_-@_-">
                  <c:v>7.4761322314049643</c:v>
                </c:pt>
                <c:pt idx="581" formatCode="_-* #,##0.00_р_._-;\-* #,##0.00_р_._-;_-* &quot;-&quot;??_р_._-;_-@_-">
                  <c:v>7.4753553719008323</c:v>
                </c:pt>
                <c:pt idx="582" formatCode="_-* #,##0.00_р_._-;\-* #,##0.00_р_._-;_-* &quot;-&quot;??_р_._-;_-@_-">
                  <c:v>7.4745785123967003</c:v>
                </c:pt>
                <c:pt idx="583" formatCode="_-* #,##0.00_р_._-;\-* #,##0.00_р_._-;_-* &quot;-&quot;??_р_._-;_-@_-">
                  <c:v>7.4738016528925684</c:v>
                </c:pt>
                <c:pt idx="584" formatCode="_-* #,##0.00_р_._-;\-* #,##0.00_р_._-;_-* &quot;-&quot;??_р_._-;_-@_-">
                  <c:v>7.4730247933884364</c:v>
                </c:pt>
                <c:pt idx="585" formatCode="_-* #,##0.00_р_._-;\-* #,##0.00_р_._-;_-* &quot;-&quot;??_р_._-;_-@_-">
                  <c:v>7.4722479338843044</c:v>
                </c:pt>
                <c:pt idx="586" formatCode="_-* #,##0.00_р_._-;\-* #,##0.00_р_._-;_-* &quot;-&quot;??_р_._-;_-@_-">
                  <c:v>7.4714710743801724</c:v>
                </c:pt>
                <c:pt idx="587" formatCode="_-* #,##0.00_р_._-;\-* #,##0.00_р_._-;_-* &quot;-&quot;??_р_._-;_-@_-">
                  <c:v>7.4706942148760405</c:v>
                </c:pt>
                <c:pt idx="588" formatCode="_-* #,##0.00_р_._-;\-* #,##0.00_р_._-;_-* &quot;-&quot;??_р_._-;_-@_-">
                  <c:v>7.4699173553719085</c:v>
                </c:pt>
                <c:pt idx="589" formatCode="_-* #,##0.00_р_._-;\-* #,##0.00_р_._-;_-* &quot;-&quot;??_р_._-;_-@_-">
                  <c:v>7.4691404958677765</c:v>
                </c:pt>
                <c:pt idx="590" formatCode="_-* #,##0.00_р_._-;\-* #,##0.00_р_._-;_-* &quot;-&quot;??_р_._-;_-@_-">
                  <c:v>7.4683636363636445</c:v>
                </c:pt>
                <c:pt idx="591" formatCode="_-* #,##0.00_р_._-;\-* #,##0.00_р_._-;_-* &quot;-&quot;??_р_._-;_-@_-">
                  <c:v>7.4675867768595126</c:v>
                </c:pt>
                <c:pt idx="592" formatCode="_-* #,##0.00_р_._-;\-* #,##0.00_р_._-;_-* &quot;-&quot;??_р_._-;_-@_-">
                  <c:v>7.4668099173553806</c:v>
                </c:pt>
                <c:pt idx="593" formatCode="_-* #,##0.00_р_._-;\-* #,##0.00_р_._-;_-* &quot;-&quot;??_р_._-;_-@_-">
                  <c:v>7.4660330578512486</c:v>
                </c:pt>
                <c:pt idx="594" formatCode="_-* #,##0.00_р_._-;\-* #,##0.00_р_._-;_-* &quot;-&quot;??_р_._-;_-@_-">
                  <c:v>7.4652561983471166</c:v>
                </c:pt>
                <c:pt idx="595" formatCode="_-* #,##0.00_р_._-;\-* #,##0.00_р_._-;_-* &quot;-&quot;??_р_._-;_-@_-">
                  <c:v>7.4644793388429846</c:v>
                </c:pt>
                <c:pt idx="596" formatCode="_-* #,##0.00_р_._-;\-* #,##0.00_р_._-;_-* &quot;-&quot;??_р_._-;_-@_-">
                  <c:v>7.4637024793388527</c:v>
                </c:pt>
                <c:pt idx="597" formatCode="_-* #,##0.00_р_._-;\-* #,##0.00_р_._-;_-* &quot;-&quot;??_р_._-;_-@_-">
                  <c:v>7.4629256198347207</c:v>
                </c:pt>
                <c:pt idx="598" formatCode="_-* #,##0.00_р_._-;\-* #,##0.00_р_._-;_-* &quot;-&quot;??_р_._-;_-@_-">
                  <c:v>7.4621487603305887</c:v>
                </c:pt>
                <c:pt idx="599" formatCode="_-* #,##0.00_р_._-;\-* #,##0.00_р_._-;_-* &quot;-&quot;??_р_._-;_-@_-">
                  <c:v>7.4613719008264567</c:v>
                </c:pt>
                <c:pt idx="600" formatCode="_-* #,##0.00_р_._-;\-* #,##0.00_р_._-;_-* &quot;-&quot;??_р_._-;_-@_-">
                  <c:v>7.4605950413223248</c:v>
                </c:pt>
                <c:pt idx="601" formatCode="_-* #,##0.00_р_._-;\-* #,##0.00_р_._-;_-* &quot;-&quot;??_р_._-;_-@_-">
                  <c:v>7.4598181818181928</c:v>
                </c:pt>
                <c:pt idx="602" formatCode="_-* #,##0.00_р_._-;\-* #,##0.00_р_._-;_-* &quot;-&quot;??_р_._-;_-@_-">
                  <c:v>7.4590413223140608</c:v>
                </c:pt>
                <c:pt idx="603" formatCode="_-* #,##0.00_р_._-;\-* #,##0.00_р_._-;_-* &quot;-&quot;??_р_._-;_-@_-">
                  <c:v>7.4582644628099288</c:v>
                </c:pt>
                <c:pt idx="604" formatCode="_-* #,##0.00_р_._-;\-* #,##0.00_р_._-;_-* &quot;-&quot;??_р_._-;_-@_-">
                  <c:v>7.4574876033057969</c:v>
                </c:pt>
                <c:pt idx="605" formatCode="_-* #,##0.00_р_._-;\-* #,##0.00_р_._-;_-* &quot;-&quot;??_р_._-;_-@_-">
                  <c:v>7.4567107438016649</c:v>
                </c:pt>
                <c:pt idx="606" formatCode="_-* #,##0.00_р_._-;\-* #,##0.00_р_._-;_-* &quot;-&quot;??_р_._-;_-@_-">
                  <c:v>7.4559338842975329</c:v>
                </c:pt>
                <c:pt idx="607" formatCode="_-* #,##0.00_р_._-;\-* #,##0.00_р_._-;_-* &quot;-&quot;??_р_._-;_-@_-">
                  <c:v>7.4551570247934009</c:v>
                </c:pt>
                <c:pt idx="608" formatCode="_-* #,##0.00_р_._-;\-* #,##0.00_р_._-;_-* &quot;-&quot;??_р_._-;_-@_-">
                  <c:v>7.4543801652892689</c:v>
                </c:pt>
                <c:pt idx="609" formatCode="_-* #,##0.00_р_._-;\-* #,##0.00_р_._-;_-* &quot;-&quot;??_р_._-;_-@_-">
                  <c:v>7.453603305785137</c:v>
                </c:pt>
                <c:pt idx="610" formatCode="_-* #,##0.00_р_._-;\-* #,##0.00_р_._-;_-* &quot;-&quot;??_р_._-;_-@_-">
                  <c:v>7.452826446281005</c:v>
                </c:pt>
                <c:pt idx="611" formatCode="_-* #,##0.00_р_._-;\-* #,##0.00_р_._-;_-* &quot;-&quot;??_р_._-;_-@_-">
                  <c:v>7.452049586776873</c:v>
                </c:pt>
                <c:pt idx="612" formatCode="_-* #,##0.00_р_._-;\-* #,##0.00_р_._-;_-* &quot;-&quot;??_р_._-;_-@_-">
                  <c:v>7.451272727272741</c:v>
                </c:pt>
                <c:pt idx="613" formatCode="_-* #,##0.00_р_._-;\-* #,##0.00_р_._-;_-* &quot;-&quot;??_р_._-;_-@_-">
                  <c:v>7.4504958677686091</c:v>
                </c:pt>
                <c:pt idx="614" formatCode="_-* #,##0.00_р_._-;\-* #,##0.00_р_._-;_-* &quot;-&quot;??_р_._-;_-@_-">
                  <c:v>7.4497190082644771</c:v>
                </c:pt>
                <c:pt idx="615" formatCode="_-* #,##0.00_р_._-;\-* #,##0.00_р_._-;_-* &quot;-&quot;??_р_._-;_-@_-">
                  <c:v>7.4489421487603451</c:v>
                </c:pt>
                <c:pt idx="616" formatCode="_-* #,##0.00_р_._-;\-* #,##0.00_р_._-;_-* &quot;-&quot;??_р_._-;_-@_-">
                  <c:v>7.4481652892562131</c:v>
                </c:pt>
                <c:pt idx="617" formatCode="_-* #,##0.00_р_._-;\-* #,##0.00_р_._-;_-* &quot;-&quot;??_р_._-;_-@_-">
                  <c:v>7.4473884297520812</c:v>
                </c:pt>
                <c:pt idx="618" formatCode="_-* #,##0.00_р_._-;\-* #,##0.00_р_._-;_-* &quot;-&quot;??_р_._-;_-@_-">
                  <c:v>7.4466115702479492</c:v>
                </c:pt>
                <c:pt idx="619" formatCode="_-* #,##0.00_р_._-;\-* #,##0.00_р_._-;_-* &quot;-&quot;??_р_._-;_-@_-">
                  <c:v>7.4458347107438172</c:v>
                </c:pt>
                <c:pt idx="620" formatCode="_-* #,##0.00_р_._-;\-* #,##0.00_р_._-;_-* &quot;-&quot;??_р_._-;_-@_-">
                  <c:v>7.4450578512396852</c:v>
                </c:pt>
                <c:pt idx="621" formatCode="_-* #,##0.00_р_._-;\-* #,##0.00_р_._-;_-* &quot;-&quot;??_р_._-;_-@_-">
                  <c:v>7.4442809917355532</c:v>
                </c:pt>
                <c:pt idx="622" formatCode="_-* #,##0.00_р_._-;\-* #,##0.00_р_._-;_-* &quot;-&quot;??_р_._-;_-@_-">
                  <c:v>7.4435041322314213</c:v>
                </c:pt>
                <c:pt idx="623" formatCode="_-* #,##0.00_р_._-;\-* #,##0.00_р_._-;_-* &quot;-&quot;??_р_._-;_-@_-">
                  <c:v>7.4427272727272893</c:v>
                </c:pt>
                <c:pt idx="624" formatCode="_-* #,##0.00_р_._-;\-* #,##0.00_р_._-;_-* &quot;-&quot;??_р_._-;_-@_-">
                  <c:v>7.4419504132231573</c:v>
                </c:pt>
                <c:pt idx="625" formatCode="_-* #,##0.00_р_._-;\-* #,##0.00_р_._-;_-* &quot;-&quot;??_р_._-;_-@_-">
                  <c:v>7.4411735537190253</c:v>
                </c:pt>
                <c:pt idx="626" formatCode="_-* #,##0.00_р_._-;\-* #,##0.00_р_._-;_-* &quot;-&quot;??_р_._-;_-@_-">
                  <c:v>7.4403966942148934</c:v>
                </c:pt>
                <c:pt idx="627" formatCode="_-* #,##0.00_р_._-;\-* #,##0.00_р_._-;_-* &quot;-&quot;??_р_._-;_-@_-">
                  <c:v>7.4396198347107614</c:v>
                </c:pt>
                <c:pt idx="628" formatCode="_-* #,##0.00_р_._-;\-* #,##0.00_р_._-;_-* &quot;-&quot;??_р_._-;_-@_-">
                  <c:v>7.4388429752066294</c:v>
                </c:pt>
                <c:pt idx="629" formatCode="_-* #,##0.00_р_._-;\-* #,##0.00_р_._-;_-* &quot;-&quot;??_р_._-;_-@_-">
                  <c:v>7.4380661157024974</c:v>
                </c:pt>
                <c:pt idx="630" formatCode="_-* #,##0.00_р_._-;\-* #,##0.00_р_._-;_-* &quot;-&quot;??_р_._-;_-@_-">
                  <c:v>7.4372892561983655</c:v>
                </c:pt>
                <c:pt idx="631" formatCode="_-* #,##0.00_р_._-;\-* #,##0.00_р_._-;_-* &quot;-&quot;??_р_._-;_-@_-">
                  <c:v>7.4365123966942335</c:v>
                </c:pt>
                <c:pt idx="632" formatCode="_-* #,##0.00_р_._-;\-* #,##0.00_р_._-;_-* &quot;-&quot;??_р_._-;_-@_-">
                  <c:v>7.4357355371901015</c:v>
                </c:pt>
                <c:pt idx="633" formatCode="_-* #,##0.00_р_._-;\-* #,##0.00_р_._-;_-* &quot;-&quot;??_р_._-;_-@_-">
                  <c:v>7.4349586776859695</c:v>
                </c:pt>
                <c:pt idx="634" formatCode="_-* #,##0.00_р_._-;\-* #,##0.00_р_._-;_-* &quot;-&quot;??_р_._-;_-@_-">
                  <c:v>7.4341818181818375</c:v>
                </c:pt>
                <c:pt idx="635" formatCode="_-* #,##0.00_р_._-;\-* #,##0.00_р_._-;_-* &quot;-&quot;??_р_._-;_-@_-">
                  <c:v>7.4334049586777056</c:v>
                </c:pt>
                <c:pt idx="636" formatCode="_-* #,##0.00_р_._-;\-* #,##0.00_р_._-;_-* &quot;-&quot;??_р_._-;_-@_-">
                  <c:v>7.4326280991735736</c:v>
                </c:pt>
                <c:pt idx="637" formatCode="_-* #,##0.00_р_._-;\-* #,##0.00_р_._-;_-* &quot;-&quot;??_р_._-;_-@_-">
                  <c:v>7.4318512396694416</c:v>
                </c:pt>
                <c:pt idx="638" formatCode="_-* #,##0.00_р_._-;\-* #,##0.00_р_._-;_-* &quot;-&quot;??_р_._-;_-@_-">
                  <c:v>7.4310743801653096</c:v>
                </c:pt>
                <c:pt idx="639" formatCode="_-* #,##0.00_р_._-;\-* #,##0.00_р_._-;_-* &quot;-&quot;??_р_._-;_-@_-">
                  <c:v>7.4302975206611777</c:v>
                </c:pt>
                <c:pt idx="640" formatCode="_-* #,##0.00_р_._-;\-* #,##0.00_р_._-;_-* &quot;-&quot;??_р_._-;_-@_-">
                  <c:v>7.4295206611570457</c:v>
                </c:pt>
                <c:pt idx="641" formatCode="_-* #,##0.00_р_._-;\-* #,##0.00_р_._-;_-* &quot;-&quot;??_р_._-;_-@_-">
                  <c:v>7.4287438016529137</c:v>
                </c:pt>
                <c:pt idx="642" formatCode="_-* #,##0.00_р_._-;\-* #,##0.00_р_._-;_-* &quot;-&quot;??_р_._-;_-@_-">
                  <c:v>7.4279669421487817</c:v>
                </c:pt>
                <c:pt idx="643" formatCode="_-* #,##0.00_р_._-;\-* #,##0.00_р_._-;_-* &quot;-&quot;??_р_._-;_-@_-">
                  <c:v>7.4271900826446497</c:v>
                </c:pt>
                <c:pt idx="644" formatCode="_-* #,##0.00_р_._-;\-* #,##0.00_р_._-;_-* &quot;-&quot;??_р_._-;_-@_-">
                  <c:v>7.4264132231405178</c:v>
                </c:pt>
                <c:pt idx="645" formatCode="_-* #,##0.00_р_._-;\-* #,##0.00_р_._-;_-* &quot;-&quot;??_р_._-;_-@_-">
                  <c:v>7.4256363636363858</c:v>
                </c:pt>
                <c:pt idx="646" formatCode="_-* #,##0.00_р_._-;\-* #,##0.00_р_._-;_-* &quot;-&quot;??_р_._-;_-@_-">
                  <c:v>7.4248595041322538</c:v>
                </c:pt>
                <c:pt idx="647" formatCode="_-* #,##0.00_р_._-;\-* #,##0.00_р_._-;_-* &quot;-&quot;??_р_._-;_-@_-">
                  <c:v>7.4240826446281218</c:v>
                </c:pt>
                <c:pt idx="648" formatCode="_-* #,##0.00_р_._-;\-* #,##0.00_р_._-;_-* &quot;-&quot;??_р_._-;_-@_-">
                  <c:v>7.4233057851239899</c:v>
                </c:pt>
                <c:pt idx="649" formatCode="_-* #,##0.00_р_._-;\-* #,##0.00_р_._-;_-* &quot;-&quot;??_р_._-;_-@_-">
                  <c:v>7.4225289256198579</c:v>
                </c:pt>
                <c:pt idx="650" formatCode="_-* #,##0.00_р_._-;\-* #,##0.00_р_._-;_-* &quot;-&quot;??_р_._-;_-@_-">
                  <c:v>7.4217520661157259</c:v>
                </c:pt>
                <c:pt idx="651" formatCode="_-* #,##0.00_р_._-;\-* #,##0.00_р_._-;_-* &quot;-&quot;??_р_._-;_-@_-">
                  <c:v>7.4209752066115939</c:v>
                </c:pt>
                <c:pt idx="652" formatCode="_-* #,##0.00_р_._-;\-* #,##0.00_р_._-;_-* &quot;-&quot;??_р_._-;_-@_-">
                  <c:v>7.420198347107462</c:v>
                </c:pt>
                <c:pt idx="653" formatCode="_-* #,##0.00_р_._-;\-* #,##0.00_р_._-;_-* &quot;-&quot;??_р_._-;_-@_-">
                  <c:v>7.41942148760333</c:v>
                </c:pt>
                <c:pt idx="654" formatCode="_-* #,##0.00_р_._-;\-* #,##0.00_р_._-;_-* &quot;-&quot;??_р_._-;_-@_-">
                  <c:v>7.418644628099198</c:v>
                </c:pt>
                <c:pt idx="655" formatCode="_-* #,##0.00_р_._-;\-* #,##0.00_р_._-;_-* &quot;-&quot;??_р_._-;_-@_-">
                  <c:v>7.417867768595066</c:v>
                </c:pt>
                <c:pt idx="656" formatCode="_-* #,##0.00_р_._-;\-* #,##0.00_р_._-;_-* &quot;-&quot;??_р_._-;_-@_-">
                  <c:v>7.417090909090934</c:v>
                </c:pt>
                <c:pt idx="657" formatCode="_-* #,##0.00_р_._-;\-* #,##0.00_р_._-;_-* &quot;-&quot;??_р_._-;_-@_-">
                  <c:v>7.4163140495868021</c:v>
                </c:pt>
                <c:pt idx="658" formatCode="_-* #,##0.00_р_._-;\-* #,##0.00_р_._-;_-* &quot;-&quot;??_р_._-;_-@_-">
                  <c:v>7.4155371900826701</c:v>
                </c:pt>
                <c:pt idx="659" formatCode="_-* #,##0.00_р_._-;\-* #,##0.00_р_._-;_-* &quot;-&quot;??_р_._-;_-@_-">
                  <c:v>7.4147603305785381</c:v>
                </c:pt>
                <c:pt idx="660" formatCode="_-* #,##0.00_р_._-;\-* #,##0.00_р_._-;_-* &quot;-&quot;??_р_._-;_-@_-">
                  <c:v>7.4139834710744061</c:v>
                </c:pt>
                <c:pt idx="661" formatCode="_-* #,##0.00_р_._-;\-* #,##0.00_р_._-;_-* &quot;-&quot;??_р_._-;_-@_-">
                  <c:v>7.4132066115702742</c:v>
                </c:pt>
                <c:pt idx="662" formatCode="_-* #,##0.00_р_._-;\-* #,##0.00_р_._-;_-* &quot;-&quot;??_р_._-;_-@_-">
                  <c:v>7.4124297520661422</c:v>
                </c:pt>
                <c:pt idx="663" formatCode="_-* #,##0.00_р_._-;\-* #,##0.00_р_._-;_-* &quot;-&quot;??_р_._-;_-@_-">
                  <c:v>7.4116528925620102</c:v>
                </c:pt>
                <c:pt idx="664" formatCode="_-* #,##0.00_р_._-;\-* #,##0.00_р_._-;_-* &quot;-&quot;??_р_._-;_-@_-">
                  <c:v>7.4108760330578782</c:v>
                </c:pt>
                <c:pt idx="665" formatCode="_-* #,##0.00_р_._-;\-* #,##0.00_р_._-;_-* &quot;-&quot;??_р_._-;_-@_-">
                  <c:v>7.4100991735537463</c:v>
                </c:pt>
                <c:pt idx="666" formatCode="_-* #,##0.00_р_._-;\-* #,##0.00_р_._-;_-* &quot;-&quot;??_р_._-;_-@_-">
                  <c:v>7.4093223140496143</c:v>
                </c:pt>
                <c:pt idx="667" formatCode="_-* #,##0.00_р_._-;\-* #,##0.00_р_._-;_-* &quot;-&quot;??_р_._-;_-@_-">
                  <c:v>7.4085454545454823</c:v>
                </c:pt>
                <c:pt idx="668" formatCode="_-* #,##0.00_р_._-;\-* #,##0.00_р_._-;_-* &quot;-&quot;??_р_._-;_-@_-">
                  <c:v>7.4077685950413503</c:v>
                </c:pt>
                <c:pt idx="669" formatCode="_-* #,##0.00_р_._-;\-* #,##0.00_р_._-;_-* &quot;-&quot;??_р_._-;_-@_-">
                  <c:v>7.4069917355372183</c:v>
                </c:pt>
                <c:pt idx="670" formatCode="_-* #,##0.00_р_._-;\-* #,##0.00_р_._-;_-* &quot;-&quot;??_р_._-;_-@_-">
                  <c:v>7.4062148760330864</c:v>
                </c:pt>
                <c:pt idx="671" formatCode="_-* #,##0.00_р_._-;\-* #,##0.00_р_._-;_-* &quot;-&quot;??_р_._-;_-@_-">
                  <c:v>7.4054380165289544</c:v>
                </c:pt>
                <c:pt idx="672" formatCode="_-* #,##0.00_р_._-;\-* #,##0.00_р_._-;_-* &quot;-&quot;??_р_._-;_-@_-">
                  <c:v>7.4046611570248224</c:v>
                </c:pt>
                <c:pt idx="673" formatCode="_-* #,##0.00_р_._-;\-* #,##0.00_р_._-;_-* &quot;-&quot;??_р_._-;_-@_-">
                  <c:v>7.4038842975206904</c:v>
                </c:pt>
                <c:pt idx="674" formatCode="_-* #,##0.00_р_._-;\-* #,##0.00_р_._-;_-* &quot;-&quot;??_р_._-;_-@_-">
                  <c:v>7.4031074380165585</c:v>
                </c:pt>
                <c:pt idx="675" formatCode="_-* #,##0.00_р_._-;\-* #,##0.00_р_._-;_-* &quot;-&quot;??_р_._-;_-@_-">
                  <c:v>7.4023305785124265</c:v>
                </c:pt>
                <c:pt idx="676" formatCode="_-* #,##0.00_р_._-;\-* #,##0.00_р_._-;_-* &quot;-&quot;??_р_._-;_-@_-">
                  <c:v>7.4015537190082945</c:v>
                </c:pt>
                <c:pt idx="677" formatCode="_-* #,##0.00_р_._-;\-* #,##0.00_р_._-;_-* &quot;-&quot;??_р_._-;_-@_-">
                  <c:v>7.4007768595041625</c:v>
                </c:pt>
                <c:pt idx="678">
                  <c:v>7.4</c:v>
                </c:pt>
              </c:numCache>
            </c:numRef>
          </c:val>
        </c:ser>
        <c:ser>
          <c:idx val="0"/>
          <c:order val="3"/>
          <c:spPr>
            <a:gradFill flip="none" rotWithShape="1">
              <a:gsLst>
                <a:gs pos="11000">
                  <a:schemeClr val="accent3">
                    <a:lumMod val="40000"/>
                    <a:lumOff val="60000"/>
                  </a:schemeClr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16200000" scaled="0"/>
              <a:tileRect/>
            </a:gradFill>
            <a:ln>
              <a:noFill/>
            </a:ln>
          </c:spPr>
          <c:cat>
            <c:numRef>
              <c:f>(Лист4!$C$5:$C$562,Лист4!$B$563:$B$783)</c:f>
              <c:numCache>
                <c:formatCode>dd/mm/yyyy</c:formatCode>
                <c:ptCount val="779"/>
                <c:pt idx="0" formatCode="dd\.mm\.yyyy">
                  <c:v>38353</c:v>
                </c:pt>
                <c:pt idx="1">
                  <c:v>38359</c:v>
                </c:pt>
                <c:pt idx="2">
                  <c:v>38366</c:v>
                </c:pt>
                <c:pt idx="3">
                  <c:v>38373</c:v>
                </c:pt>
                <c:pt idx="4">
                  <c:v>38380</c:v>
                </c:pt>
                <c:pt idx="5">
                  <c:v>38387</c:v>
                </c:pt>
                <c:pt idx="6">
                  <c:v>38394</c:v>
                </c:pt>
                <c:pt idx="7">
                  <c:v>38401</c:v>
                </c:pt>
                <c:pt idx="8">
                  <c:v>38408</c:v>
                </c:pt>
                <c:pt idx="9">
                  <c:v>38415</c:v>
                </c:pt>
                <c:pt idx="10">
                  <c:v>38422</c:v>
                </c:pt>
                <c:pt idx="11">
                  <c:v>38429</c:v>
                </c:pt>
                <c:pt idx="12">
                  <c:v>38436</c:v>
                </c:pt>
                <c:pt idx="13">
                  <c:v>38443</c:v>
                </c:pt>
                <c:pt idx="14">
                  <c:v>38450</c:v>
                </c:pt>
                <c:pt idx="15">
                  <c:v>38457</c:v>
                </c:pt>
                <c:pt idx="16">
                  <c:v>38464</c:v>
                </c:pt>
                <c:pt idx="17">
                  <c:v>38471</c:v>
                </c:pt>
                <c:pt idx="18">
                  <c:v>38478</c:v>
                </c:pt>
                <c:pt idx="19">
                  <c:v>38485</c:v>
                </c:pt>
                <c:pt idx="20">
                  <c:v>38492</c:v>
                </c:pt>
                <c:pt idx="21">
                  <c:v>38499</c:v>
                </c:pt>
                <c:pt idx="22">
                  <c:v>38506</c:v>
                </c:pt>
                <c:pt idx="23">
                  <c:v>38513</c:v>
                </c:pt>
                <c:pt idx="24">
                  <c:v>38520</c:v>
                </c:pt>
                <c:pt idx="25">
                  <c:v>38527</c:v>
                </c:pt>
                <c:pt idx="26">
                  <c:v>38534</c:v>
                </c:pt>
                <c:pt idx="27">
                  <c:v>38541</c:v>
                </c:pt>
                <c:pt idx="28">
                  <c:v>38548</c:v>
                </c:pt>
                <c:pt idx="29">
                  <c:v>38555</c:v>
                </c:pt>
                <c:pt idx="30">
                  <c:v>38562</c:v>
                </c:pt>
                <c:pt idx="31">
                  <c:v>38569</c:v>
                </c:pt>
                <c:pt idx="32">
                  <c:v>38576</c:v>
                </c:pt>
                <c:pt idx="33">
                  <c:v>38583</c:v>
                </c:pt>
                <c:pt idx="34">
                  <c:v>38590</c:v>
                </c:pt>
                <c:pt idx="35">
                  <c:v>38597</c:v>
                </c:pt>
                <c:pt idx="36">
                  <c:v>38604</c:v>
                </c:pt>
                <c:pt idx="37">
                  <c:v>38611</c:v>
                </c:pt>
                <c:pt idx="38">
                  <c:v>38618</c:v>
                </c:pt>
                <c:pt idx="39">
                  <c:v>38625</c:v>
                </c:pt>
                <c:pt idx="40">
                  <c:v>38632</c:v>
                </c:pt>
                <c:pt idx="41">
                  <c:v>38639</c:v>
                </c:pt>
                <c:pt idx="42">
                  <c:v>38646</c:v>
                </c:pt>
                <c:pt idx="43">
                  <c:v>38653</c:v>
                </c:pt>
                <c:pt idx="44">
                  <c:v>38660</c:v>
                </c:pt>
                <c:pt idx="45">
                  <c:v>38667</c:v>
                </c:pt>
                <c:pt idx="46">
                  <c:v>38674</c:v>
                </c:pt>
                <c:pt idx="47">
                  <c:v>38681</c:v>
                </c:pt>
                <c:pt idx="48">
                  <c:v>38688</c:v>
                </c:pt>
                <c:pt idx="49">
                  <c:v>38695</c:v>
                </c:pt>
                <c:pt idx="50">
                  <c:v>38702</c:v>
                </c:pt>
                <c:pt idx="51">
                  <c:v>38709</c:v>
                </c:pt>
                <c:pt idx="52">
                  <c:v>38716</c:v>
                </c:pt>
                <c:pt idx="53">
                  <c:v>38723</c:v>
                </c:pt>
                <c:pt idx="54">
                  <c:v>38730</c:v>
                </c:pt>
                <c:pt idx="55">
                  <c:v>38737</c:v>
                </c:pt>
                <c:pt idx="56">
                  <c:v>38744</c:v>
                </c:pt>
                <c:pt idx="57">
                  <c:v>38751</c:v>
                </c:pt>
                <c:pt idx="58">
                  <c:v>38758</c:v>
                </c:pt>
                <c:pt idx="59">
                  <c:v>38765</c:v>
                </c:pt>
                <c:pt idx="60">
                  <c:v>38772</c:v>
                </c:pt>
                <c:pt idx="61">
                  <c:v>38779</c:v>
                </c:pt>
                <c:pt idx="62">
                  <c:v>38786</c:v>
                </c:pt>
                <c:pt idx="63">
                  <c:v>38793</c:v>
                </c:pt>
                <c:pt idx="64">
                  <c:v>38800</c:v>
                </c:pt>
                <c:pt idx="65">
                  <c:v>38807</c:v>
                </c:pt>
                <c:pt idx="66">
                  <c:v>38814</c:v>
                </c:pt>
                <c:pt idx="67">
                  <c:v>38821</c:v>
                </c:pt>
                <c:pt idx="68">
                  <c:v>38828</c:v>
                </c:pt>
                <c:pt idx="69">
                  <c:v>38835</c:v>
                </c:pt>
                <c:pt idx="70">
                  <c:v>38842</c:v>
                </c:pt>
                <c:pt idx="71">
                  <c:v>38849</c:v>
                </c:pt>
                <c:pt idx="72">
                  <c:v>38856</c:v>
                </c:pt>
                <c:pt idx="73">
                  <c:v>38863</c:v>
                </c:pt>
                <c:pt idx="74">
                  <c:v>38870</c:v>
                </c:pt>
                <c:pt idx="75">
                  <c:v>38877</c:v>
                </c:pt>
                <c:pt idx="76">
                  <c:v>38884</c:v>
                </c:pt>
                <c:pt idx="77">
                  <c:v>38891</c:v>
                </c:pt>
                <c:pt idx="78">
                  <c:v>38898</c:v>
                </c:pt>
                <c:pt idx="79">
                  <c:v>38905</c:v>
                </c:pt>
                <c:pt idx="80">
                  <c:v>38912</c:v>
                </c:pt>
                <c:pt idx="81">
                  <c:v>38919</c:v>
                </c:pt>
                <c:pt idx="82">
                  <c:v>38926</c:v>
                </c:pt>
                <c:pt idx="83">
                  <c:v>38933</c:v>
                </c:pt>
                <c:pt idx="84">
                  <c:v>38940</c:v>
                </c:pt>
                <c:pt idx="85">
                  <c:v>38947</c:v>
                </c:pt>
                <c:pt idx="86">
                  <c:v>38954</c:v>
                </c:pt>
                <c:pt idx="87">
                  <c:v>38961</c:v>
                </c:pt>
                <c:pt idx="88">
                  <c:v>38968</c:v>
                </c:pt>
                <c:pt idx="89">
                  <c:v>38975</c:v>
                </c:pt>
                <c:pt idx="90">
                  <c:v>38982</c:v>
                </c:pt>
                <c:pt idx="91">
                  <c:v>38989</c:v>
                </c:pt>
                <c:pt idx="92">
                  <c:v>38996</c:v>
                </c:pt>
                <c:pt idx="93">
                  <c:v>39003</c:v>
                </c:pt>
                <c:pt idx="94">
                  <c:v>39010</c:v>
                </c:pt>
                <c:pt idx="95">
                  <c:v>39017</c:v>
                </c:pt>
                <c:pt idx="96">
                  <c:v>39024</c:v>
                </c:pt>
                <c:pt idx="97">
                  <c:v>39031</c:v>
                </c:pt>
                <c:pt idx="98">
                  <c:v>39038</c:v>
                </c:pt>
                <c:pt idx="99">
                  <c:v>39045</c:v>
                </c:pt>
                <c:pt idx="100">
                  <c:v>39052</c:v>
                </c:pt>
                <c:pt idx="101">
                  <c:v>39059</c:v>
                </c:pt>
                <c:pt idx="102">
                  <c:v>39066</c:v>
                </c:pt>
                <c:pt idx="103">
                  <c:v>39073</c:v>
                </c:pt>
                <c:pt idx="104">
                  <c:v>39080</c:v>
                </c:pt>
                <c:pt idx="105">
                  <c:v>39087</c:v>
                </c:pt>
                <c:pt idx="106">
                  <c:v>39094</c:v>
                </c:pt>
                <c:pt idx="107">
                  <c:v>39101</c:v>
                </c:pt>
                <c:pt idx="108">
                  <c:v>39108</c:v>
                </c:pt>
                <c:pt idx="109">
                  <c:v>39115</c:v>
                </c:pt>
                <c:pt idx="110">
                  <c:v>39122</c:v>
                </c:pt>
                <c:pt idx="111">
                  <c:v>39129</c:v>
                </c:pt>
                <c:pt idx="112">
                  <c:v>39136</c:v>
                </c:pt>
                <c:pt idx="113">
                  <c:v>39143</c:v>
                </c:pt>
                <c:pt idx="114">
                  <c:v>39150</c:v>
                </c:pt>
                <c:pt idx="115">
                  <c:v>39157</c:v>
                </c:pt>
                <c:pt idx="116">
                  <c:v>39164</c:v>
                </c:pt>
                <c:pt idx="117">
                  <c:v>39171</c:v>
                </c:pt>
                <c:pt idx="118">
                  <c:v>39178</c:v>
                </c:pt>
                <c:pt idx="119">
                  <c:v>39185</c:v>
                </c:pt>
                <c:pt idx="120">
                  <c:v>39192</c:v>
                </c:pt>
                <c:pt idx="121">
                  <c:v>39199</c:v>
                </c:pt>
                <c:pt idx="122">
                  <c:v>39206</c:v>
                </c:pt>
                <c:pt idx="123">
                  <c:v>39213</c:v>
                </c:pt>
                <c:pt idx="124">
                  <c:v>39220</c:v>
                </c:pt>
                <c:pt idx="125">
                  <c:v>39227</c:v>
                </c:pt>
                <c:pt idx="126">
                  <c:v>39234</c:v>
                </c:pt>
                <c:pt idx="127">
                  <c:v>39241</c:v>
                </c:pt>
                <c:pt idx="128">
                  <c:v>39248</c:v>
                </c:pt>
                <c:pt idx="129">
                  <c:v>39255</c:v>
                </c:pt>
                <c:pt idx="130">
                  <c:v>39262</c:v>
                </c:pt>
                <c:pt idx="131">
                  <c:v>39269</c:v>
                </c:pt>
                <c:pt idx="132">
                  <c:v>39276</c:v>
                </c:pt>
                <c:pt idx="133">
                  <c:v>39283</c:v>
                </c:pt>
                <c:pt idx="134">
                  <c:v>39290</c:v>
                </c:pt>
                <c:pt idx="135">
                  <c:v>39297</c:v>
                </c:pt>
                <c:pt idx="136">
                  <c:v>39304</c:v>
                </c:pt>
                <c:pt idx="137">
                  <c:v>39311</c:v>
                </c:pt>
                <c:pt idx="138">
                  <c:v>39318</c:v>
                </c:pt>
                <c:pt idx="139">
                  <c:v>39325</c:v>
                </c:pt>
                <c:pt idx="140">
                  <c:v>39332</c:v>
                </c:pt>
                <c:pt idx="141">
                  <c:v>39339</c:v>
                </c:pt>
                <c:pt idx="142">
                  <c:v>39346</c:v>
                </c:pt>
                <c:pt idx="143">
                  <c:v>39353</c:v>
                </c:pt>
                <c:pt idx="144">
                  <c:v>39360</c:v>
                </c:pt>
                <c:pt idx="145">
                  <c:v>39367</c:v>
                </c:pt>
                <c:pt idx="146">
                  <c:v>39374</c:v>
                </c:pt>
                <c:pt idx="147">
                  <c:v>39381</c:v>
                </c:pt>
                <c:pt idx="148">
                  <c:v>39388</c:v>
                </c:pt>
                <c:pt idx="149">
                  <c:v>39395</c:v>
                </c:pt>
                <c:pt idx="150">
                  <c:v>39402</c:v>
                </c:pt>
                <c:pt idx="151">
                  <c:v>39409</c:v>
                </c:pt>
                <c:pt idx="152">
                  <c:v>39416</c:v>
                </c:pt>
                <c:pt idx="153">
                  <c:v>39423</c:v>
                </c:pt>
                <c:pt idx="154">
                  <c:v>39430</c:v>
                </c:pt>
                <c:pt idx="155">
                  <c:v>39437</c:v>
                </c:pt>
                <c:pt idx="156">
                  <c:v>39444</c:v>
                </c:pt>
                <c:pt idx="157">
                  <c:v>39451</c:v>
                </c:pt>
                <c:pt idx="158">
                  <c:v>39458</c:v>
                </c:pt>
                <c:pt idx="159">
                  <c:v>39465</c:v>
                </c:pt>
                <c:pt idx="160">
                  <c:v>39472</c:v>
                </c:pt>
                <c:pt idx="161">
                  <c:v>39479</c:v>
                </c:pt>
                <c:pt idx="162">
                  <c:v>39486</c:v>
                </c:pt>
                <c:pt idx="163">
                  <c:v>39493</c:v>
                </c:pt>
                <c:pt idx="164">
                  <c:v>39500</c:v>
                </c:pt>
                <c:pt idx="165">
                  <c:v>39507</c:v>
                </c:pt>
                <c:pt idx="166">
                  <c:v>39514</c:v>
                </c:pt>
                <c:pt idx="167">
                  <c:v>39521</c:v>
                </c:pt>
                <c:pt idx="168">
                  <c:v>39528</c:v>
                </c:pt>
                <c:pt idx="169">
                  <c:v>39535</c:v>
                </c:pt>
                <c:pt idx="170">
                  <c:v>39542</c:v>
                </c:pt>
                <c:pt idx="171">
                  <c:v>39549</c:v>
                </c:pt>
                <c:pt idx="172">
                  <c:v>39556</c:v>
                </c:pt>
                <c:pt idx="173">
                  <c:v>39563</c:v>
                </c:pt>
                <c:pt idx="174">
                  <c:v>39570</c:v>
                </c:pt>
                <c:pt idx="175">
                  <c:v>39577</c:v>
                </c:pt>
                <c:pt idx="176">
                  <c:v>39584</c:v>
                </c:pt>
                <c:pt idx="177">
                  <c:v>39591</c:v>
                </c:pt>
                <c:pt idx="178">
                  <c:v>39598</c:v>
                </c:pt>
                <c:pt idx="179">
                  <c:v>39605</c:v>
                </c:pt>
                <c:pt idx="180">
                  <c:v>39612</c:v>
                </c:pt>
                <c:pt idx="181">
                  <c:v>39619</c:v>
                </c:pt>
                <c:pt idx="182">
                  <c:v>39626</c:v>
                </c:pt>
                <c:pt idx="183">
                  <c:v>39633</c:v>
                </c:pt>
                <c:pt idx="184">
                  <c:v>39640</c:v>
                </c:pt>
                <c:pt idx="185">
                  <c:v>39647</c:v>
                </c:pt>
                <c:pt idx="186">
                  <c:v>39654</c:v>
                </c:pt>
                <c:pt idx="187">
                  <c:v>39661</c:v>
                </c:pt>
                <c:pt idx="188">
                  <c:v>39668</c:v>
                </c:pt>
                <c:pt idx="189">
                  <c:v>39675</c:v>
                </c:pt>
                <c:pt idx="190">
                  <c:v>39682</c:v>
                </c:pt>
                <c:pt idx="191">
                  <c:v>39689</c:v>
                </c:pt>
                <c:pt idx="192">
                  <c:v>39696</c:v>
                </c:pt>
                <c:pt idx="193">
                  <c:v>39703</c:v>
                </c:pt>
                <c:pt idx="194">
                  <c:v>39710</c:v>
                </c:pt>
                <c:pt idx="195">
                  <c:v>39717</c:v>
                </c:pt>
                <c:pt idx="196">
                  <c:v>39724</c:v>
                </c:pt>
                <c:pt idx="197">
                  <c:v>39731</c:v>
                </c:pt>
                <c:pt idx="198">
                  <c:v>39738</c:v>
                </c:pt>
                <c:pt idx="199">
                  <c:v>39745</c:v>
                </c:pt>
                <c:pt idx="200">
                  <c:v>39752</c:v>
                </c:pt>
                <c:pt idx="201">
                  <c:v>39759</c:v>
                </c:pt>
                <c:pt idx="202">
                  <c:v>39766</c:v>
                </c:pt>
                <c:pt idx="203">
                  <c:v>39773</c:v>
                </c:pt>
                <c:pt idx="204">
                  <c:v>39780</c:v>
                </c:pt>
                <c:pt idx="205">
                  <c:v>39787</c:v>
                </c:pt>
                <c:pt idx="206">
                  <c:v>39794</c:v>
                </c:pt>
                <c:pt idx="207">
                  <c:v>39801</c:v>
                </c:pt>
                <c:pt idx="208">
                  <c:v>39808</c:v>
                </c:pt>
                <c:pt idx="209">
                  <c:v>39815</c:v>
                </c:pt>
                <c:pt idx="210">
                  <c:v>39822</c:v>
                </c:pt>
                <c:pt idx="211">
                  <c:v>39829</c:v>
                </c:pt>
                <c:pt idx="212">
                  <c:v>39836</c:v>
                </c:pt>
                <c:pt idx="213">
                  <c:v>39843</c:v>
                </c:pt>
                <c:pt idx="214">
                  <c:v>39850</c:v>
                </c:pt>
                <c:pt idx="215">
                  <c:v>39857</c:v>
                </c:pt>
                <c:pt idx="216">
                  <c:v>39864</c:v>
                </c:pt>
                <c:pt idx="217">
                  <c:v>39871</c:v>
                </c:pt>
                <c:pt idx="218">
                  <c:v>39878</c:v>
                </c:pt>
                <c:pt idx="219">
                  <c:v>39885</c:v>
                </c:pt>
                <c:pt idx="220">
                  <c:v>39892</c:v>
                </c:pt>
                <c:pt idx="221">
                  <c:v>39899</c:v>
                </c:pt>
                <c:pt idx="222">
                  <c:v>39906</c:v>
                </c:pt>
                <c:pt idx="223">
                  <c:v>39913</c:v>
                </c:pt>
                <c:pt idx="224">
                  <c:v>39920</c:v>
                </c:pt>
                <c:pt idx="225">
                  <c:v>39927</c:v>
                </c:pt>
                <c:pt idx="226">
                  <c:v>39934</c:v>
                </c:pt>
                <c:pt idx="227">
                  <c:v>39941</c:v>
                </c:pt>
                <c:pt idx="228">
                  <c:v>39948</c:v>
                </c:pt>
                <c:pt idx="229">
                  <c:v>39955</c:v>
                </c:pt>
                <c:pt idx="230">
                  <c:v>39962</c:v>
                </c:pt>
                <c:pt idx="231">
                  <c:v>39969</c:v>
                </c:pt>
                <c:pt idx="232">
                  <c:v>39976</c:v>
                </c:pt>
                <c:pt idx="233">
                  <c:v>39983</c:v>
                </c:pt>
                <c:pt idx="234">
                  <c:v>39990</c:v>
                </c:pt>
                <c:pt idx="235">
                  <c:v>39997</c:v>
                </c:pt>
                <c:pt idx="236">
                  <c:v>40004</c:v>
                </c:pt>
                <c:pt idx="237">
                  <c:v>40011</c:v>
                </c:pt>
                <c:pt idx="238">
                  <c:v>40018</c:v>
                </c:pt>
                <c:pt idx="239">
                  <c:v>40025</c:v>
                </c:pt>
                <c:pt idx="240">
                  <c:v>40032</c:v>
                </c:pt>
                <c:pt idx="241">
                  <c:v>40039</c:v>
                </c:pt>
                <c:pt idx="242">
                  <c:v>40046</c:v>
                </c:pt>
                <c:pt idx="243">
                  <c:v>40053</c:v>
                </c:pt>
                <c:pt idx="244">
                  <c:v>40060</c:v>
                </c:pt>
                <c:pt idx="245">
                  <c:v>40067</c:v>
                </c:pt>
                <c:pt idx="246">
                  <c:v>40074</c:v>
                </c:pt>
                <c:pt idx="247">
                  <c:v>40081</c:v>
                </c:pt>
                <c:pt idx="248">
                  <c:v>40088</c:v>
                </c:pt>
                <c:pt idx="249">
                  <c:v>40095</c:v>
                </c:pt>
                <c:pt idx="250">
                  <c:v>40102</c:v>
                </c:pt>
                <c:pt idx="251">
                  <c:v>40109</c:v>
                </c:pt>
                <c:pt idx="252">
                  <c:v>40116</c:v>
                </c:pt>
                <c:pt idx="253">
                  <c:v>40123</c:v>
                </c:pt>
                <c:pt idx="254">
                  <c:v>40130</c:v>
                </c:pt>
                <c:pt idx="255">
                  <c:v>40137</c:v>
                </c:pt>
                <c:pt idx="256">
                  <c:v>40144</c:v>
                </c:pt>
                <c:pt idx="257">
                  <c:v>40151</c:v>
                </c:pt>
                <c:pt idx="258">
                  <c:v>40158</c:v>
                </c:pt>
                <c:pt idx="259">
                  <c:v>40165</c:v>
                </c:pt>
                <c:pt idx="260">
                  <c:v>40172</c:v>
                </c:pt>
                <c:pt idx="261">
                  <c:v>40179</c:v>
                </c:pt>
                <c:pt idx="262">
                  <c:v>40186</c:v>
                </c:pt>
                <c:pt idx="263">
                  <c:v>40193</c:v>
                </c:pt>
                <c:pt idx="264">
                  <c:v>40200</c:v>
                </c:pt>
                <c:pt idx="265">
                  <c:v>40207</c:v>
                </c:pt>
                <c:pt idx="266">
                  <c:v>40214</c:v>
                </c:pt>
                <c:pt idx="267">
                  <c:v>40221</c:v>
                </c:pt>
                <c:pt idx="268">
                  <c:v>40228</c:v>
                </c:pt>
                <c:pt idx="269">
                  <c:v>40235</c:v>
                </c:pt>
                <c:pt idx="270">
                  <c:v>40242</c:v>
                </c:pt>
                <c:pt idx="271">
                  <c:v>40249</c:v>
                </c:pt>
                <c:pt idx="272">
                  <c:v>40256</c:v>
                </c:pt>
                <c:pt idx="273">
                  <c:v>40263</c:v>
                </c:pt>
                <c:pt idx="274">
                  <c:v>40270</c:v>
                </c:pt>
                <c:pt idx="275">
                  <c:v>40277</c:v>
                </c:pt>
                <c:pt idx="276">
                  <c:v>40284</c:v>
                </c:pt>
                <c:pt idx="277">
                  <c:v>40291</c:v>
                </c:pt>
                <c:pt idx="278">
                  <c:v>40298</c:v>
                </c:pt>
                <c:pt idx="279">
                  <c:v>40305</c:v>
                </c:pt>
                <c:pt idx="280">
                  <c:v>40312</c:v>
                </c:pt>
                <c:pt idx="281">
                  <c:v>40319</c:v>
                </c:pt>
                <c:pt idx="282">
                  <c:v>40326</c:v>
                </c:pt>
                <c:pt idx="283">
                  <c:v>40333</c:v>
                </c:pt>
                <c:pt idx="284">
                  <c:v>40340</c:v>
                </c:pt>
                <c:pt idx="285">
                  <c:v>40347</c:v>
                </c:pt>
                <c:pt idx="286">
                  <c:v>40354</c:v>
                </c:pt>
                <c:pt idx="287">
                  <c:v>40361</c:v>
                </c:pt>
                <c:pt idx="288">
                  <c:v>40368</c:v>
                </c:pt>
                <c:pt idx="289">
                  <c:v>40375</c:v>
                </c:pt>
                <c:pt idx="290">
                  <c:v>40382</c:v>
                </c:pt>
                <c:pt idx="291">
                  <c:v>40389</c:v>
                </c:pt>
                <c:pt idx="292">
                  <c:v>40396</c:v>
                </c:pt>
                <c:pt idx="293">
                  <c:v>40403</c:v>
                </c:pt>
                <c:pt idx="294">
                  <c:v>40410</c:v>
                </c:pt>
                <c:pt idx="295">
                  <c:v>40417</c:v>
                </c:pt>
                <c:pt idx="296">
                  <c:v>40424</c:v>
                </c:pt>
                <c:pt idx="297">
                  <c:v>40431</c:v>
                </c:pt>
                <c:pt idx="298">
                  <c:v>40438</c:v>
                </c:pt>
                <c:pt idx="299">
                  <c:v>40445</c:v>
                </c:pt>
                <c:pt idx="300">
                  <c:v>40452</c:v>
                </c:pt>
                <c:pt idx="301">
                  <c:v>40459</c:v>
                </c:pt>
                <c:pt idx="302">
                  <c:v>40466</c:v>
                </c:pt>
                <c:pt idx="303">
                  <c:v>40473</c:v>
                </c:pt>
                <c:pt idx="304">
                  <c:v>40480</c:v>
                </c:pt>
                <c:pt idx="305">
                  <c:v>40487</c:v>
                </c:pt>
                <c:pt idx="306">
                  <c:v>40494</c:v>
                </c:pt>
                <c:pt idx="307">
                  <c:v>40501</c:v>
                </c:pt>
                <c:pt idx="308">
                  <c:v>40508</c:v>
                </c:pt>
                <c:pt idx="309">
                  <c:v>40515</c:v>
                </c:pt>
                <c:pt idx="310">
                  <c:v>40522</c:v>
                </c:pt>
                <c:pt idx="311">
                  <c:v>40529</c:v>
                </c:pt>
                <c:pt idx="312">
                  <c:v>40536</c:v>
                </c:pt>
                <c:pt idx="313">
                  <c:v>40543</c:v>
                </c:pt>
                <c:pt idx="314">
                  <c:v>40550</c:v>
                </c:pt>
                <c:pt idx="315">
                  <c:v>40557</c:v>
                </c:pt>
                <c:pt idx="316">
                  <c:v>40564</c:v>
                </c:pt>
                <c:pt idx="317">
                  <c:v>40571</c:v>
                </c:pt>
                <c:pt idx="318">
                  <c:v>40578</c:v>
                </c:pt>
                <c:pt idx="319">
                  <c:v>40585</c:v>
                </c:pt>
                <c:pt idx="320">
                  <c:v>40592</c:v>
                </c:pt>
                <c:pt idx="321">
                  <c:v>40599</c:v>
                </c:pt>
                <c:pt idx="322">
                  <c:v>40606</c:v>
                </c:pt>
                <c:pt idx="323">
                  <c:v>40613</c:v>
                </c:pt>
                <c:pt idx="324">
                  <c:v>40620</c:v>
                </c:pt>
                <c:pt idx="325">
                  <c:v>40627</c:v>
                </c:pt>
                <c:pt idx="326">
                  <c:v>40634</c:v>
                </c:pt>
                <c:pt idx="327">
                  <c:v>40641</c:v>
                </c:pt>
                <c:pt idx="328">
                  <c:v>40648</c:v>
                </c:pt>
                <c:pt idx="329">
                  <c:v>40655</c:v>
                </c:pt>
                <c:pt idx="330">
                  <c:v>40662</c:v>
                </c:pt>
                <c:pt idx="331">
                  <c:v>40669</c:v>
                </c:pt>
                <c:pt idx="332">
                  <c:v>40676</c:v>
                </c:pt>
                <c:pt idx="333">
                  <c:v>40683</c:v>
                </c:pt>
                <c:pt idx="334">
                  <c:v>40690</c:v>
                </c:pt>
                <c:pt idx="335">
                  <c:v>40697</c:v>
                </c:pt>
                <c:pt idx="336">
                  <c:v>40704</c:v>
                </c:pt>
                <c:pt idx="337">
                  <c:v>40711</c:v>
                </c:pt>
                <c:pt idx="338">
                  <c:v>40718</c:v>
                </c:pt>
                <c:pt idx="339">
                  <c:v>40725</c:v>
                </c:pt>
                <c:pt idx="340">
                  <c:v>40732</c:v>
                </c:pt>
                <c:pt idx="341">
                  <c:v>40739</c:v>
                </c:pt>
                <c:pt idx="342">
                  <c:v>40746</c:v>
                </c:pt>
                <c:pt idx="343">
                  <c:v>40753</c:v>
                </c:pt>
                <c:pt idx="344">
                  <c:v>40760</c:v>
                </c:pt>
                <c:pt idx="345">
                  <c:v>40767</c:v>
                </c:pt>
                <c:pt idx="346">
                  <c:v>40774</c:v>
                </c:pt>
                <c:pt idx="347">
                  <c:v>40781</c:v>
                </c:pt>
                <c:pt idx="348">
                  <c:v>40788</c:v>
                </c:pt>
                <c:pt idx="349">
                  <c:v>40795</c:v>
                </c:pt>
                <c:pt idx="350">
                  <c:v>40802</c:v>
                </c:pt>
                <c:pt idx="351">
                  <c:v>40809</c:v>
                </c:pt>
                <c:pt idx="352">
                  <c:v>40816</c:v>
                </c:pt>
                <c:pt idx="353">
                  <c:v>40823</c:v>
                </c:pt>
                <c:pt idx="354">
                  <c:v>40830</c:v>
                </c:pt>
                <c:pt idx="355">
                  <c:v>40837</c:v>
                </c:pt>
                <c:pt idx="356">
                  <c:v>40844</c:v>
                </c:pt>
                <c:pt idx="357">
                  <c:v>40851</c:v>
                </c:pt>
                <c:pt idx="358">
                  <c:v>40858</c:v>
                </c:pt>
                <c:pt idx="359">
                  <c:v>40865</c:v>
                </c:pt>
                <c:pt idx="360">
                  <c:v>40872</c:v>
                </c:pt>
                <c:pt idx="361">
                  <c:v>40879</c:v>
                </c:pt>
                <c:pt idx="362">
                  <c:v>40886</c:v>
                </c:pt>
                <c:pt idx="363">
                  <c:v>40893</c:v>
                </c:pt>
                <c:pt idx="364">
                  <c:v>40900</c:v>
                </c:pt>
                <c:pt idx="365">
                  <c:v>40907</c:v>
                </c:pt>
                <c:pt idx="366">
                  <c:v>40914</c:v>
                </c:pt>
                <c:pt idx="367">
                  <c:v>40921</c:v>
                </c:pt>
                <c:pt idx="368">
                  <c:v>40928</c:v>
                </c:pt>
                <c:pt idx="369">
                  <c:v>40935</c:v>
                </c:pt>
                <c:pt idx="370">
                  <c:v>40942</c:v>
                </c:pt>
                <c:pt idx="371">
                  <c:v>40949</c:v>
                </c:pt>
                <c:pt idx="372">
                  <c:v>40956</c:v>
                </c:pt>
                <c:pt idx="373">
                  <c:v>40963</c:v>
                </c:pt>
                <c:pt idx="374">
                  <c:v>40970</c:v>
                </c:pt>
                <c:pt idx="375">
                  <c:v>40977</c:v>
                </c:pt>
                <c:pt idx="376">
                  <c:v>40984</c:v>
                </c:pt>
                <c:pt idx="377">
                  <c:v>40991</c:v>
                </c:pt>
                <c:pt idx="378">
                  <c:v>40998</c:v>
                </c:pt>
                <c:pt idx="379">
                  <c:v>41005</c:v>
                </c:pt>
                <c:pt idx="380">
                  <c:v>41012</c:v>
                </c:pt>
                <c:pt idx="381">
                  <c:v>41019</c:v>
                </c:pt>
                <c:pt idx="382">
                  <c:v>41026</c:v>
                </c:pt>
                <c:pt idx="383">
                  <c:v>41033</c:v>
                </c:pt>
                <c:pt idx="384">
                  <c:v>41040</c:v>
                </c:pt>
                <c:pt idx="385">
                  <c:v>41047</c:v>
                </c:pt>
                <c:pt idx="386">
                  <c:v>41054</c:v>
                </c:pt>
                <c:pt idx="387">
                  <c:v>41061</c:v>
                </c:pt>
                <c:pt idx="388">
                  <c:v>41068</c:v>
                </c:pt>
                <c:pt idx="389">
                  <c:v>41075</c:v>
                </c:pt>
                <c:pt idx="390">
                  <c:v>41082</c:v>
                </c:pt>
                <c:pt idx="391">
                  <c:v>41089</c:v>
                </c:pt>
                <c:pt idx="392">
                  <c:v>41096</c:v>
                </c:pt>
                <c:pt idx="393">
                  <c:v>41103</c:v>
                </c:pt>
                <c:pt idx="394">
                  <c:v>41110</c:v>
                </c:pt>
                <c:pt idx="395">
                  <c:v>41117</c:v>
                </c:pt>
                <c:pt idx="396">
                  <c:v>41124</c:v>
                </c:pt>
                <c:pt idx="397">
                  <c:v>41131</c:v>
                </c:pt>
                <c:pt idx="398">
                  <c:v>41138</c:v>
                </c:pt>
                <c:pt idx="399">
                  <c:v>41145</c:v>
                </c:pt>
                <c:pt idx="400">
                  <c:v>41152</c:v>
                </c:pt>
                <c:pt idx="401">
                  <c:v>41159</c:v>
                </c:pt>
                <c:pt idx="402">
                  <c:v>41166</c:v>
                </c:pt>
                <c:pt idx="403">
                  <c:v>41173</c:v>
                </c:pt>
                <c:pt idx="404">
                  <c:v>41180</c:v>
                </c:pt>
                <c:pt idx="405">
                  <c:v>41187</c:v>
                </c:pt>
                <c:pt idx="406">
                  <c:v>41194</c:v>
                </c:pt>
                <c:pt idx="407">
                  <c:v>41201</c:v>
                </c:pt>
                <c:pt idx="408">
                  <c:v>41208</c:v>
                </c:pt>
                <c:pt idx="409">
                  <c:v>41215</c:v>
                </c:pt>
                <c:pt idx="410">
                  <c:v>41222</c:v>
                </c:pt>
                <c:pt idx="411">
                  <c:v>41229</c:v>
                </c:pt>
                <c:pt idx="412">
                  <c:v>41236</c:v>
                </c:pt>
                <c:pt idx="413">
                  <c:v>41243</c:v>
                </c:pt>
                <c:pt idx="414">
                  <c:v>41250</c:v>
                </c:pt>
                <c:pt idx="415">
                  <c:v>41257</c:v>
                </c:pt>
                <c:pt idx="416">
                  <c:v>41264</c:v>
                </c:pt>
                <c:pt idx="417">
                  <c:v>41271</c:v>
                </c:pt>
                <c:pt idx="418">
                  <c:v>41278</c:v>
                </c:pt>
                <c:pt idx="419">
                  <c:v>41285</c:v>
                </c:pt>
                <c:pt idx="420">
                  <c:v>41292</c:v>
                </c:pt>
                <c:pt idx="421">
                  <c:v>41299</c:v>
                </c:pt>
                <c:pt idx="422">
                  <c:v>41306</c:v>
                </c:pt>
                <c:pt idx="423">
                  <c:v>41313</c:v>
                </c:pt>
                <c:pt idx="424">
                  <c:v>41320</c:v>
                </c:pt>
                <c:pt idx="425">
                  <c:v>41327</c:v>
                </c:pt>
                <c:pt idx="426">
                  <c:v>41334</c:v>
                </c:pt>
                <c:pt idx="427">
                  <c:v>41341</c:v>
                </c:pt>
                <c:pt idx="428">
                  <c:v>41348</c:v>
                </c:pt>
                <c:pt idx="429">
                  <c:v>41355</c:v>
                </c:pt>
                <c:pt idx="430">
                  <c:v>41362</c:v>
                </c:pt>
                <c:pt idx="431">
                  <c:v>41369</c:v>
                </c:pt>
                <c:pt idx="432">
                  <c:v>41376</c:v>
                </c:pt>
                <c:pt idx="433">
                  <c:v>41383</c:v>
                </c:pt>
                <c:pt idx="434">
                  <c:v>41390</c:v>
                </c:pt>
                <c:pt idx="435">
                  <c:v>41397</c:v>
                </c:pt>
                <c:pt idx="436">
                  <c:v>41404</c:v>
                </c:pt>
                <c:pt idx="437">
                  <c:v>41411</c:v>
                </c:pt>
                <c:pt idx="438">
                  <c:v>41418</c:v>
                </c:pt>
                <c:pt idx="439">
                  <c:v>41425</c:v>
                </c:pt>
                <c:pt idx="440">
                  <c:v>41432</c:v>
                </c:pt>
                <c:pt idx="441">
                  <c:v>41439</c:v>
                </c:pt>
                <c:pt idx="442">
                  <c:v>41446</c:v>
                </c:pt>
                <c:pt idx="443">
                  <c:v>41453</c:v>
                </c:pt>
                <c:pt idx="444">
                  <c:v>41460</c:v>
                </c:pt>
                <c:pt idx="445">
                  <c:v>41467</c:v>
                </c:pt>
                <c:pt idx="446">
                  <c:v>41474</c:v>
                </c:pt>
                <c:pt idx="447">
                  <c:v>41481</c:v>
                </c:pt>
                <c:pt idx="448">
                  <c:v>41488</c:v>
                </c:pt>
                <c:pt idx="449">
                  <c:v>41495</c:v>
                </c:pt>
                <c:pt idx="450">
                  <c:v>41502</c:v>
                </c:pt>
                <c:pt idx="451">
                  <c:v>41509</c:v>
                </c:pt>
                <c:pt idx="452">
                  <c:v>41516</c:v>
                </c:pt>
                <c:pt idx="453">
                  <c:v>41523</c:v>
                </c:pt>
                <c:pt idx="454">
                  <c:v>41530</c:v>
                </c:pt>
                <c:pt idx="455">
                  <c:v>41537</c:v>
                </c:pt>
                <c:pt idx="456">
                  <c:v>41544</c:v>
                </c:pt>
                <c:pt idx="457">
                  <c:v>41551</c:v>
                </c:pt>
                <c:pt idx="458">
                  <c:v>41558</c:v>
                </c:pt>
                <c:pt idx="459">
                  <c:v>41565</c:v>
                </c:pt>
                <c:pt idx="460">
                  <c:v>41572</c:v>
                </c:pt>
                <c:pt idx="461">
                  <c:v>41579</c:v>
                </c:pt>
                <c:pt idx="462">
                  <c:v>41586</c:v>
                </c:pt>
                <c:pt idx="463">
                  <c:v>41593</c:v>
                </c:pt>
                <c:pt idx="464">
                  <c:v>41600</c:v>
                </c:pt>
                <c:pt idx="465">
                  <c:v>41607</c:v>
                </c:pt>
                <c:pt idx="466">
                  <c:v>41614</c:v>
                </c:pt>
                <c:pt idx="467">
                  <c:v>41621</c:v>
                </c:pt>
                <c:pt idx="468">
                  <c:v>41628</c:v>
                </c:pt>
                <c:pt idx="469">
                  <c:v>41635</c:v>
                </c:pt>
                <c:pt idx="470">
                  <c:v>41642</c:v>
                </c:pt>
                <c:pt idx="471">
                  <c:v>41649</c:v>
                </c:pt>
                <c:pt idx="472">
                  <c:v>41656</c:v>
                </c:pt>
                <c:pt idx="473">
                  <c:v>41663</c:v>
                </c:pt>
                <c:pt idx="474">
                  <c:v>41670</c:v>
                </c:pt>
                <c:pt idx="475">
                  <c:v>41677</c:v>
                </c:pt>
                <c:pt idx="476">
                  <c:v>41684</c:v>
                </c:pt>
                <c:pt idx="477">
                  <c:v>41691</c:v>
                </c:pt>
                <c:pt idx="478">
                  <c:v>41698</c:v>
                </c:pt>
                <c:pt idx="479">
                  <c:v>41705</c:v>
                </c:pt>
                <c:pt idx="480">
                  <c:v>41712</c:v>
                </c:pt>
                <c:pt idx="481">
                  <c:v>41719</c:v>
                </c:pt>
                <c:pt idx="482">
                  <c:v>41726</c:v>
                </c:pt>
                <c:pt idx="483">
                  <c:v>41733</c:v>
                </c:pt>
                <c:pt idx="484">
                  <c:v>41740</c:v>
                </c:pt>
                <c:pt idx="485">
                  <c:v>41747</c:v>
                </c:pt>
                <c:pt idx="486">
                  <c:v>41754</c:v>
                </c:pt>
                <c:pt idx="487">
                  <c:v>41761</c:v>
                </c:pt>
                <c:pt idx="488">
                  <c:v>41768</c:v>
                </c:pt>
                <c:pt idx="489">
                  <c:v>41775</c:v>
                </c:pt>
                <c:pt idx="490">
                  <c:v>41782</c:v>
                </c:pt>
                <c:pt idx="491">
                  <c:v>41789</c:v>
                </c:pt>
                <c:pt idx="492">
                  <c:v>41796</c:v>
                </c:pt>
                <c:pt idx="493">
                  <c:v>41803</c:v>
                </c:pt>
                <c:pt idx="494">
                  <c:v>41810</c:v>
                </c:pt>
                <c:pt idx="495">
                  <c:v>41817</c:v>
                </c:pt>
                <c:pt idx="496">
                  <c:v>41824</c:v>
                </c:pt>
                <c:pt idx="497">
                  <c:v>41831</c:v>
                </c:pt>
                <c:pt idx="498">
                  <c:v>41838</c:v>
                </c:pt>
                <c:pt idx="499">
                  <c:v>41845</c:v>
                </c:pt>
                <c:pt idx="500">
                  <c:v>41852</c:v>
                </c:pt>
                <c:pt idx="501">
                  <c:v>41859</c:v>
                </c:pt>
                <c:pt idx="502">
                  <c:v>41866</c:v>
                </c:pt>
                <c:pt idx="503">
                  <c:v>41873</c:v>
                </c:pt>
                <c:pt idx="504">
                  <c:v>41880</c:v>
                </c:pt>
                <c:pt idx="505">
                  <c:v>41887</c:v>
                </c:pt>
                <c:pt idx="506">
                  <c:v>41894</c:v>
                </c:pt>
                <c:pt idx="507">
                  <c:v>41901</c:v>
                </c:pt>
                <c:pt idx="508">
                  <c:v>41908</c:v>
                </c:pt>
                <c:pt idx="509">
                  <c:v>41915</c:v>
                </c:pt>
                <c:pt idx="510">
                  <c:v>41922</c:v>
                </c:pt>
                <c:pt idx="511">
                  <c:v>41929</c:v>
                </c:pt>
                <c:pt idx="512">
                  <c:v>41936</c:v>
                </c:pt>
                <c:pt idx="513">
                  <c:v>41943</c:v>
                </c:pt>
                <c:pt idx="514">
                  <c:v>41950</c:v>
                </c:pt>
                <c:pt idx="515">
                  <c:v>41957</c:v>
                </c:pt>
                <c:pt idx="516">
                  <c:v>41964</c:v>
                </c:pt>
                <c:pt idx="517">
                  <c:v>41971</c:v>
                </c:pt>
                <c:pt idx="518">
                  <c:v>41978</c:v>
                </c:pt>
                <c:pt idx="519">
                  <c:v>41985</c:v>
                </c:pt>
                <c:pt idx="520">
                  <c:v>41992</c:v>
                </c:pt>
                <c:pt idx="521">
                  <c:v>41999</c:v>
                </c:pt>
                <c:pt idx="522">
                  <c:v>42006</c:v>
                </c:pt>
                <c:pt idx="523">
                  <c:v>42013</c:v>
                </c:pt>
                <c:pt idx="524">
                  <c:v>42020</c:v>
                </c:pt>
                <c:pt idx="525">
                  <c:v>42027</c:v>
                </c:pt>
                <c:pt idx="526">
                  <c:v>42034</c:v>
                </c:pt>
                <c:pt idx="527">
                  <c:v>42041</c:v>
                </c:pt>
                <c:pt idx="528">
                  <c:v>42048</c:v>
                </c:pt>
                <c:pt idx="529">
                  <c:v>42055</c:v>
                </c:pt>
                <c:pt idx="530">
                  <c:v>42062</c:v>
                </c:pt>
                <c:pt idx="531">
                  <c:v>42069</c:v>
                </c:pt>
                <c:pt idx="532">
                  <c:v>42076</c:v>
                </c:pt>
                <c:pt idx="533">
                  <c:v>42083</c:v>
                </c:pt>
                <c:pt idx="534">
                  <c:v>42090</c:v>
                </c:pt>
                <c:pt idx="535">
                  <c:v>42097</c:v>
                </c:pt>
                <c:pt idx="536">
                  <c:v>42104</c:v>
                </c:pt>
                <c:pt idx="537">
                  <c:v>42111</c:v>
                </c:pt>
                <c:pt idx="538">
                  <c:v>42118</c:v>
                </c:pt>
                <c:pt idx="539">
                  <c:v>42125</c:v>
                </c:pt>
                <c:pt idx="540">
                  <c:v>42132</c:v>
                </c:pt>
                <c:pt idx="541">
                  <c:v>42139</c:v>
                </c:pt>
                <c:pt idx="542">
                  <c:v>42146</c:v>
                </c:pt>
                <c:pt idx="543">
                  <c:v>42153</c:v>
                </c:pt>
                <c:pt idx="544">
                  <c:v>42160</c:v>
                </c:pt>
                <c:pt idx="545">
                  <c:v>42167</c:v>
                </c:pt>
                <c:pt idx="546">
                  <c:v>42174</c:v>
                </c:pt>
                <c:pt idx="547">
                  <c:v>42181</c:v>
                </c:pt>
                <c:pt idx="548">
                  <c:v>42188</c:v>
                </c:pt>
                <c:pt idx="549">
                  <c:v>42195</c:v>
                </c:pt>
                <c:pt idx="550">
                  <c:v>42202</c:v>
                </c:pt>
                <c:pt idx="551">
                  <c:v>42209</c:v>
                </c:pt>
                <c:pt idx="552">
                  <c:v>42216</c:v>
                </c:pt>
                <c:pt idx="553">
                  <c:v>42223</c:v>
                </c:pt>
                <c:pt idx="554">
                  <c:v>42230</c:v>
                </c:pt>
                <c:pt idx="555">
                  <c:v>42237</c:v>
                </c:pt>
                <c:pt idx="556">
                  <c:v>42244</c:v>
                </c:pt>
                <c:pt idx="557">
                  <c:v>42251</c:v>
                </c:pt>
                <c:pt idx="778" formatCode="General">
                  <c:v>0</c:v>
                </c:pt>
              </c:numCache>
            </c:numRef>
          </c:cat>
          <c:val>
            <c:numRef>
              <c:f>Лист4!$J$5:$J$783</c:f>
              <c:numCache>
                <c:formatCode>General</c:formatCode>
                <c:ptCount val="7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0.1776859504132231</c:v>
                </c:pt>
                <c:pt idx="559">
                  <c:v>0.35537190082644621</c:v>
                </c:pt>
                <c:pt idx="560">
                  <c:v>0.53305785123966842</c:v>
                </c:pt>
                <c:pt idx="561">
                  <c:v>0.71074380165289064</c:v>
                </c:pt>
                <c:pt idx="562">
                  <c:v>0.88842975206611285</c:v>
                </c:pt>
                <c:pt idx="563">
                  <c:v>1.0661157024793351</c:v>
                </c:pt>
                <c:pt idx="564">
                  <c:v>1.2438016528925573</c:v>
                </c:pt>
                <c:pt idx="565">
                  <c:v>1.4214876033057795</c:v>
                </c:pt>
                <c:pt idx="566">
                  <c:v>1.5991735537190017</c:v>
                </c:pt>
                <c:pt idx="567">
                  <c:v>1.7768595041322239</c:v>
                </c:pt>
                <c:pt idx="568">
                  <c:v>1.9545454545454461</c:v>
                </c:pt>
                <c:pt idx="569">
                  <c:v>2.1322314049586684</c:v>
                </c:pt>
                <c:pt idx="570">
                  <c:v>2.3099173553718906</c:v>
                </c:pt>
                <c:pt idx="571">
                  <c:v>2.4876033057851128</c:v>
                </c:pt>
                <c:pt idx="572">
                  <c:v>2.665289256198335</c:v>
                </c:pt>
                <c:pt idx="573">
                  <c:v>2.8429752066115572</c:v>
                </c:pt>
                <c:pt idx="574">
                  <c:v>3.0206611570247794</c:v>
                </c:pt>
                <c:pt idx="575">
                  <c:v>3.1983471074380017</c:v>
                </c:pt>
                <c:pt idx="576">
                  <c:v>3.3760330578512239</c:v>
                </c:pt>
                <c:pt idx="577">
                  <c:v>3.5537190082644461</c:v>
                </c:pt>
                <c:pt idx="578">
                  <c:v>3.7314049586776683</c:v>
                </c:pt>
                <c:pt idx="579">
                  <c:v>3.9090909090908905</c:v>
                </c:pt>
                <c:pt idx="580">
                  <c:v>4.0867768595041127</c:v>
                </c:pt>
                <c:pt idx="581">
                  <c:v>4.264462809917335</c:v>
                </c:pt>
                <c:pt idx="582">
                  <c:v>4.4421487603305572</c:v>
                </c:pt>
                <c:pt idx="583">
                  <c:v>4.6198347107437794</c:v>
                </c:pt>
                <c:pt idx="584">
                  <c:v>4.7975206611570016</c:v>
                </c:pt>
                <c:pt idx="585">
                  <c:v>4.9752066115702238</c:v>
                </c:pt>
                <c:pt idx="586">
                  <c:v>5.152892561983446</c:v>
                </c:pt>
                <c:pt idx="587">
                  <c:v>5.3305785123966682</c:v>
                </c:pt>
                <c:pt idx="588">
                  <c:v>5.5082644628098905</c:v>
                </c:pt>
                <c:pt idx="589">
                  <c:v>5.6859504132231127</c:v>
                </c:pt>
                <c:pt idx="590">
                  <c:v>5.8636363636363349</c:v>
                </c:pt>
                <c:pt idx="591">
                  <c:v>6.0413223140495571</c:v>
                </c:pt>
                <c:pt idx="592">
                  <c:v>6.2190082644627793</c:v>
                </c:pt>
                <c:pt idx="593">
                  <c:v>6.3966942148760015</c:v>
                </c:pt>
                <c:pt idx="594">
                  <c:v>6.5743801652892238</c:v>
                </c:pt>
                <c:pt idx="595">
                  <c:v>6.752066115702446</c:v>
                </c:pt>
                <c:pt idx="596">
                  <c:v>6.9297520661156682</c:v>
                </c:pt>
                <c:pt idx="597">
                  <c:v>7.1074380165288904</c:v>
                </c:pt>
                <c:pt idx="598">
                  <c:v>7.2851239669421126</c:v>
                </c:pt>
                <c:pt idx="599">
                  <c:v>7.4628099173553348</c:v>
                </c:pt>
                <c:pt idx="600">
                  <c:v>7.640495867768557</c:v>
                </c:pt>
                <c:pt idx="601">
                  <c:v>7.8181818181817793</c:v>
                </c:pt>
                <c:pt idx="602">
                  <c:v>7.9958677685950015</c:v>
                </c:pt>
                <c:pt idx="603">
                  <c:v>8.1735537190082237</c:v>
                </c:pt>
                <c:pt idx="604">
                  <c:v>8.3512396694214459</c:v>
                </c:pt>
                <c:pt idx="605">
                  <c:v>8.5289256198346681</c:v>
                </c:pt>
                <c:pt idx="606">
                  <c:v>8.7066115702478903</c:v>
                </c:pt>
                <c:pt idx="607">
                  <c:v>8.8842975206611143</c:v>
                </c:pt>
                <c:pt idx="608">
                  <c:v>9.0619834710743383</c:v>
                </c:pt>
                <c:pt idx="609">
                  <c:v>9.2396694214875623</c:v>
                </c:pt>
                <c:pt idx="610">
                  <c:v>9.4173553719007863</c:v>
                </c:pt>
                <c:pt idx="611">
                  <c:v>9.5950413223140103</c:v>
                </c:pt>
                <c:pt idx="612">
                  <c:v>9.7727272727272343</c:v>
                </c:pt>
                <c:pt idx="613">
                  <c:v>9.9504132231404583</c:v>
                </c:pt>
                <c:pt idx="614">
                  <c:v>10.128099173553682</c:v>
                </c:pt>
                <c:pt idx="615">
                  <c:v>10.305785123966906</c:v>
                </c:pt>
                <c:pt idx="616">
                  <c:v>10.48347107438013</c:v>
                </c:pt>
                <c:pt idx="617">
                  <c:v>10.661157024793354</c:v>
                </c:pt>
                <c:pt idx="618">
                  <c:v>10.838842975206578</c:v>
                </c:pt>
                <c:pt idx="619">
                  <c:v>11.016528925619802</c:v>
                </c:pt>
                <c:pt idx="620">
                  <c:v>11.194214876033026</c:v>
                </c:pt>
                <c:pt idx="621">
                  <c:v>11.37190082644625</c:v>
                </c:pt>
                <c:pt idx="622">
                  <c:v>11.549586776859474</c:v>
                </c:pt>
                <c:pt idx="623">
                  <c:v>11.727272727272698</c:v>
                </c:pt>
                <c:pt idx="624">
                  <c:v>11.904958677685922</c:v>
                </c:pt>
                <c:pt idx="625">
                  <c:v>12.082644628099146</c:v>
                </c:pt>
                <c:pt idx="626">
                  <c:v>12.26033057851237</c:v>
                </c:pt>
                <c:pt idx="627">
                  <c:v>12.438016528925594</c:v>
                </c:pt>
                <c:pt idx="628">
                  <c:v>12.615702479338818</c:v>
                </c:pt>
                <c:pt idx="629">
                  <c:v>12.793388429752042</c:v>
                </c:pt>
                <c:pt idx="630">
                  <c:v>12.971074380165266</c:v>
                </c:pt>
                <c:pt idx="631">
                  <c:v>13.14876033057849</c:v>
                </c:pt>
                <c:pt idx="632">
                  <c:v>13.326446280991714</c:v>
                </c:pt>
                <c:pt idx="633">
                  <c:v>13.504132231404938</c:v>
                </c:pt>
                <c:pt idx="634">
                  <c:v>13.681818181818162</c:v>
                </c:pt>
                <c:pt idx="635">
                  <c:v>13.859504132231386</c:v>
                </c:pt>
                <c:pt idx="636">
                  <c:v>14.03719008264461</c:v>
                </c:pt>
                <c:pt idx="637">
                  <c:v>14.214876033057834</c:v>
                </c:pt>
                <c:pt idx="638">
                  <c:v>14.392561983471058</c:v>
                </c:pt>
                <c:pt idx="639">
                  <c:v>14.570247933884282</c:v>
                </c:pt>
                <c:pt idx="640">
                  <c:v>14.747933884297506</c:v>
                </c:pt>
                <c:pt idx="641">
                  <c:v>14.92561983471073</c:v>
                </c:pt>
                <c:pt idx="642">
                  <c:v>15.103305785123954</c:v>
                </c:pt>
                <c:pt idx="643">
                  <c:v>15.280991735537178</c:v>
                </c:pt>
                <c:pt idx="644">
                  <c:v>15.458677685950402</c:v>
                </c:pt>
                <c:pt idx="645">
                  <c:v>15.636363636363626</c:v>
                </c:pt>
                <c:pt idx="646">
                  <c:v>15.81404958677685</c:v>
                </c:pt>
                <c:pt idx="647">
                  <c:v>15.991735537190074</c:v>
                </c:pt>
                <c:pt idx="648">
                  <c:v>16.169421487603298</c:v>
                </c:pt>
                <c:pt idx="649">
                  <c:v>16.347107438016522</c:v>
                </c:pt>
                <c:pt idx="650">
                  <c:v>16.524793388429746</c:v>
                </c:pt>
                <c:pt idx="651">
                  <c:v>16.70247933884297</c:v>
                </c:pt>
                <c:pt idx="652">
                  <c:v>16.880165289256194</c:v>
                </c:pt>
                <c:pt idx="653">
                  <c:v>17.057851239669418</c:v>
                </c:pt>
                <c:pt idx="654">
                  <c:v>17.235537190082642</c:v>
                </c:pt>
                <c:pt idx="655">
                  <c:v>17.413223140495866</c:v>
                </c:pt>
                <c:pt idx="656">
                  <c:v>17.59090909090909</c:v>
                </c:pt>
                <c:pt idx="657">
                  <c:v>17.768595041322314</c:v>
                </c:pt>
                <c:pt idx="658">
                  <c:v>17.946280991735538</c:v>
                </c:pt>
                <c:pt idx="659">
                  <c:v>18.123966942148762</c:v>
                </c:pt>
                <c:pt idx="660">
                  <c:v>18.301652892561986</c:v>
                </c:pt>
                <c:pt idx="661">
                  <c:v>18.47933884297521</c:v>
                </c:pt>
                <c:pt idx="662">
                  <c:v>18.657024793388434</c:v>
                </c:pt>
                <c:pt idx="663">
                  <c:v>18.834710743801658</c:v>
                </c:pt>
                <c:pt idx="664">
                  <c:v>19.012396694214882</c:v>
                </c:pt>
                <c:pt idx="665">
                  <c:v>19.190082644628106</c:v>
                </c:pt>
                <c:pt idx="666">
                  <c:v>19.36776859504133</c:v>
                </c:pt>
                <c:pt idx="667">
                  <c:v>19.545454545454554</c:v>
                </c:pt>
                <c:pt idx="668">
                  <c:v>19.723140495867778</c:v>
                </c:pt>
                <c:pt idx="669">
                  <c:v>19.900826446281002</c:v>
                </c:pt>
                <c:pt idx="670">
                  <c:v>20.078512396694226</c:v>
                </c:pt>
                <c:pt idx="671">
                  <c:v>20.25619834710745</c:v>
                </c:pt>
                <c:pt idx="672">
                  <c:v>20.433884297520674</c:v>
                </c:pt>
                <c:pt idx="673">
                  <c:v>20.611570247933898</c:v>
                </c:pt>
                <c:pt idx="674">
                  <c:v>20.789256198347122</c:v>
                </c:pt>
                <c:pt idx="675">
                  <c:v>20.966942148760346</c:v>
                </c:pt>
                <c:pt idx="676">
                  <c:v>21.14462809917357</c:v>
                </c:pt>
                <c:pt idx="677">
                  <c:v>21.322314049586794</c:v>
                </c:pt>
                <c:pt idx="678">
                  <c:v>21.5</c:v>
                </c:pt>
              </c:numCache>
            </c:numRef>
          </c:val>
        </c:ser>
        <c:axId val="131633152"/>
        <c:axId val="131634688"/>
      </c:areaChart>
      <c:areaChart>
        <c:grouping val="stacked"/>
        <c:ser>
          <c:idx val="4"/>
          <c:order val="4"/>
          <c:spPr>
            <a:noFill/>
            <a:ln>
              <a:noFill/>
            </a:ln>
          </c:spPr>
          <c:val>
            <c:numRef>
              <c:f>(Лист4!$N$5:$N$561,Лист4!$O$562:$O$683)</c:f>
              <c:numCache>
                <c:formatCode>General</c:formatCode>
                <c:ptCount val="679"/>
                <c:pt idx="0">
                  <c:v>6.2594000000000003</c:v>
                </c:pt>
                <c:pt idx="1">
                  <c:v>5.7378</c:v>
                </c:pt>
                <c:pt idx="2">
                  <c:v>6.1138000000000003</c:v>
                </c:pt>
                <c:pt idx="3">
                  <c:v>6.3952</c:v>
                </c:pt>
                <c:pt idx="4">
                  <c:v>6.4010999999999996</c:v>
                </c:pt>
                <c:pt idx="5">
                  <c:v>6.2480000000000002</c:v>
                </c:pt>
                <c:pt idx="6">
                  <c:v>6.0791000000000004</c:v>
                </c:pt>
                <c:pt idx="7">
                  <c:v>5.9977</c:v>
                </c:pt>
                <c:pt idx="8">
                  <c:v>6.1280999999999999</c:v>
                </c:pt>
                <c:pt idx="9">
                  <c:v>6.6200999999999999</c:v>
                </c:pt>
                <c:pt idx="10">
                  <c:v>6.8204000000000002</c:v>
                </c:pt>
                <c:pt idx="11">
                  <c:v>7.0922999999999998</c:v>
                </c:pt>
                <c:pt idx="12">
                  <c:v>7.1485000000000003</c:v>
                </c:pt>
                <c:pt idx="13">
                  <c:v>7.2161</c:v>
                </c:pt>
                <c:pt idx="14">
                  <c:v>7.4942000000000002</c:v>
                </c:pt>
                <c:pt idx="15">
                  <c:v>7.1105999999999998</c:v>
                </c:pt>
                <c:pt idx="16">
                  <c:v>7.0076000000000001</c:v>
                </c:pt>
                <c:pt idx="17">
                  <c:v>6.9498999999999995</c:v>
                </c:pt>
                <c:pt idx="18">
                  <c:v>6.5827</c:v>
                </c:pt>
                <c:pt idx="19">
                  <c:v>6.5915999999999997</c:v>
                </c:pt>
                <c:pt idx="20">
                  <c:v>6.4219999999999997</c:v>
                </c:pt>
                <c:pt idx="21">
                  <c:v>6.3257000000000003</c:v>
                </c:pt>
                <c:pt idx="22">
                  <c:v>6.4863999999999997</c:v>
                </c:pt>
                <c:pt idx="23">
                  <c:v>7.1090999999999998</c:v>
                </c:pt>
                <c:pt idx="24">
                  <c:v>7.3613999999999997</c:v>
                </c:pt>
                <c:pt idx="25">
                  <c:v>7.5204000000000004</c:v>
                </c:pt>
                <c:pt idx="26">
                  <c:v>7.0884999999999998</c:v>
                </c:pt>
                <c:pt idx="27">
                  <c:v>7.6394000000000002</c:v>
                </c:pt>
                <c:pt idx="28">
                  <c:v>7.7862</c:v>
                </c:pt>
                <c:pt idx="29">
                  <c:v>7.6528</c:v>
                </c:pt>
                <c:pt idx="30">
                  <c:v>7.5609999999999999</c:v>
                </c:pt>
                <c:pt idx="31">
                  <c:v>8.4627999999999997</c:v>
                </c:pt>
                <c:pt idx="32">
                  <c:v>9.0653000000000006</c:v>
                </c:pt>
                <c:pt idx="33">
                  <c:v>9.5314999999999994</c:v>
                </c:pt>
                <c:pt idx="34">
                  <c:v>9.8116000000000003</c:v>
                </c:pt>
                <c:pt idx="35">
                  <c:v>12.040900000000001</c:v>
                </c:pt>
                <c:pt idx="36">
                  <c:v>11.135999999999999</c:v>
                </c:pt>
                <c:pt idx="37">
                  <c:v>10.9308</c:v>
                </c:pt>
                <c:pt idx="38">
                  <c:v>13.7401</c:v>
                </c:pt>
                <c:pt idx="39">
                  <c:v>13.677</c:v>
                </c:pt>
                <c:pt idx="40">
                  <c:v>13.4033</c:v>
                </c:pt>
                <c:pt idx="41">
                  <c:v>13.3583</c:v>
                </c:pt>
                <c:pt idx="42">
                  <c:v>13.7079</c:v>
                </c:pt>
                <c:pt idx="43">
                  <c:v>10.8576</c:v>
                </c:pt>
                <c:pt idx="44">
                  <c:v>9.2199000000000009</c:v>
                </c:pt>
                <c:pt idx="45">
                  <c:v>10.263</c:v>
                </c:pt>
                <c:pt idx="46">
                  <c:v>10.883900000000001</c:v>
                </c:pt>
                <c:pt idx="47">
                  <c:v>11.8909</c:v>
                </c:pt>
                <c:pt idx="48">
                  <c:v>14.214700000000001</c:v>
                </c:pt>
                <c:pt idx="49">
                  <c:v>14.494300000000001</c:v>
                </c:pt>
                <c:pt idx="50">
                  <c:v>13.056100000000001</c:v>
                </c:pt>
                <c:pt idx="51">
                  <c:v>9.9296000000000006</c:v>
                </c:pt>
                <c:pt idx="52">
                  <c:v>9.4193999999999996</c:v>
                </c:pt>
                <c:pt idx="53">
                  <c:v>8.6292000000000009</c:v>
                </c:pt>
                <c:pt idx="54">
                  <c:v>8.6735000000000007</c:v>
                </c:pt>
                <c:pt idx="55">
                  <c:v>8.2216000000000005</c:v>
                </c:pt>
                <c:pt idx="56">
                  <c:v>8.3642000000000003</c:v>
                </c:pt>
                <c:pt idx="57">
                  <c:v>7.7964000000000002</c:v>
                </c:pt>
                <c:pt idx="58">
                  <c:v>7.2500999999999998</c:v>
                </c:pt>
                <c:pt idx="59">
                  <c:v>7.3917999999999999</c:v>
                </c:pt>
                <c:pt idx="60">
                  <c:v>6.7108999999999996</c:v>
                </c:pt>
                <c:pt idx="61">
                  <c:v>6.4451000000000001</c:v>
                </c:pt>
                <c:pt idx="62">
                  <c:v>7.0621999999999998</c:v>
                </c:pt>
                <c:pt idx="63">
                  <c:v>7.0987999999999998</c:v>
                </c:pt>
                <c:pt idx="64">
                  <c:v>7.1074000000000002</c:v>
                </c:pt>
                <c:pt idx="65">
                  <c:v>6.9739000000000004</c:v>
                </c:pt>
                <c:pt idx="66">
                  <c:v>6.8076999999999996</c:v>
                </c:pt>
                <c:pt idx="67">
                  <c:v>7.6274999999999995</c:v>
                </c:pt>
                <c:pt idx="68">
                  <c:v>7.1727999999999996</c:v>
                </c:pt>
                <c:pt idx="69">
                  <c:v>6.6097000000000001</c:v>
                </c:pt>
                <c:pt idx="70">
                  <c:v>6.5491999999999999</c:v>
                </c:pt>
                <c:pt idx="71">
                  <c:v>5.9244000000000003</c:v>
                </c:pt>
                <c:pt idx="72">
                  <c:v>5.9653999999999998</c:v>
                </c:pt>
                <c:pt idx="73">
                  <c:v>6.1618000000000004</c:v>
                </c:pt>
                <c:pt idx="74">
                  <c:v>6.0647000000000002</c:v>
                </c:pt>
                <c:pt idx="75">
                  <c:v>6.3022</c:v>
                </c:pt>
                <c:pt idx="76">
                  <c:v>6.4937000000000005</c:v>
                </c:pt>
                <c:pt idx="77">
                  <c:v>5.9649000000000001</c:v>
                </c:pt>
                <c:pt idx="78">
                  <c:v>5.3901000000000003</c:v>
                </c:pt>
                <c:pt idx="79">
                  <c:v>5.7366000000000001</c:v>
                </c:pt>
                <c:pt idx="80">
                  <c:v>6.0469999999999997</c:v>
                </c:pt>
                <c:pt idx="81">
                  <c:v>6.8194999999999997</c:v>
                </c:pt>
                <c:pt idx="82">
                  <c:v>8.0831</c:v>
                </c:pt>
                <c:pt idx="83">
                  <c:v>7.4259000000000004</c:v>
                </c:pt>
                <c:pt idx="84">
                  <c:v>6.8384</c:v>
                </c:pt>
                <c:pt idx="85">
                  <c:v>7.0938999999999997</c:v>
                </c:pt>
                <c:pt idx="86">
                  <c:v>6.0380000000000003</c:v>
                </c:pt>
                <c:pt idx="87">
                  <c:v>5.5228000000000002</c:v>
                </c:pt>
                <c:pt idx="88">
                  <c:v>5.1496000000000004</c:v>
                </c:pt>
                <c:pt idx="89">
                  <c:v>4.7981999999999996</c:v>
                </c:pt>
                <c:pt idx="90">
                  <c:v>4.1668000000000003</c:v>
                </c:pt>
                <c:pt idx="91">
                  <c:v>4.3179999999999996</c:v>
                </c:pt>
                <c:pt idx="92">
                  <c:v>5.0708000000000002</c:v>
                </c:pt>
                <c:pt idx="93">
                  <c:v>6.2195</c:v>
                </c:pt>
                <c:pt idx="94">
                  <c:v>7.3884999999999996</c:v>
                </c:pt>
                <c:pt idx="95">
                  <c:v>7.1081000000000003</c:v>
                </c:pt>
                <c:pt idx="96">
                  <c:v>7.0406000000000004</c:v>
                </c:pt>
                <c:pt idx="97">
                  <c:v>7.3901000000000003</c:v>
                </c:pt>
                <c:pt idx="98">
                  <c:v>7.5926</c:v>
                </c:pt>
                <c:pt idx="99">
                  <c:v>7.9324000000000003</c:v>
                </c:pt>
                <c:pt idx="100">
                  <c:v>7.5068000000000001</c:v>
                </c:pt>
                <c:pt idx="101">
                  <c:v>7.0042</c:v>
                </c:pt>
                <c:pt idx="102">
                  <c:v>6.2568000000000001</c:v>
                </c:pt>
                <c:pt idx="103">
                  <c:v>5.5987999999999998</c:v>
                </c:pt>
                <c:pt idx="104">
                  <c:v>5.4969000000000001</c:v>
                </c:pt>
                <c:pt idx="105">
                  <c:v>6.1303999999999998</c:v>
                </c:pt>
                <c:pt idx="106">
                  <c:v>6.5172999999999996</c:v>
                </c:pt>
                <c:pt idx="107">
                  <c:v>7.2474999999999996</c:v>
                </c:pt>
                <c:pt idx="108">
                  <c:v>7.7074999999999996</c:v>
                </c:pt>
                <c:pt idx="109">
                  <c:v>8.3076000000000008</c:v>
                </c:pt>
                <c:pt idx="110">
                  <c:v>8.4259000000000004</c:v>
                </c:pt>
                <c:pt idx="111">
                  <c:v>7.4617000000000004</c:v>
                </c:pt>
                <c:pt idx="112">
                  <c:v>7.3377999999999997</c:v>
                </c:pt>
                <c:pt idx="113">
                  <c:v>7.3207000000000004</c:v>
                </c:pt>
                <c:pt idx="114">
                  <c:v>6.8615000000000004</c:v>
                </c:pt>
                <c:pt idx="115">
                  <c:v>6.9149000000000003</c:v>
                </c:pt>
                <c:pt idx="116">
                  <c:v>7.3242000000000003</c:v>
                </c:pt>
                <c:pt idx="117">
                  <c:v>7.5441000000000003</c:v>
                </c:pt>
                <c:pt idx="118">
                  <c:v>7.8286999999999995</c:v>
                </c:pt>
                <c:pt idx="119">
                  <c:v>7.5115999999999996</c:v>
                </c:pt>
                <c:pt idx="120">
                  <c:v>7.4791999999999996</c:v>
                </c:pt>
                <c:pt idx="121">
                  <c:v>7.6784999999999997</c:v>
                </c:pt>
                <c:pt idx="122">
                  <c:v>7.5598999999999998</c:v>
                </c:pt>
                <c:pt idx="123">
                  <c:v>7.7432999999999996</c:v>
                </c:pt>
                <c:pt idx="124">
                  <c:v>7.5618999999999996</c:v>
                </c:pt>
                <c:pt idx="125">
                  <c:v>7.6440999999999999</c:v>
                </c:pt>
                <c:pt idx="126">
                  <c:v>7.7606999999999999</c:v>
                </c:pt>
                <c:pt idx="127">
                  <c:v>7.5083000000000002</c:v>
                </c:pt>
                <c:pt idx="128">
                  <c:v>7.3665000000000003</c:v>
                </c:pt>
                <c:pt idx="129">
                  <c:v>6.7107999999999999</c:v>
                </c:pt>
                <c:pt idx="130">
                  <c:v>6.2633000000000001</c:v>
                </c:pt>
                <c:pt idx="131">
                  <c:v>6.4046000000000003</c:v>
                </c:pt>
                <c:pt idx="132">
                  <c:v>6.3689</c:v>
                </c:pt>
                <c:pt idx="133">
                  <c:v>5.7637</c:v>
                </c:pt>
                <c:pt idx="134">
                  <c:v>6.2952000000000004</c:v>
                </c:pt>
                <c:pt idx="135">
                  <c:v>6.3486000000000002</c:v>
                </c:pt>
                <c:pt idx="136">
                  <c:v>7.0838999999999999</c:v>
                </c:pt>
                <c:pt idx="137">
                  <c:v>5.9295999999999998</c:v>
                </c:pt>
                <c:pt idx="138">
                  <c:v>5.5153999999999996</c:v>
                </c:pt>
                <c:pt idx="139">
                  <c:v>5.6643999999999997</c:v>
                </c:pt>
                <c:pt idx="140">
                  <c:v>6.0320999999999998</c:v>
                </c:pt>
                <c:pt idx="141">
                  <c:v>6.2049000000000003</c:v>
                </c:pt>
                <c:pt idx="142">
                  <c:v>6.3323999999999998</c:v>
                </c:pt>
                <c:pt idx="143">
                  <c:v>6.6512000000000002</c:v>
                </c:pt>
                <c:pt idx="144">
                  <c:v>6.6841999999999997</c:v>
                </c:pt>
                <c:pt idx="145">
                  <c:v>7.1020000000000003</c:v>
                </c:pt>
                <c:pt idx="146">
                  <c:v>6.3937999999999997</c:v>
                </c:pt>
                <c:pt idx="147">
                  <c:v>6.9301000000000004</c:v>
                </c:pt>
                <c:pt idx="148">
                  <c:v>6.9447999999999999</c:v>
                </c:pt>
                <c:pt idx="149">
                  <c:v>7.1910999999999996</c:v>
                </c:pt>
                <c:pt idx="150">
                  <c:v>6.9542000000000002</c:v>
                </c:pt>
                <c:pt idx="151">
                  <c:v>7.4396000000000004</c:v>
                </c:pt>
                <c:pt idx="152">
                  <c:v>7.1210000000000004</c:v>
                </c:pt>
                <c:pt idx="153">
                  <c:v>7.1738</c:v>
                </c:pt>
                <c:pt idx="154">
                  <c:v>7.1239999999999997</c:v>
                </c:pt>
                <c:pt idx="155">
                  <c:v>6.9515000000000002</c:v>
                </c:pt>
                <c:pt idx="156">
                  <c:v>7.6594999999999995</c:v>
                </c:pt>
                <c:pt idx="157">
                  <c:v>7.8334999999999999</c:v>
                </c:pt>
                <c:pt idx="158">
                  <c:v>8.3279999999999994</c:v>
                </c:pt>
                <c:pt idx="159">
                  <c:v>7.8651999999999997</c:v>
                </c:pt>
                <c:pt idx="160">
                  <c:v>8.0250000000000004</c:v>
                </c:pt>
                <c:pt idx="161">
                  <c:v>7.8725000000000005</c:v>
                </c:pt>
                <c:pt idx="162">
                  <c:v>8.4652999999999992</c:v>
                </c:pt>
                <c:pt idx="163">
                  <c:v>8.8841999999999999</c:v>
                </c:pt>
                <c:pt idx="164">
                  <c:v>9.1564999999999994</c:v>
                </c:pt>
                <c:pt idx="165">
                  <c:v>9.4384999999999994</c:v>
                </c:pt>
                <c:pt idx="166">
                  <c:v>9.7433999999999994</c:v>
                </c:pt>
                <c:pt idx="167">
                  <c:v>9.0869</c:v>
                </c:pt>
                <c:pt idx="168">
                  <c:v>9.2373999999999992</c:v>
                </c:pt>
                <c:pt idx="169">
                  <c:v>9.6826000000000008</c:v>
                </c:pt>
                <c:pt idx="170">
                  <c:v>9.8790999999999993</c:v>
                </c:pt>
                <c:pt idx="171">
                  <c:v>10.1296</c:v>
                </c:pt>
                <c:pt idx="172">
                  <c:v>10.537000000000001</c:v>
                </c:pt>
                <c:pt idx="173">
                  <c:v>10.7437</c:v>
                </c:pt>
                <c:pt idx="174">
                  <c:v>11.112299999999999</c:v>
                </c:pt>
                <c:pt idx="175">
                  <c:v>11.3588</c:v>
                </c:pt>
                <c:pt idx="176">
                  <c:v>11.3165</c:v>
                </c:pt>
                <c:pt idx="177">
                  <c:v>11.672700000000001</c:v>
                </c:pt>
                <c:pt idx="178">
                  <c:v>12.2896</c:v>
                </c:pt>
                <c:pt idx="179">
                  <c:v>12.5869</c:v>
                </c:pt>
                <c:pt idx="180">
                  <c:v>12.8751</c:v>
                </c:pt>
                <c:pt idx="181">
                  <c:v>12.8871</c:v>
                </c:pt>
                <c:pt idx="182">
                  <c:v>13.1953</c:v>
                </c:pt>
                <c:pt idx="183">
                  <c:v>12.2994</c:v>
                </c:pt>
                <c:pt idx="184">
                  <c:v>11.2972</c:v>
                </c:pt>
                <c:pt idx="185">
                  <c:v>9.9326000000000008</c:v>
                </c:pt>
                <c:pt idx="186">
                  <c:v>9.1496999999999993</c:v>
                </c:pt>
                <c:pt idx="187">
                  <c:v>8.7123000000000008</c:v>
                </c:pt>
                <c:pt idx="188">
                  <c:v>8.0985999999999994</c:v>
                </c:pt>
                <c:pt idx="189">
                  <c:v>7.9005000000000001</c:v>
                </c:pt>
                <c:pt idx="190">
                  <c:v>8.157</c:v>
                </c:pt>
                <c:pt idx="191">
                  <c:v>7.2983000000000002</c:v>
                </c:pt>
                <c:pt idx="192">
                  <c:v>7.6921999999999997</c:v>
                </c:pt>
                <c:pt idx="193">
                  <c:v>7.9063999999999997</c:v>
                </c:pt>
                <c:pt idx="194">
                  <c:v>7.7393999999999998</c:v>
                </c:pt>
                <c:pt idx="195">
                  <c:v>7.3025000000000002</c:v>
                </c:pt>
                <c:pt idx="196">
                  <c:v>6.6802000000000001</c:v>
                </c:pt>
                <c:pt idx="197">
                  <c:v>6.6813000000000002</c:v>
                </c:pt>
                <c:pt idx="198">
                  <c:v>6.7461000000000002</c:v>
                </c:pt>
                <c:pt idx="199">
                  <c:v>6.4332000000000003</c:v>
                </c:pt>
                <c:pt idx="200">
                  <c:v>6.7622999999999998</c:v>
                </c:pt>
                <c:pt idx="201">
                  <c:v>6.6752000000000002</c:v>
                </c:pt>
                <c:pt idx="202">
                  <c:v>6.6746999999999996</c:v>
                </c:pt>
                <c:pt idx="203">
                  <c:v>6.6611000000000002</c:v>
                </c:pt>
                <c:pt idx="204">
                  <c:v>6.4379999999999997</c:v>
                </c:pt>
                <c:pt idx="205">
                  <c:v>5.6798999999999999</c:v>
                </c:pt>
                <c:pt idx="206">
                  <c:v>5.7179000000000002</c:v>
                </c:pt>
                <c:pt idx="207">
                  <c:v>5.3994999999999997</c:v>
                </c:pt>
                <c:pt idx="208">
                  <c:v>5.64</c:v>
                </c:pt>
                <c:pt idx="209">
                  <c:v>5.8773</c:v>
                </c:pt>
                <c:pt idx="210">
                  <c:v>5.4226000000000001</c:v>
                </c:pt>
                <c:pt idx="211">
                  <c:v>4.7972999999999999</c:v>
                </c:pt>
                <c:pt idx="212">
                  <c:v>4.7389999999999999</c:v>
                </c:pt>
                <c:pt idx="213">
                  <c:v>4.8085000000000004</c:v>
                </c:pt>
                <c:pt idx="214">
                  <c:v>4.7211999999999996</c:v>
                </c:pt>
                <c:pt idx="215">
                  <c:v>4.3434999999999997</c:v>
                </c:pt>
                <c:pt idx="216">
                  <c:v>4.1520000000000001</c:v>
                </c:pt>
                <c:pt idx="217">
                  <c:v>4.2313999999999998</c:v>
                </c:pt>
                <c:pt idx="218">
                  <c:v>3.8849999999999998</c:v>
                </c:pt>
                <c:pt idx="219">
                  <c:v>3.7955000000000001</c:v>
                </c:pt>
                <c:pt idx="220">
                  <c:v>4.0646000000000004</c:v>
                </c:pt>
                <c:pt idx="221">
                  <c:v>3.6268000000000002</c:v>
                </c:pt>
                <c:pt idx="222">
                  <c:v>3.6059000000000001</c:v>
                </c:pt>
                <c:pt idx="223">
                  <c:v>3.532</c:v>
                </c:pt>
                <c:pt idx="224">
                  <c:v>3.4445999999999999</c:v>
                </c:pt>
                <c:pt idx="225">
                  <c:v>3.2913999999999999</c:v>
                </c:pt>
                <c:pt idx="226">
                  <c:v>3.7753999999999999</c:v>
                </c:pt>
                <c:pt idx="227">
                  <c:v>4.2430000000000003</c:v>
                </c:pt>
                <c:pt idx="228">
                  <c:v>3.7869000000000002</c:v>
                </c:pt>
                <c:pt idx="229">
                  <c:v>3.5781999999999998</c:v>
                </c:pt>
                <c:pt idx="230">
                  <c:v>3.7645999999999997</c:v>
                </c:pt>
                <c:pt idx="231">
                  <c:v>3.5345</c:v>
                </c:pt>
                <c:pt idx="232">
                  <c:v>4.0340999999999996</c:v>
                </c:pt>
                <c:pt idx="233">
                  <c:v>3.8693999999999997</c:v>
                </c:pt>
                <c:pt idx="234">
                  <c:v>3.6789000000000001</c:v>
                </c:pt>
                <c:pt idx="235">
                  <c:v>3.2719</c:v>
                </c:pt>
                <c:pt idx="236">
                  <c:v>3.2875000000000001</c:v>
                </c:pt>
                <c:pt idx="237">
                  <c:v>3.4967000000000001</c:v>
                </c:pt>
                <c:pt idx="238">
                  <c:v>3.4077999999999999</c:v>
                </c:pt>
                <c:pt idx="239">
                  <c:v>3.5819999999999999</c:v>
                </c:pt>
                <c:pt idx="240">
                  <c:v>3.3944999999999999</c:v>
                </c:pt>
                <c:pt idx="241">
                  <c:v>3.0124</c:v>
                </c:pt>
                <c:pt idx="242">
                  <c:v>2.7176999999999998</c:v>
                </c:pt>
                <c:pt idx="243">
                  <c:v>2.1823999999999999</c:v>
                </c:pt>
                <c:pt idx="244">
                  <c:v>2.6926999999999999</c:v>
                </c:pt>
                <c:pt idx="245">
                  <c:v>3.2076000000000002</c:v>
                </c:pt>
                <c:pt idx="246">
                  <c:v>3.4622999999999999</c:v>
                </c:pt>
                <c:pt idx="247">
                  <c:v>3.0632000000000001</c:v>
                </c:pt>
                <c:pt idx="248">
                  <c:v>3.5964999999999998</c:v>
                </c:pt>
                <c:pt idx="249">
                  <c:v>3.9260000000000002</c:v>
                </c:pt>
                <c:pt idx="250">
                  <c:v>4.6638999999999999</c:v>
                </c:pt>
                <c:pt idx="251">
                  <c:v>4.3666</c:v>
                </c:pt>
                <c:pt idx="252">
                  <c:v>4.2750000000000004</c:v>
                </c:pt>
                <c:pt idx="253">
                  <c:v>3.3748</c:v>
                </c:pt>
                <c:pt idx="254">
                  <c:v>3.3025000000000002</c:v>
                </c:pt>
                <c:pt idx="255">
                  <c:v>3.5765000000000002</c:v>
                </c:pt>
                <c:pt idx="256">
                  <c:v>4.4946999999999999</c:v>
                </c:pt>
                <c:pt idx="257">
                  <c:v>5.0753000000000004</c:v>
                </c:pt>
                <c:pt idx="258">
                  <c:v>5.6041999999999996</c:v>
                </c:pt>
                <c:pt idx="259">
                  <c:v>5.6634000000000002</c:v>
                </c:pt>
                <c:pt idx="260">
                  <c:v>5.8815999999999997</c:v>
                </c:pt>
                <c:pt idx="261">
                  <c:v>6.5629999999999997</c:v>
                </c:pt>
                <c:pt idx="262">
                  <c:v>5.6767000000000003</c:v>
                </c:pt>
                <c:pt idx="263">
                  <c:v>5.5612000000000004</c:v>
                </c:pt>
                <c:pt idx="264">
                  <c:v>5.4719999999999995</c:v>
                </c:pt>
                <c:pt idx="265">
                  <c:v>5.4692999999999996</c:v>
                </c:pt>
                <c:pt idx="266">
                  <c:v>5.5513000000000003</c:v>
                </c:pt>
                <c:pt idx="267">
                  <c:v>5.4048999999999996</c:v>
                </c:pt>
                <c:pt idx="268">
                  <c:v>4.8586999999999998</c:v>
                </c:pt>
                <c:pt idx="269">
                  <c:v>4.7393000000000001</c:v>
                </c:pt>
                <c:pt idx="270">
                  <c:v>4.4474</c:v>
                </c:pt>
                <c:pt idx="271">
                  <c:v>4.2275999999999998</c:v>
                </c:pt>
                <c:pt idx="272">
                  <c:v>4.0129999999999999</c:v>
                </c:pt>
                <c:pt idx="273">
                  <c:v>3.8157999999999999</c:v>
                </c:pt>
                <c:pt idx="274">
                  <c:v>3.9973000000000001</c:v>
                </c:pt>
                <c:pt idx="275">
                  <c:v>4.0545</c:v>
                </c:pt>
                <c:pt idx="276">
                  <c:v>3.9842</c:v>
                </c:pt>
                <c:pt idx="277">
                  <c:v>4.1543999999999999</c:v>
                </c:pt>
                <c:pt idx="278">
                  <c:v>3.9380999999999999</c:v>
                </c:pt>
                <c:pt idx="279">
                  <c:v>4.1871999999999998</c:v>
                </c:pt>
                <c:pt idx="280">
                  <c:v>4.2561999999999998</c:v>
                </c:pt>
                <c:pt idx="281">
                  <c:v>4.1768999999999998</c:v>
                </c:pt>
                <c:pt idx="282">
                  <c:v>4.4424999999999999</c:v>
                </c:pt>
                <c:pt idx="283">
                  <c:v>4.7338000000000005</c:v>
                </c:pt>
                <c:pt idx="284">
                  <c:v>5.0975000000000001</c:v>
                </c:pt>
                <c:pt idx="285">
                  <c:v>4.9269999999999996</c:v>
                </c:pt>
                <c:pt idx="286">
                  <c:v>4.6634000000000002</c:v>
                </c:pt>
                <c:pt idx="287">
                  <c:v>4.6448</c:v>
                </c:pt>
                <c:pt idx="288">
                  <c:v>4.4768999999999997</c:v>
                </c:pt>
                <c:pt idx="289">
                  <c:v>4.6417000000000002</c:v>
                </c:pt>
                <c:pt idx="290">
                  <c:v>4.7462</c:v>
                </c:pt>
                <c:pt idx="291">
                  <c:v>4.8011999999999997</c:v>
                </c:pt>
                <c:pt idx="292">
                  <c:v>4.4211</c:v>
                </c:pt>
                <c:pt idx="293">
                  <c:v>4.2961</c:v>
                </c:pt>
                <c:pt idx="294">
                  <c:v>3.9577</c:v>
                </c:pt>
                <c:pt idx="295">
                  <c:v>3.7547000000000001</c:v>
                </c:pt>
                <c:pt idx="296">
                  <c:v>3.8033000000000001</c:v>
                </c:pt>
                <c:pt idx="297">
                  <c:v>4.0145999999999997</c:v>
                </c:pt>
                <c:pt idx="298">
                  <c:v>4.0045000000000002</c:v>
                </c:pt>
                <c:pt idx="299">
                  <c:v>3.7852999999999999</c:v>
                </c:pt>
                <c:pt idx="300">
                  <c:v>3.5204</c:v>
                </c:pt>
                <c:pt idx="301">
                  <c:v>3.4918</c:v>
                </c:pt>
                <c:pt idx="302">
                  <c:v>3.3654000000000002</c:v>
                </c:pt>
                <c:pt idx="303">
                  <c:v>3.3064</c:v>
                </c:pt>
                <c:pt idx="304">
                  <c:v>3.3933</c:v>
                </c:pt>
                <c:pt idx="305">
                  <c:v>3.6983999999999999</c:v>
                </c:pt>
                <c:pt idx="306">
                  <c:v>3.7351000000000001</c:v>
                </c:pt>
                <c:pt idx="307">
                  <c:v>3.9201999999999999</c:v>
                </c:pt>
                <c:pt idx="308">
                  <c:v>4.2015000000000002</c:v>
                </c:pt>
                <c:pt idx="309">
                  <c:v>4.4619</c:v>
                </c:pt>
                <c:pt idx="310">
                  <c:v>4.2607999999999997</c:v>
                </c:pt>
                <c:pt idx="311">
                  <c:v>4.0915999999999997</c:v>
                </c:pt>
                <c:pt idx="312">
                  <c:v>4.1395</c:v>
                </c:pt>
                <c:pt idx="313">
                  <c:v>4.5152000000000001</c:v>
                </c:pt>
                <c:pt idx="314">
                  <c:v>4.4730999999999996</c:v>
                </c:pt>
                <c:pt idx="315">
                  <c:v>4.5713999999999997</c:v>
                </c:pt>
                <c:pt idx="316">
                  <c:v>4.4489000000000001</c:v>
                </c:pt>
                <c:pt idx="317">
                  <c:v>4.5141999999999998</c:v>
                </c:pt>
                <c:pt idx="318">
                  <c:v>4.1703999999999999</c:v>
                </c:pt>
                <c:pt idx="319">
                  <c:v>3.8961000000000001</c:v>
                </c:pt>
                <c:pt idx="320">
                  <c:v>3.84</c:v>
                </c:pt>
                <c:pt idx="321">
                  <c:v>3.8195999999999999</c:v>
                </c:pt>
                <c:pt idx="322">
                  <c:v>3.8044000000000002</c:v>
                </c:pt>
                <c:pt idx="323">
                  <c:v>3.8786</c:v>
                </c:pt>
                <c:pt idx="324">
                  <c:v>4.1246</c:v>
                </c:pt>
                <c:pt idx="325">
                  <c:v>4.3006000000000002</c:v>
                </c:pt>
                <c:pt idx="326">
                  <c:v>4.1559999999999997</c:v>
                </c:pt>
                <c:pt idx="327">
                  <c:v>4.1219999999999999</c:v>
                </c:pt>
                <c:pt idx="328">
                  <c:v>4.2732000000000001</c:v>
                </c:pt>
                <c:pt idx="329">
                  <c:v>4.3856000000000002</c:v>
                </c:pt>
                <c:pt idx="330">
                  <c:v>4.5056000000000003</c:v>
                </c:pt>
                <c:pt idx="331">
                  <c:v>4.1791999999999998</c:v>
                </c:pt>
                <c:pt idx="332">
                  <c:v>4.1517999999999997</c:v>
                </c:pt>
                <c:pt idx="333">
                  <c:v>4.3441000000000001</c:v>
                </c:pt>
                <c:pt idx="334">
                  <c:v>4.6521999999999997</c:v>
                </c:pt>
                <c:pt idx="335">
                  <c:v>4.8250000000000002</c:v>
                </c:pt>
                <c:pt idx="336">
                  <c:v>4.5709999999999997</c:v>
                </c:pt>
                <c:pt idx="337">
                  <c:v>4.3243</c:v>
                </c:pt>
                <c:pt idx="338">
                  <c:v>4.3207000000000004</c:v>
                </c:pt>
                <c:pt idx="339">
                  <c:v>4.2973999999999997</c:v>
                </c:pt>
                <c:pt idx="340">
                  <c:v>4.4135999999999997</c:v>
                </c:pt>
                <c:pt idx="341">
                  <c:v>4.5758000000000001</c:v>
                </c:pt>
                <c:pt idx="342">
                  <c:v>4.4019000000000004</c:v>
                </c:pt>
                <c:pt idx="343">
                  <c:v>4.2079000000000004</c:v>
                </c:pt>
                <c:pt idx="344">
                  <c:v>4.0782999999999996</c:v>
                </c:pt>
                <c:pt idx="345">
                  <c:v>4.0072000000000001</c:v>
                </c:pt>
                <c:pt idx="346">
                  <c:v>4.0090000000000003</c:v>
                </c:pt>
                <c:pt idx="347">
                  <c:v>4.0091999999999999</c:v>
                </c:pt>
                <c:pt idx="348">
                  <c:v>3.9573999999999998</c:v>
                </c:pt>
                <c:pt idx="349">
                  <c:v>3.9529000000000001</c:v>
                </c:pt>
                <c:pt idx="350">
                  <c:v>3.7702999999999998</c:v>
                </c:pt>
                <c:pt idx="351">
                  <c:v>3.8090000000000002</c:v>
                </c:pt>
                <c:pt idx="352">
                  <c:v>3.5278999999999998</c:v>
                </c:pt>
                <c:pt idx="353">
                  <c:v>3.4765000000000001</c:v>
                </c:pt>
                <c:pt idx="354">
                  <c:v>3.6160000000000001</c:v>
                </c:pt>
                <c:pt idx="355">
                  <c:v>3.6179000000000001</c:v>
                </c:pt>
                <c:pt idx="356">
                  <c:v>3.4756</c:v>
                </c:pt>
                <c:pt idx="357">
                  <c:v>3.4182999999999999</c:v>
                </c:pt>
                <c:pt idx="358">
                  <c:v>3.105</c:v>
                </c:pt>
                <c:pt idx="359">
                  <c:v>2.9428000000000001</c:v>
                </c:pt>
                <c:pt idx="360">
                  <c:v>3.3688000000000002</c:v>
                </c:pt>
                <c:pt idx="361">
                  <c:v>3.3904999999999998</c:v>
                </c:pt>
                <c:pt idx="362">
                  <c:v>3.0775000000000001</c:v>
                </c:pt>
                <c:pt idx="363">
                  <c:v>3.0358999999999998</c:v>
                </c:pt>
                <c:pt idx="364">
                  <c:v>3.0419</c:v>
                </c:pt>
                <c:pt idx="365">
                  <c:v>2.9205000000000001</c:v>
                </c:pt>
                <c:pt idx="366">
                  <c:v>2.8075000000000001</c:v>
                </c:pt>
                <c:pt idx="367">
                  <c:v>2.3951000000000002</c:v>
                </c:pt>
                <c:pt idx="368">
                  <c:v>2.5737000000000001</c:v>
                </c:pt>
                <c:pt idx="369">
                  <c:v>2.4489999999999998</c:v>
                </c:pt>
                <c:pt idx="370">
                  <c:v>2.5098000000000003</c:v>
                </c:pt>
                <c:pt idx="371">
                  <c:v>2.5171999999999999</c:v>
                </c:pt>
                <c:pt idx="372">
                  <c:v>2.6282999999999999</c:v>
                </c:pt>
                <c:pt idx="373">
                  <c:v>2.4497</c:v>
                </c:pt>
                <c:pt idx="374">
                  <c:v>2.2593999999999999</c:v>
                </c:pt>
                <c:pt idx="375">
                  <c:v>2.1082999999999998</c:v>
                </c:pt>
                <c:pt idx="376">
                  <c:v>2.1608000000000001</c:v>
                </c:pt>
                <c:pt idx="377">
                  <c:v>2.0655999999999999</c:v>
                </c:pt>
                <c:pt idx="378">
                  <c:v>1.9664999999999999</c:v>
                </c:pt>
                <c:pt idx="379">
                  <c:v>1.9256</c:v>
                </c:pt>
                <c:pt idx="380">
                  <c:v>1.8612</c:v>
                </c:pt>
                <c:pt idx="381">
                  <c:v>2.0003000000000002</c:v>
                </c:pt>
                <c:pt idx="382">
                  <c:v>2.2561</c:v>
                </c:pt>
                <c:pt idx="383">
                  <c:v>2.3311000000000002</c:v>
                </c:pt>
                <c:pt idx="384">
                  <c:v>2.4912000000000001</c:v>
                </c:pt>
                <c:pt idx="385">
                  <c:v>2.5958999999999999</c:v>
                </c:pt>
                <c:pt idx="386">
                  <c:v>2.3662000000000001</c:v>
                </c:pt>
                <c:pt idx="387">
                  <c:v>2.3323999999999998</c:v>
                </c:pt>
                <c:pt idx="388">
                  <c:v>2.2425000000000002</c:v>
                </c:pt>
                <c:pt idx="389">
                  <c:v>2.5247000000000002</c:v>
                </c:pt>
                <c:pt idx="390">
                  <c:v>2.762</c:v>
                </c:pt>
                <c:pt idx="391">
                  <c:v>2.8393999999999999</c:v>
                </c:pt>
                <c:pt idx="392">
                  <c:v>2.8167</c:v>
                </c:pt>
                <c:pt idx="393">
                  <c:v>2.9224999999999999</c:v>
                </c:pt>
                <c:pt idx="394">
                  <c:v>3.1265000000000001</c:v>
                </c:pt>
                <c:pt idx="395">
                  <c:v>3.1230000000000002</c:v>
                </c:pt>
                <c:pt idx="396">
                  <c:v>2.9173</c:v>
                </c:pt>
                <c:pt idx="397">
                  <c:v>2.7723</c:v>
                </c:pt>
                <c:pt idx="398">
                  <c:v>2.7957000000000001</c:v>
                </c:pt>
                <c:pt idx="399">
                  <c:v>2.7178</c:v>
                </c:pt>
                <c:pt idx="400">
                  <c:v>2.8148</c:v>
                </c:pt>
                <c:pt idx="401">
                  <c:v>2.8778999999999999</c:v>
                </c:pt>
                <c:pt idx="402">
                  <c:v>2.7566000000000002</c:v>
                </c:pt>
                <c:pt idx="403">
                  <c:v>2.9352999999999998</c:v>
                </c:pt>
                <c:pt idx="404">
                  <c:v>3.2202000000000002</c:v>
                </c:pt>
                <c:pt idx="405">
                  <c:v>3.2536</c:v>
                </c:pt>
                <c:pt idx="406">
                  <c:v>3.3144999999999998</c:v>
                </c:pt>
                <c:pt idx="407">
                  <c:v>3.4068999999999998</c:v>
                </c:pt>
                <c:pt idx="408">
                  <c:v>3.4434</c:v>
                </c:pt>
                <c:pt idx="409">
                  <c:v>3.3986000000000001</c:v>
                </c:pt>
                <c:pt idx="410">
                  <c:v>3.5449999999999999</c:v>
                </c:pt>
                <c:pt idx="411">
                  <c:v>3.6147999999999998</c:v>
                </c:pt>
                <c:pt idx="412">
                  <c:v>3.6593999999999998</c:v>
                </c:pt>
                <c:pt idx="413">
                  <c:v>3.4085000000000001</c:v>
                </c:pt>
                <c:pt idx="414">
                  <c:v>3.298</c:v>
                </c:pt>
                <c:pt idx="415">
                  <c:v>3.3014999999999999</c:v>
                </c:pt>
                <c:pt idx="416">
                  <c:v>3.3426</c:v>
                </c:pt>
                <c:pt idx="417">
                  <c:v>3.2793999999999999</c:v>
                </c:pt>
                <c:pt idx="418">
                  <c:v>3.1814999999999998</c:v>
                </c:pt>
                <c:pt idx="419">
                  <c:v>3.4388000000000001</c:v>
                </c:pt>
                <c:pt idx="420">
                  <c:v>3.5354000000000001</c:v>
                </c:pt>
                <c:pt idx="421">
                  <c:v>3.2580999999999998</c:v>
                </c:pt>
                <c:pt idx="422">
                  <c:v>3.3353999999999999</c:v>
                </c:pt>
                <c:pt idx="423">
                  <c:v>3.2553000000000001</c:v>
                </c:pt>
                <c:pt idx="424">
                  <c:v>3.2776999999999998</c:v>
                </c:pt>
                <c:pt idx="425">
                  <c:v>3.4794</c:v>
                </c:pt>
                <c:pt idx="426">
                  <c:v>3.5691999999999999</c:v>
                </c:pt>
                <c:pt idx="427">
                  <c:v>3.7385000000000002</c:v>
                </c:pt>
                <c:pt idx="428">
                  <c:v>3.9741999999999997</c:v>
                </c:pt>
                <c:pt idx="429">
                  <c:v>4.0465999999999998</c:v>
                </c:pt>
                <c:pt idx="430">
                  <c:v>3.9933000000000001</c:v>
                </c:pt>
                <c:pt idx="431">
                  <c:v>4.1295999999999999</c:v>
                </c:pt>
                <c:pt idx="432">
                  <c:v>4.2545000000000002</c:v>
                </c:pt>
                <c:pt idx="433">
                  <c:v>4.2415000000000003</c:v>
                </c:pt>
                <c:pt idx="434">
                  <c:v>4.2268999999999997</c:v>
                </c:pt>
                <c:pt idx="435">
                  <c:v>3.8877000000000002</c:v>
                </c:pt>
                <c:pt idx="436">
                  <c:v>3.9458000000000002</c:v>
                </c:pt>
                <c:pt idx="437">
                  <c:v>4.1375000000000002</c:v>
                </c:pt>
                <c:pt idx="438">
                  <c:v>4.1189</c:v>
                </c:pt>
                <c:pt idx="439">
                  <c:v>3.9416000000000002</c:v>
                </c:pt>
                <c:pt idx="440">
                  <c:v>3.7688999999999999</c:v>
                </c:pt>
                <c:pt idx="441">
                  <c:v>3.8704000000000001</c:v>
                </c:pt>
                <c:pt idx="442">
                  <c:v>3.7208999999999999</c:v>
                </c:pt>
                <c:pt idx="443">
                  <c:v>3.5407000000000002</c:v>
                </c:pt>
                <c:pt idx="444">
                  <c:v>3.6558000000000002</c:v>
                </c:pt>
                <c:pt idx="445">
                  <c:v>3.6943999999999999</c:v>
                </c:pt>
                <c:pt idx="446">
                  <c:v>3.6722999999999999</c:v>
                </c:pt>
                <c:pt idx="447">
                  <c:v>3.4493999999999998</c:v>
                </c:pt>
                <c:pt idx="448">
                  <c:v>3.3174000000000001</c:v>
                </c:pt>
                <c:pt idx="449">
                  <c:v>3.3449999999999998</c:v>
                </c:pt>
                <c:pt idx="450">
                  <c:v>3.4943</c:v>
                </c:pt>
                <c:pt idx="451">
                  <c:v>3.5488</c:v>
                </c:pt>
                <c:pt idx="452">
                  <c:v>3.6391999999999998</c:v>
                </c:pt>
                <c:pt idx="453">
                  <c:v>3.5983999999999998</c:v>
                </c:pt>
                <c:pt idx="454">
                  <c:v>3.7063999999999999</c:v>
                </c:pt>
                <c:pt idx="455">
                  <c:v>3.5468000000000002</c:v>
                </c:pt>
                <c:pt idx="456">
                  <c:v>3.5587999999999997</c:v>
                </c:pt>
                <c:pt idx="457">
                  <c:v>3.6962999999999999</c:v>
                </c:pt>
                <c:pt idx="458">
                  <c:v>3.7900999999999998</c:v>
                </c:pt>
                <c:pt idx="459">
                  <c:v>3.6928000000000001</c:v>
                </c:pt>
                <c:pt idx="460">
                  <c:v>3.5521000000000003</c:v>
                </c:pt>
                <c:pt idx="461">
                  <c:v>3.4615999999999998</c:v>
                </c:pt>
                <c:pt idx="462">
                  <c:v>3.6147</c:v>
                </c:pt>
                <c:pt idx="463">
                  <c:v>3.6776999999999997</c:v>
                </c:pt>
                <c:pt idx="464">
                  <c:v>3.8342999999999998</c:v>
                </c:pt>
                <c:pt idx="465">
                  <c:v>3.9342999999999999</c:v>
                </c:pt>
                <c:pt idx="466">
                  <c:v>4.3049999999999997</c:v>
                </c:pt>
                <c:pt idx="467">
                  <c:v>4.2615999999999996</c:v>
                </c:pt>
                <c:pt idx="468">
                  <c:v>4.4254999999999995</c:v>
                </c:pt>
                <c:pt idx="469">
                  <c:v>4.3571999999999997</c:v>
                </c:pt>
                <c:pt idx="470">
                  <c:v>4.2964000000000002</c:v>
                </c:pt>
                <c:pt idx="471">
                  <c:v>4.3842999999999996</c:v>
                </c:pt>
                <c:pt idx="472">
                  <c:v>5.0574000000000003</c:v>
                </c:pt>
                <c:pt idx="473">
                  <c:v>5.2835000000000001</c:v>
                </c:pt>
                <c:pt idx="474">
                  <c:v>6.3437000000000001</c:v>
                </c:pt>
                <c:pt idx="475">
                  <c:v>6.4744000000000002</c:v>
                </c:pt>
                <c:pt idx="476">
                  <c:v>5.9646999999999997</c:v>
                </c:pt>
                <c:pt idx="477">
                  <c:v>5.1089000000000002</c:v>
                </c:pt>
                <c:pt idx="478">
                  <c:v>6.1753</c:v>
                </c:pt>
                <c:pt idx="479">
                  <c:v>4.5415000000000001</c:v>
                </c:pt>
                <c:pt idx="480">
                  <c:v>4.4379999999999997</c:v>
                </c:pt>
                <c:pt idx="481">
                  <c:v>4.4402999999999997</c:v>
                </c:pt>
                <c:pt idx="482">
                  <c:v>4.4248000000000003</c:v>
                </c:pt>
                <c:pt idx="483">
                  <c:v>4.5975000000000001</c:v>
                </c:pt>
                <c:pt idx="484">
                  <c:v>4.6216999999999997</c:v>
                </c:pt>
                <c:pt idx="485">
                  <c:v>4.7592999999999996</c:v>
                </c:pt>
                <c:pt idx="486">
                  <c:v>4.7751000000000001</c:v>
                </c:pt>
                <c:pt idx="487">
                  <c:v>4.7287999999999997</c:v>
                </c:pt>
                <c:pt idx="488">
                  <c:v>4.4291999999999998</c:v>
                </c:pt>
                <c:pt idx="489">
                  <c:v>4.4912999999999998</c:v>
                </c:pt>
                <c:pt idx="490">
                  <c:v>4.5189000000000004</c:v>
                </c:pt>
                <c:pt idx="491">
                  <c:v>4.5940000000000003</c:v>
                </c:pt>
                <c:pt idx="492">
                  <c:v>4.5772000000000004</c:v>
                </c:pt>
                <c:pt idx="493">
                  <c:v>4.6429999999999998</c:v>
                </c:pt>
                <c:pt idx="494">
                  <c:v>4.4931000000000001</c:v>
                </c:pt>
                <c:pt idx="495">
                  <c:v>4.3822999999999999</c:v>
                </c:pt>
                <c:pt idx="496">
                  <c:v>4.1516000000000002</c:v>
                </c:pt>
                <c:pt idx="497">
                  <c:v>4.0514000000000001</c:v>
                </c:pt>
                <c:pt idx="498">
                  <c:v>3.8029999999999999</c:v>
                </c:pt>
                <c:pt idx="499">
                  <c:v>3.7643</c:v>
                </c:pt>
                <c:pt idx="500">
                  <c:v>3.8818999999999999</c:v>
                </c:pt>
                <c:pt idx="501">
                  <c:v>3.8650000000000002</c:v>
                </c:pt>
                <c:pt idx="502">
                  <c:v>3.8351999999999999</c:v>
                </c:pt>
                <c:pt idx="503">
                  <c:v>3.9811000000000001</c:v>
                </c:pt>
                <c:pt idx="504">
                  <c:v>3.9201999999999999</c:v>
                </c:pt>
                <c:pt idx="505">
                  <c:v>3.8976999999999999</c:v>
                </c:pt>
                <c:pt idx="506">
                  <c:v>3.9091</c:v>
                </c:pt>
                <c:pt idx="507">
                  <c:v>3.8773</c:v>
                </c:pt>
                <c:pt idx="508">
                  <c:v>4.0458999999999996</c:v>
                </c:pt>
                <c:pt idx="509">
                  <c:v>3.8704000000000001</c:v>
                </c:pt>
                <c:pt idx="510">
                  <c:v>3.823</c:v>
                </c:pt>
                <c:pt idx="511">
                  <c:v>3.6137000000000001</c:v>
                </c:pt>
                <c:pt idx="512">
                  <c:v>3.629</c:v>
                </c:pt>
                <c:pt idx="513">
                  <c:v>3.8193000000000001</c:v>
                </c:pt>
                <c:pt idx="514">
                  <c:v>4.1268000000000002</c:v>
                </c:pt>
                <c:pt idx="515">
                  <c:v>4.3304</c:v>
                </c:pt>
                <c:pt idx="516">
                  <c:v>4.1406999999999998</c:v>
                </c:pt>
                <c:pt idx="517">
                  <c:v>3.6512000000000002</c:v>
                </c:pt>
                <c:pt idx="518">
                  <c:v>3.5933999999999999</c:v>
                </c:pt>
                <c:pt idx="519">
                  <c:v>3.5968999999999998</c:v>
                </c:pt>
                <c:pt idx="520">
                  <c:v>2.9205000000000001</c:v>
                </c:pt>
                <c:pt idx="521">
                  <c:v>3.0276000000000001</c:v>
                </c:pt>
                <c:pt idx="522">
                  <c:v>3.0200999999999998</c:v>
                </c:pt>
                <c:pt idx="523">
                  <c:v>3.0608</c:v>
                </c:pt>
                <c:pt idx="524">
                  <c:v>2.9407999999999999</c:v>
                </c:pt>
                <c:pt idx="525">
                  <c:v>2.8656999999999999</c:v>
                </c:pt>
                <c:pt idx="526">
                  <c:v>2.6433999999999997</c:v>
                </c:pt>
                <c:pt idx="527">
                  <c:v>2.7355999999999998</c:v>
                </c:pt>
                <c:pt idx="528">
                  <c:v>2.9586000000000001</c:v>
                </c:pt>
                <c:pt idx="529">
                  <c:v>3.0758000000000001</c:v>
                </c:pt>
                <c:pt idx="530">
                  <c:v>3.0352000000000001</c:v>
                </c:pt>
                <c:pt idx="531">
                  <c:v>2.7490999999999999</c:v>
                </c:pt>
                <c:pt idx="532">
                  <c:v>2.7766999999999999</c:v>
                </c:pt>
                <c:pt idx="533">
                  <c:v>2.7143999999999999</c:v>
                </c:pt>
                <c:pt idx="534">
                  <c:v>2.6053999999999999</c:v>
                </c:pt>
                <c:pt idx="535">
                  <c:v>2.6255999999999999</c:v>
                </c:pt>
                <c:pt idx="536">
                  <c:v>2.5808</c:v>
                </c:pt>
                <c:pt idx="537">
                  <c:v>2.5647000000000002</c:v>
                </c:pt>
                <c:pt idx="538">
                  <c:v>2.5601000000000003</c:v>
                </c:pt>
                <c:pt idx="539">
                  <c:v>2.7542999999999997</c:v>
                </c:pt>
                <c:pt idx="540">
                  <c:v>2.8794</c:v>
                </c:pt>
                <c:pt idx="541">
                  <c:v>2.9756</c:v>
                </c:pt>
                <c:pt idx="542">
                  <c:v>2.7635000000000001</c:v>
                </c:pt>
                <c:pt idx="543">
                  <c:v>2.6010999999999997</c:v>
                </c:pt>
                <c:pt idx="544">
                  <c:v>2.8026</c:v>
                </c:pt>
                <c:pt idx="545">
                  <c:v>2.8801999999999999</c:v>
                </c:pt>
                <c:pt idx="546">
                  <c:v>2.7858000000000001</c:v>
                </c:pt>
                <c:pt idx="547">
                  <c:v>2.7934000000000001</c:v>
                </c:pt>
                <c:pt idx="548">
                  <c:v>2.7225000000000001</c:v>
                </c:pt>
                <c:pt idx="549">
                  <c:v>2.8980999999999999</c:v>
                </c:pt>
                <c:pt idx="550">
                  <c:v>2.8679000000000001</c:v>
                </c:pt>
                <c:pt idx="551">
                  <c:v>2.8437999999999999</c:v>
                </c:pt>
                <c:pt idx="552">
                  <c:v>2.7984</c:v>
                </c:pt>
                <c:pt idx="553">
                  <c:v>2.8702999999999999</c:v>
                </c:pt>
                <c:pt idx="554">
                  <c:v>2.7227999999999999</c:v>
                </c:pt>
                <c:pt idx="555">
                  <c:v>2.6775000000000002</c:v>
                </c:pt>
                <c:pt idx="556">
                  <c:v>2.6959999999999997</c:v>
                </c:pt>
                <c:pt idx="557">
                  <c:v>2.6959999999999997</c:v>
                </c:pt>
                <c:pt idx="558" formatCode="_-* #,##0.00_р_._-;\-* #,##0.00_р_._-;_-* &quot;-&quot;??_р_._-;_-@_-">
                  <c:v>2.7005785123966941</c:v>
                </c:pt>
                <c:pt idx="559" formatCode="_-* #,##0.00_р_._-;\-* #,##0.00_р_._-;_-* &quot;-&quot;??_р_._-;_-@_-">
                  <c:v>2.7051570247933885</c:v>
                </c:pt>
                <c:pt idx="560" formatCode="_-* #,##0.00_р_._-;\-* #,##0.00_р_._-;_-* &quot;-&quot;??_р_._-;_-@_-">
                  <c:v>2.7097355371900829</c:v>
                </c:pt>
                <c:pt idx="561" formatCode="_-* #,##0.00_р_._-;\-* #,##0.00_р_._-;_-* &quot;-&quot;??_р_._-;_-@_-">
                  <c:v>2.7143140495867772</c:v>
                </c:pt>
                <c:pt idx="562" formatCode="_-* #,##0.00_р_._-;\-* #,##0.00_р_._-;_-* &quot;-&quot;??_р_._-;_-@_-">
                  <c:v>2.7188925619834716</c:v>
                </c:pt>
                <c:pt idx="563" formatCode="_-* #,##0.00_р_._-;\-* #,##0.00_р_._-;_-* &quot;-&quot;??_р_._-;_-@_-">
                  <c:v>2.723471074380166</c:v>
                </c:pt>
                <c:pt idx="564" formatCode="_-* #,##0.00_р_._-;\-* #,##0.00_р_._-;_-* &quot;-&quot;??_р_._-;_-@_-">
                  <c:v>2.7280495867768604</c:v>
                </c:pt>
                <c:pt idx="565" formatCode="_-* #,##0.00_р_._-;\-* #,##0.00_р_._-;_-* &quot;-&quot;??_р_._-;_-@_-">
                  <c:v>2.7326280991735548</c:v>
                </c:pt>
                <c:pt idx="566" formatCode="_-* #,##0.00_р_._-;\-* #,##0.00_р_._-;_-* &quot;-&quot;??_р_._-;_-@_-">
                  <c:v>2.7372066115702491</c:v>
                </c:pt>
                <c:pt idx="567" formatCode="_-* #,##0.00_р_._-;\-* #,##0.00_р_._-;_-* &quot;-&quot;??_р_._-;_-@_-">
                  <c:v>2.7417851239669435</c:v>
                </c:pt>
                <c:pt idx="568" formatCode="_-* #,##0.00_р_._-;\-* #,##0.00_р_._-;_-* &quot;-&quot;??_р_._-;_-@_-">
                  <c:v>2.7463636363636379</c:v>
                </c:pt>
                <c:pt idx="569" formatCode="_-* #,##0.00_р_._-;\-* #,##0.00_р_._-;_-* &quot;-&quot;??_р_._-;_-@_-">
                  <c:v>2.7509421487603323</c:v>
                </c:pt>
                <c:pt idx="570" formatCode="_-* #,##0.00_р_._-;\-* #,##0.00_р_._-;_-* &quot;-&quot;??_р_._-;_-@_-">
                  <c:v>2.7555206611570267</c:v>
                </c:pt>
                <c:pt idx="571" formatCode="_-* #,##0.00_р_._-;\-* #,##0.00_р_._-;_-* &quot;-&quot;??_р_._-;_-@_-">
                  <c:v>2.760099173553721</c:v>
                </c:pt>
                <c:pt idx="572" formatCode="_-* #,##0.00_р_._-;\-* #,##0.00_р_._-;_-* &quot;-&quot;??_р_._-;_-@_-">
                  <c:v>2.7646776859504154</c:v>
                </c:pt>
                <c:pt idx="573" formatCode="_-* #,##0.00_р_._-;\-* #,##0.00_р_._-;_-* &quot;-&quot;??_р_._-;_-@_-">
                  <c:v>2.7692561983471098</c:v>
                </c:pt>
                <c:pt idx="574" formatCode="_-* #,##0.00_р_._-;\-* #,##0.00_р_._-;_-* &quot;-&quot;??_р_._-;_-@_-">
                  <c:v>2.7738347107438042</c:v>
                </c:pt>
                <c:pt idx="575" formatCode="_-* #,##0.00_р_._-;\-* #,##0.00_р_._-;_-* &quot;-&quot;??_р_._-;_-@_-">
                  <c:v>2.7784132231404985</c:v>
                </c:pt>
                <c:pt idx="576" formatCode="_-* #,##0.00_р_._-;\-* #,##0.00_р_._-;_-* &quot;-&quot;??_р_._-;_-@_-">
                  <c:v>2.7829917355371929</c:v>
                </c:pt>
                <c:pt idx="577" formatCode="_-* #,##0.00_р_._-;\-* #,##0.00_р_._-;_-* &quot;-&quot;??_р_._-;_-@_-">
                  <c:v>2.7875702479338873</c:v>
                </c:pt>
                <c:pt idx="578" formatCode="_-* #,##0.00_р_._-;\-* #,##0.00_р_._-;_-* &quot;-&quot;??_р_._-;_-@_-">
                  <c:v>2.7921487603305817</c:v>
                </c:pt>
                <c:pt idx="579" formatCode="_-* #,##0.00_р_._-;\-* #,##0.00_р_._-;_-* &quot;-&quot;??_р_._-;_-@_-">
                  <c:v>2.7967272727272761</c:v>
                </c:pt>
                <c:pt idx="580" formatCode="_-* #,##0.00_р_._-;\-* #,##0.00_р_._-;_-* &quot;-&quot;??_р_._-;_-@_-">
                  <c:v>2.8013057851239704</c:v>
                </c:pt>
                <c:pt idx="581" formatCode="_-* #,##0.00_р_._-;\-* #,##0.00_р_._-;_-* &quot;-&quot;??_р_._-;_-@_-">
                  <c:v>2.8058842975206648</c:v>
                </c:pt>
                <c:pt idx="582" formatCode="_-* #,##0.00_р_._-;\-* #,##0.00_р_._-;_-* &quot;-&quot;??_р_._-;_-@_-">
                  <c:v>2.8104628099173592</c:v>
                </c:pt>
                <c:pt idx="583" formatCode="_-* #,##0.00_р_._-;\-* #,##0.00_р_._-;_-* &quot;-&quot;??_р_._-;_-@_-">
                  <c:v>2.8150413223140536</c:v>
                </c:pt>
                <c:pt idx="584" formatCode="_-* #,##0.00_р_._-;\-* #,##0.00_р_._-;_-* &quot;-&quot;??_р_._-;_-@_-">
                  <c:v>2.819619834710748</c:v>
                </c:pt>
                <c:pt idx="585" formatCode="_-* #,##0.00_р_._-;\-* #,##0.00_р_._-;_-* &quot;-&quot;??_р_._-;_-@_-">
                  <c:v>2.8241983471074423</c:v>
                </c:pt>
                <c:pt idx="586" formatCode="_-* #,##0.00_р_._-;\-* #,##0.00_р_._-;_-* &quot;-&quot;??_р_._-;_-@_-">
                  <c:v>2.8287768595041367</c:v>
                </c:pt>
                <c:pt idx="587" formatCode="_-* #,##0.00_р_._-;\-* #,##0.00_р_._-;_-* &quot;-&quot;??_р_._-;_-@_-">
                  <c:v>2.8333553719008311</c:v>
                </c:pt>
                <c:pt idx="588" formatCode="_-* #,##0.00_р_._-;\-* #,##0.00_р_._-;_-* &quot;-&quot;??_р_._-;_-@_-">
                  <c:v>2.8379338842975255</c:v>
                </c:pt>
                <c:pt idx="589" formatCode="_-* #,##0.00_р_._-;\-* #,##0.00_р_._-;_-* &quot;-&quot;??_р_._-;_-@_-">
                  <c:v>2.8425123966942198</c:v>
                </c:pt>
                <c:pt idx="590" formatCode="_-* #,##0.00_р_._-;\-* #,##0.00_р_._-;_-* &quot;-&quot;??_р_._-;_-@_-">
                  <c:v>2.8470909090909142</c:v>
                </c:pt>
                <c:pt idx="591" formatCode="_-* #,##0.00_р_._-;\-* #,##0.00_р_._-;_-* &quot;-&quot;??_р_._-;_-@_-">
                  <c:v>2.8516694214876086</c:v>
                </c:pt>
                <c:pt idx="592" formatCode="_-* #,##0.00_р_._-;\-* #,##0.00_р_._-;_-* &quot;-&quot;??_р_._-;_-@_-">
                  <c:v>2.856247933884303</c:v>
                </c:pt>
                <c:pt idx="593" formatCode="_-* #,##0.00_р_._-;\-* #,##0.00_р_._-;_-* &quot;-&quot;??_р_._-;_-@_-">
                  <c:v>2.8608264462809974</c:v>
                </c:pt>
                <c:pt idx="594" formatCode="_-* #,##0.00_р_._-;\-* #,##0.00_р_._-;_-* &quot;-&quot;??_р_._-;_-@_-">
                  <c:v>2.8654049586776917</c:v>
                </c:pt>
                <c:pt idx="595" formatCode="_-* #,##0.00_р_._-;\-* #,##0.00_р_._-;_-* &quot;-&quot;??_р_._-;_-@_-">
                  <c:v>2.8699834710743861</c:v>
                </c:pt>
                <c:pt idx="596" formatCode="_-* #,##0.00_р_._-;\-* #,##0.00_р_._-;_-* &quot;-&quot;??_р_._-;_-@_-">
                  <c:v>2.8745619834710805</c:v>
                </c:pt>
                <c:pt idx="597" formatCode="_-* #,##0.00_р_._-;\-* #,##0.00_р_._-;_-* &quot;-&quot;??_р_._-;_-@_-">
                  <c:v>2.8791404958677749</c:v>
                </c:pt>
                <c:pt idx="598" formatCode="_-* #,##0.00_р_._-;\-* #,##0.00_р_._-;_-* &quot;-&quot;??_р_._-;_-@_-">
                  <c:v>2.8837190082644693</c:v>
                </c:pt>
                <c:pt idx="599" formatCode="_-* #,##0.00_р_._-;\-* #,##0.00_р_._-;_-* &quot;-&quot;??_р_._-;_-@_-">
                  <c:v>2.8882975206611636</c:v>
                </c:pt>
                <c:pt idx="600" formatCode="_-* #,##0.00_р_._-;\-* #,##0.00_р_._-;_-* &quot;-&quot;??_р_._-;_-@_-">
                  <c:v>2.892876033057858</c:v>
                </c:pt>
                <c:pt idx="601" formatCode="_-* #,##0.00_р_._-;\-* #,##0.00_р_._-;_-* &quot;-&quot;??_р_._-;_-@_-">
                  <c:v>2.8974545454545524</c:v>
                </c:pt>
                <c:pt idx="602" formatCode="_-* #,##0.00_р_._-;\-* #,##0.00_р_._-;_-* &quot;-&quot;??_р_._-;_-@_-">
                  <c:v>2.9020330578512468</c:v>
                </c:pt>
                <c:pt idx="603" formatCode="_-* #,##0.00_р_._-;\-* #,##0.00_р_._-;_-* &quot;-&quot;??_р_._-;_-@_-">
                  <c:v>2.9066115702479411</c:v>
                </c:pt>
                <c:pt idx="604" formatCode="_-* #,##0.00_р_._-;\-* #,##0.00_р_._-;_-* &quot;-&quot;??_р_._-;_-@_-">
                  <c:v>2.9111900826446355</c:v>
                </c:pt>
                <c:pt idx="605" formatCode="_-* #,##0.00_р_._-;\-* #,##0.00_р_._-;_-* &quot;-&quot;??_р_._-;_-@_-">
                  <c:v>2.9157685950413299</c:v>
                </c:pt>
                <c:pt idx="606" formatCode="_-* #,##0.00_р_._-;\-* #,##0.00_р_._-;_-* &quot;-&quot;??_р_._-;_-@_-">
                  <c:v>2.9203471074380243</c:v>
                </c:pt>
                <c:pt idx="607" formatCode="_-* #,##0.00_р_._-;\-* #,##0.00_р_._-;_-* &quot;-&quot;??_р_._-;_-@_-">
                  <c:v>2.9249256198347187</c:v>
                </c:pt>
                <c:pt idx="608" formatCode="_-* #,##0.00_р_._-;\-* #,##0.00_р_._-;_-* &quot;-&quot;??_р_._-;_-@_-">
                  <c:v>2.929504132231413</c:v>
                </c:pt>
                <c:pt idx="609" formatCode="_-* #,##0.00_р_._-;\-* #,##0.00_р_._-;_-* &quot;-&quot;??_р_._-;_-@_-">
                  <c:v>2.9340826446281074</c:v>
                </c:pt>
                <c:pt idx="610" formatCode="_-* #,##0.00_р_._-;\-* #,##0.00_р_._-;_-* &quot;-&quot;??_р_._-;_-@_-">
                  <c:v>2.9386611570248018</c:v>
                </c:pt>
                <c:pt idx="611" formatCode="_-* #,##0.00_р_._-;\-* #,##0.00_р_._-;_-* &quot;-&quot;??_р_._-;_-@_-">
                  <c:v>2.9432396694214962</c:v>
                </c:pt>
                <c:pt idx="612" formatCode="_-* #,##0.00_р_._-;\-* #,##0.00_р_._-;_-* &quot;-&quot;??_р_._-;_-@_-">
                  <c:v>2.9478181818181906</c:v>
                </c:pt>
                <c:pt idx="613" formatCode="_-* #,##0.00_р_._-;\-* #,##0.00_р_._-;_-* &quot;-&quot;??_р_._-;_-@_-">
                  <c:v>2.9523966942148849</c:v>
                </c:pt>
                <c:pt idx="614" formatCode="_-* #,##0.00_р_._-;\-* #,##0.00_р_._-;_-* &quot;-&quot;??_р_._-;_-@_-">
                  <c:v>2.9569752066115793</c:v>
                </c:pt>
                <c:pt idx="615" formatCode="_-* #,##0.00_р_._-;\-* #,##0.00_р_._-;_-* &quot;-&quot;??_р_._-;_-@_-">
                  <c:v>2.9615537190082737</c:v>
                </c:pt>
                <c:pt idx="616" formatCode="_-* #,##0.00_р_._-;\-* #,##0.00_р_._-;_-* &quot;-&quot;??_р_._-;_-@_-">
                  <c:v>2.9661322314049681</c:v>
                </c:pt>
                <c:pt idx="617" formatCode="_-* #,##0.00_р_._-;\-* #,##0.00_р_._-;_-* &quot;-&quot;??_р_._-;_-@_-">
                  <c:v>2.9707107438016624</c:v>
                </c:pt>
                <c:pt idx="618" formatCode="_-* #,##0.00_р_._-;\-* #,##0.00_р_._-;_-* &quot;-&quot;??_р_._-;_-@_-">
                  <c:v>2.9752892561983568</c:v>
                </c:pt>
                <c:pt idx="619" formatCode="_-* #,##0.00_р_._-;\-* #,##0.00_р_._-;_-* &quot;-&quot;??_р_._-;_-@_-">
                  <c:v>2.9798677685950512</c:v>
                </c:pt>
                <c:pt idx="620" formatCode="_-* #,##0.00_р_._-;\-* #,##0.00_р_._-;_-* &quot;-&quot;??_р_._-;_-@_-">
                  <c:v>2.9844462809917456</c:v>
                </c:pt>
                <c:pt idx="621" formatCode="_-* #,##0.00_р_._-;\-* #,##0.00_р_._-;_-* &quot;-&quot;??_р_._-;_-@_-">
                  <c:v>2.98902479338844</c:v>
                </c:pt>
                <c:pt idx="622" formatCode="_-* #,##0.00_р_._-;\-* #,##0.00_р_._-;_-* &quot;-&quot;??_р_._-;_-@_-">
                  <c:v>2.9936033057851343</c:v>
                </c:pt>
                <c:pt idx="623" formatCode="_-* #,##0.00_р_._-;\-* #,##0.00_р_._-;_-* &quot;-&quot;??_р_._-;_-@_-">
                  <c:v>2.9981818181818287</c:v>
                </c:pt>
                <c:pt idx="624" formatCode="_-* #,##0.00_р_._-;\-* #,##0.00_р_._-;_-* &quot;-&quot;??_р_._-;_-@_-">
                  <c:v>3.0027603305785231</c:v>
                </c:pt>
                <c:pt idx="625" formatCode="_-* #,##0.00_р_._-;\-* #,##0.00_р_._-;_-* &quot;-&quot;??_р_._-;_-@_-">
                  <c:v>3.0073388429752175</c:v>
                </c:pt>
                <c:pt idx="626" formatCode="_-* #,##0.00_р_._-;\-* #,##0.00_р_._-;_-* &quot;-&quot;??_р_._-;_-@_-">
                  <c:v>3.0119173553719119</c:v>
                </c:pt>
                <c:pt idx="627" formatCode="_-* #,##0.00_р_._-;\-* #,##0.00_р_._-;_-* &quot;-&quot;??_р_._-;_-@_-">
                  <c:v>3.0164958677686062</c:v>
                </c:pt>
                <c:pt idx="628" formatCode="_-* #,##0.00_р_._-;\-* #,##0.00_р_._-;_-* &quot;-&quot;??_р_._-;_-@_-">
                  <c:v>3.0210743801653006</c:v>
                </c:pt>
                <c:pt idx="629" formatCode="_-* #,##0.00_р_._-;\-* #,##0.00_р_._-;_-* &quot;-&quot;??_р_._-;_-@_-">
                  <c:v>3.025652892561995</c:v>
                </c:pt>
                <c:pt idx="630" formatCode="_-* #,##0.00_р_._-;\-* #,##0.00_р_._-;_-* &quot;-&quot;??_р_._-;_-@_-">
                  <c:v>3.0302314049586894</c:v>
                </c:pt>
                <c:pt idx="631" formatCode="_-* #,##0.00_р_._-;\-* #,##0.00_р_._-;_-* &quot;-&quot;??_р_._-;_-@_-">
                  <c:v>3.0348099173553837</c:v>
                </c:pt>
                <c:pt idx="632" formatCode="_-* #,##0.00_р_._-;\-* #,##0.00_р_._-;_-* &quot;-&quot;??_р_._-;_-@_-">
                  <c:v>3.0393884297520781</c:v>
                </c:pt>
                <c:pt idx="633" formatCode="_-* #,##0.00_р_._-;\-* #,##0.00_р_._-;_-* &quot;-&quot;??_р_._-;_-@_-">
                  <c:v>3.0439669421487725</c:v>
                </c:pt>
                <c:pt idx="634" formatCode="_-* #,##0.00_р_._-;\-* #,##0.00_р_._-;_-* &quot;-&quot;??_р_._-;_-@_-">
                  <c:v>3.0485454545454669</c:v>
                </c:pt>
                <c:pt idx="635" formatCode="_-* #,##0.00_р_._-;\-* #,##0.00_р_._-;_-* &quot;-&quot;??_р_._-;_-@_-">
                  <c:v>3.0531239669421613</c:v>
                </c:pt>
                <c:pt idx="636" formatCode="_-* #,##0.00_р_._-;\-* #,##0.00_р_._-;_-* &quot;-&quot;??_р_._-;_-@_-">
                  <c:v>3.0577024793388556</c:v>
                </c:pt>
                <c:pt idx="637" formatCode="_-* #,##0.00_р_._-;\-* #,##0.00_р_._-;_-* &quot;-&quot;??_р_._-;_-@_-">
                  <c:v>3.06228099173555</c:v>
                </c:pt>
                <c:pt idx="638" formatCode="_-* #,##0.00_р_._-;\-* #,##0.00_р_._-;_-* &quot;-&quot;??_р_._-;_-@_-">
                  <c:v>3.0668595041322444</c:v>
                </c:pt>
                <c:pt idx="639" formatCode="_-* #,##0.00_р_._-;\-* #,##0.00_р_._-;_-* &quot;-&quot;??_р_._-;_-@_-">
                  <c:v>3.0714380165289388</c:v>
                </c:pt>
                <c:pt idx="640" formatCode="_-* #,##0.00_р_._-;\-* #,##0.00_р_._-;_-* &quot;-&quot;??_р_._-;_-@_-">
                  <c:v>3.0760165289256332</c:v>
                </c:pt>
                <c:pt idx="641" formatCode="_-* #,##0.00_р_._-;\-* #,##0.00_р_._-;_-* &quot;-&quot;??_р_._-;_-@_-">
                  <c:v>3.0805950413223275</c:v>
                </c:pt>
                <c:pt idx="642" formatCode="_-* #,##0.00_р_._-;\-* #,##0.00_р_._-;_-* &quot;-&quot;??_р_._-;_-@_-">
                  <c:v>3.0851735537190219</c:v>
                </c:pt>
                <c:pt idx="643" formatCode="_-* #,##0.00_р_._-;\-* #,##0.00_р_._-;_-* &quot;-&quot;??_р_._-;_-@_-">
                  <c:v>3.0897520661157163</c:v>
                </c:pt>
                <c:pt idx="644" formatCode="_-* #,##0.00_р_._-;\-* #,##0.00_р_._-;_-* &quot;-&quot;??_р_._-;_-@_-">
                  <c:v>3.0943305785124107</c:v>
                </c:pt>
                <c:pt idx="645" formatCode="_-* #,##0.00_р_._-;\-* #,##0.00_р_._-;_-* &quot;-&quot;??_р_._-;_-@_-">
                  <c:v>3.098909090909105</c:v>
                </c:pt>
                <c:pt idx="646" formatCode="_-* #,##0.00_р_._-;\-* #,##0.00_р_._-;_-* &quot;-&quot;??_р_._-;_-@_-">
                  <c:v>3.1034876033057994</c:v>
                </c:pt>
                <c:pt idx="647" formatCode="_-* #,##0.00_р_._-;\-* #,##0.00_р_._-;_-* &quot;-&quot;??_р_._-;_-@_-">
                  <c:v>3.1080661157024938</c:v>
                </c:pt>
                <c:pt idx="648" formatCode="_-* #,##0.00_р_._-;\-* #,##0.00_р_._-;_-* &quot;-&quot;??_р_._-;_-@_-">
                  <c:v>3.1126446280991882</c:v>
                </c:pt>
                <c:pt idx="649" formatCode="_-* #,##0.00_р_._-;\-* #,##0.00_р_._-;_-* &quot;-&quot;??_р_._-;_-@_-">
                  <c:v>3.1172231404958826</c:v>
                </c:pt>
                <c:pt idx="650" formatCode="_-* #,##0.00_р_._-;\-* #,##0.00_р_._-;_-* &quot;-&quot;??_р_._-;_-@_-">
                  <c:v>3.1218016528925769</c:v>
                </c:pt>
                <c:pt idx="651" formatCode="_-* #,##0.00_р_._-;\-* #,##0.00_р_._-;_-* &quot;-&quot;??_р_._-;_-@_-">
                  <c:v>3.1263801652892713</c:v>
                </c:pt>
                <c:pt idx="652" formatCode="_-* #,##0.00_р_._-;\-* #,##0.00_р_._-;_-* &quot;-&quot;??_р_._-;_-@_-">
                  <c:v>3.1309586776859657</c:v>
                </c:pt>
                <c:pt idx="653" formatCode="_-* #,##0.00_р_._-;\-* #,##0.00_р_._-;_-* &quot;-&quot;??_р_._-;_-@_-">
                  <c:v>3.1355371900826601</c:v>
                </c:pt>
                <c:pt idx="654" formatCode="_-* #,##0.00_р_._-;\-* #,##0.00_р_._-;_-* &quot;-&quot;??_р_._-;_-@_-">
                  <c:v>3.1401157024793545</c:v>
                </c:pt>
                <c:pt idx="655" formatCode="_-* #,##0.00_р_._-;\-* #,##0.00_р_._-;_-* &quot;-&quot;??_р_._-;_-@_-">
                  <c:v>3.1446942148760488</c:v>
                </c:pt>
                <c:pt idx="656" formatCode="_-* #,##0.00_р_._-;\-* #,##0.00_р_._-;_-* &quot;-&quot;??_р_._-;_-@_-">
                  <c:v>3.1492727272727432</c:v>
                </c:pt>
                <c:pt idx="657" formatCode="_-* #,##0.00_р_._-;\-* #,##0.00_р_._-;_-* &quot;-&quot;??_р_._-;_-@_-">
                  <c:v>3.1538512396694376</c:v>
                </c:pt>
                <c:pt idx="658" formatCode="_-* #,##0.00_р_._-;\-* #,##0.00_р_._-;_-* &quot;-&quot;??_р_._-;_-@_-">
                  <c:v>3.158429752066132</c:v>
                </c:pt>
                <c:pt idx="659" formatCode="_-* #,##0.00_р_._-;\-* #,##0.00_р_._-;_-* &quot;-&quot;??_р_._-;_-@_-">
                  <c:v>3.1630082644628263</c:v>
                </c:pt>
                <c:pt idx="660" formatCode="_-* #,##0.00_р_._-;\-* #,##0.00_р_._-;_-* &quot;-&quot;??_р_._-;_-@_-">
                  <c:v>3.1675867768595207</c:v>
                </c:pt>
                <c:pt idx="661" formatCode="_-* #,##0.00_р_._-;\-* #,##0.00_р_._-;_-* &quot;-&quot;??_р_._-;_-@_-">
                  <c:v>3.1721652892562151</c:v>
                </c:pt>
                <c:pt idx="662" formatCode="_-* #,##0.00_р_._-;\-* #,##0.00_р_._-;_-* &quot;-&quot;??_р_._-;_-@_-">
                  <c:v>3.1767438016529095</c:v>
                </c:pt>
                <c:pt idx="663" formatCode="_-* #,##0.00_р_._-;\-* #,##0.00_р_._-;_-* &quot;-&quot;??_р_._-;_-@_-">
                  <c:v>3.1813223140496039</c:v>
                </c:pt>
                <c:pt idx="664" formatCode="_-* #,##0.00_р_._-;\-* #,##0.00_р_._-;_-* &quot;-&quot;??_р_._-;_-@_-">
                  <c:v>3.1859008264462982</c:v>
                </c:pt>
                <c:pt idx="665" formatCode="_-* #,##0.00_р_._-;\-* #,##0.00_р_._-;_-* &quot;-&quot;??_р_._-;_-@_-">
                  <c:v>3.1904793388429926</c:v>
                </c:pt>
                <c:pt idx="666" formatCode="_-* #,##0.00_р_._-;\-* #,##0.00_р_._-;_-* &quot;-&quot;??_р_._-;_-@_-">
                  <c:v>3.195057851239687</c:v>
                </c:pt>
                <c:pt idx="667" formatCode="_-* #,##0.00_р_._-;\-* #,##0.00_р_._-;_-* &quot;-&quot;??_р_._-;_-@_-">
                  <c:v>3.1996363636363814</c:v>
                </c:pt>
                <c:pt idx="668" formatCode="_-* #,##0.00_р_._-;\-* #,##0.00_р_._-;_-* &quot;-&quot;??_р_._-;_-@_-">
                  <c:v>3.2042148760330758</c:v>
                </c:pt>
                <c:pt idx="669" formatCode="_-* #,##0.00_р_._-;\-* #,##0.00_р_._-;_-* &quot;-&quot;??_р_._-;_-@_-">
                  <c:v>3.2087933884297701</c:v>
                </c:pt>
                <c:pt idx="670" formatCode="_-* #,##0.00_р_._-;\-* #,##0.00_р_._-;_-* &quot;-&quot;??_р_._-;_-@_-">
                  <c:v>3.2133719008264645</c:v>
                </c:pt>
                <c:pt idx="671" formatCode="_-* #,##0.00_р_._-;\-* #,##0.00_р_._-;_-* &quot;-&quot;??_р_._-;_-@_-">
                  <c:v>3.2179504132231589</c:v>
                </c:pt>
                <c:pt idx="672" formatCode="_-* #,##0.00_р_._-;\-* #,##0.00_р_._-;_-* &quot;-&quot;??_р_._-;_-@_-">
                  <c:v>3.2225289256198533</c:v>
                </c:pt>
                <c:pt idx="673" formatCode="_-* #,##0.00_р_._-;\-* #,##0.00_р_._-;_-* &quot;-&quot;??_р_._-;_-@_-">
                  <c:v>3.2271074380165476</c:v>
                </c:pt>
                <c:pt idx="674" formatCode="_-* #,##0.00_р_._-;\-* #,##0.00_р_._-;_-* &quot;-&quot;??_р_._-;_-@_-">
                  <c:v>3.231685950413242</c:v>
                </c:pt>
                <c:pt idx="675" formatCode="_-* #,##0.00_р_._-;\-* #,##0.00_р_._-;_-* &quot;-&quot;??_р_._-;_-@_-">
                  <c:v>3.2362644628099364</c:v>
                </c:pt>
                <c:pt idx="676" formatCode="_-* #,##0.00_р_._-;\-* #,##0.00_р_._-;_-* &quot;-&quot;??_р_._-;_-@_-">
                  <c:v>3.2408429752066308</c:v>
                </c:pt>
                <c:pt idx="677" formatCode="_-* #,##0.00_р_._-;\-* #,##0.00_р_._-;_-* &quot;-&quot;??_р_._-;_-@_-">
                  <c:v>3.2454214876033252</c:v>
                </c:pt>
                <c:pt idx="678">
                  <c:v>3.25</c:v>
                </c:pt>
              </c:numCache>
            </c:numRef>
          </c:val>
        </c:ser>
        <c:ser>
          <c:idx val="5"/>
          <c:order val="5"/>
          <c:spPr>
            <a:gradFill flip="none" rotWithShape="1">
              <a:gsLst>
                <a:gs pos="0">
                  <a:srgbClr val="5E9EFF"/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6600000" scaled="0"/>
              <a:tileRect/>
            </a:gradFill>
            <a:ln>
              <a:noFill/>
            </a:ln>
          </c:spPr>
          <c:val>
            <c:numRef>
              <c:f>Лист4!$S$5:$S$683</c:f>
              <c:numCache>
                <c:formatCode>General</c:formatCode>
                <c:ptCount val="6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 formatCode="_-* #,##0.00_р_._-;\-* #,##0.00_р_._-;_-* &quot;-&quot;??_р_._-;_-@_-">
                  <c:v>0</c:v>
                </c:pt>
                <c:pt idx="558" formatCode="_-* #,##0.00_р_._-;\-* #,##0.00_р_._-;_-* &quot;-&quot;??_р_._-;_-@_-">
                  <c:v>8.6776859504129611E-3</c:v>
                </c:pt>
                <c:pt idx="559" formatCode="_-* #,##0.00_р_._-;\-* #,##0.00_р_._-;_-* &quot;-&quot;??_р_._-;_-@_-">
                  <c:v>1.7355371900825922E-2</c:v>
                </c:pt>
                <c:pt idx="560" formatCode="_-* #,##0.00_р_._-;\-* #,##0.00_р_._-;_-* &quot;-&quot;??_р_._-;_-@_-">
                  <c:v>2.6033057851238883E-2</c:v>
                </c:pt>
                <c:pt idx="561" formatCode="_-* #,##0.00_р_._-;\-* #,##0.00_р_._-;_-* &quot;-&quot;??_р_._-;_-@_-">
                  <c:v>3.4710743801651844E-2</c:v>
                </c:pt>
                <c:pt idx="562" formatCode="_-* #,##0.00_р_._-;\-* #,##0.00_р_._-;_-* &quot;-&quot;??_р_._-;_-@_-">
                  <c:v>4.3388429752064805E-2</c:v>
                </c:pt>
                <c:pt idx="563" formatCode="_-* #,##0.00_р_._-;\-* #,##0.00_р_._-;_-* &quot;-&quot;??_р_._-;_-@_-">
                  <c:v>5.2066115702477767E-2</c:v>
                </c:pt>
                <c:pt idx="564" formatCode="_-* #,##0.00_р_._-;\-* #,##0.00_р_._-;_-* &quot;-&quot;??_р_._-;_-@_-">
                  <c:v>6.0743801652890728E-2</c:v>
                </c:pt>
                <c:pt idx="565" formatCode="_-* #,##0.00_р_._-;\-* #,##0.00_р_._-;_-* &quot;-&quot;??_р_._-;_-@_-">
                  <c:v>6.9421487603303689E-2</c:v>
                </c:pt>
                <c:pt idx="566" formatCode="_-* #,##0.00_р_._-;\-* #,##0.00_р_._-;_-* &quot;-&quot;??_р_._-;_-@_-">
                  <c:v>7.809917355371665E-2</c:v>
                </c:pt>
                <c:pt idx="567" formatCode="_-* #,##0.00_р_._-;\-* #,##0.00_р_._-;_-* &quot;-&quot;??_р_._-;_-@_-">
                  <c:v>8.6776859504129611E-2</c:v>
                </c:pt>
                <c:pt idx="568" formatCode="_-* #,##0.00_р_._-;\-* #,##0.00_р_._-;_-* &quot;-&quot;??_р_._-;_-@_-">
                  <c:v>9.5454545454542572E-2</c:v>
                </c:pt>
                <c:pt idx="569" formatCode="_-* #,##0.00_р_._-;\-* #,##0.00_р_._-;_-* &quot;-&quot;??_р_._-;_-@_-">
                  <c:v>0.10413223140495553</c:v>
                </c:pt>
                <c:pt idx="570" formatCode="_-* #,##0.00_р_._-;\-* #,##0.00_р_._-;_-* &quot;-&quot;??_р_._-;_-@_-">
                  <c:v>0.11280991735536849</c:v>
                </c:pt>
                <c:pt idx="571" formatCode="_-* #,##0.00_р_._-;\-* #,##0.00_р_._-;_-* &quot;-&quot;??_р_._-;_-@_-">
                  <c:v>0.12148760330578146</c:v>
                </c:pt>
                <c:pt idx="572" formatCode="_-* #,##0.00_р_._-;\-* #,##0.00_р_._-;_-* &quot;-&quot;??_р_._-;_-@_-">
                  <c:v>0.13016528925619442</c:v>
                </c:pt>
                <c:pt idx="573" formatCode="_-* #,##0.00_р_._-;\-* #,##0.00_р_._-;_-* &quot;-&quot;??_р_._-;_-@_-">
                  <c:v>0.13884297520660738</c:v>
                </c:pt>
                <c:pt idx="574" formatCode="_-* #,##0.00_р_._-;\-* #,##0.00_р_._-;_-* &quot;-&quot;??_р_._-;_-@_-">
                  <c:v>0.14752066115702034</c:v>
                </c:pt>
                <c:pt idx="575" formatCode="_-* #,##0.00_р_._-;\-* #,##0.00_р_._-;_-* &quot;-&quot;??_р_._-;_-@_-">
                  <c:v>0.1561983471074333</c:v>
                </c:pt>
                <c:pt idx="576" formatCode="_-* #,##0.00_р_._-;\-* #,##0.00_р_._-;_-* &quot;-&quot;??_р_._-;_-@_-">
                  <c:v>0.16487603305784626</c:v>
                </c:pt>
                <c:pt idx="577" formatCode="_-* #,##0.00_р_._-;\-* #,##0.00_р_._-;_-* &quot;-&quot;??_р_._-;_-@_-">
                  <c:v>0.17355371900825922</c:v>
                </c:pt>
                <c:pt idx="578" formatCode="_-* #,##0.00_р_._-;\-* #,##0.00_р_._-;_-* &quot;-&quot;??_р_._-;_-@_-">
                  <c:v>0.18223140495867218</c:v>
                </c:pt>
                <c:pt idx="579" formatCode="_-* #,##0.00_р_._-;\-* #,##0.00_р_._-;_-* &quot;-&quot;??_р_._-;_-@_-">
                  <c:v>0.19090909090908514</c:v>
                </c:pt>
                <c:pt idx="580" formatCode="_-* #,##0.00_р_._-;\-* #,##0.00_р_._-;_-* &quot;-&quot;??_р_._-;_-@_-">
                  <c:v>0.19958677685949811</c:v>
                </c:pt>
                <c:pt idx="581" formatCode="_-* #,##0.00_р_._-;\-* #,##0.00_р_._-;_-* &quot;-&quot;??_р_._-;_-@_-">
                  <c:v>0.20826446280991107</c:v>
                </c:pt>
                <c:pt idx="582" formatCode="_-* #,##0.00_р_._-;\-* #,##0.00_р_._-;_-* &quot;-&quot;??_р_._-;_-@_-">
                  <c:v>0.21694214876032403</c:v>
                </c:pt>
                <c:pt idx="583" formatCode="_-* #,##0.00_р_._-;\-* #,##0.00_р_._-;_-* &quot;-&quot;??_р_._-;_-@_-">
                  <c:v>0.22561983471073699</c:v>
                </c:pt>
                <c:pt idx="584" formatCode="_-* #,##0.00_р_._-;\-* #,##0.00_р_._-;_-* &quot;-&quot;??_р_._-;_-@_-">
                  <c:v>0.23429752066114995</c:v>
                </c:pt>
                <c:pt idx="585" formatCode="_-* #,##0.00_р_._-;\-* #,##0.00_р_._-;_-* &quot;-&quot;??_р_._-;_-@_-">
                  <c:v>0.24297520661156291</c:v>
                </c:pt>
                <c:pt idx="586" formatCode="_-* #,##0.00_р_._-;\-* #,##0.00_р_._-;_-* &quot;-&quot;??_р_._-;_-@_-">
                  <c:v>0.25165289256197587</c:v>
                </c:pt>
                <c:pt idx="587" formatCode="_-* #,##0.00_р_._-;\-* #,##0.00_р_._-;_-* &quot;-&quot;??_р_._-;_-@_-">
                  <c:v>0.26033057851238883</c:v>
                </c:pt>
                <c:pt idx="588" formatCode="_-* #,##0.00_р_._-;\-* #,##0.00_р_._-;_-* &quot;-&quot;??_р_._-;_-@_-">
                  <c:v>0.26900826446280179</c:v>
                </c:pt>
                <c:pt idx="589" formatCode="_-* #,##0.00_р_._-;\-* #,##0.00_р_._-;_-* &quot;-&quot;??_р_._-;_-@_-">
                  <c:v>0.27768595041321475</c:v>
                </c:pt>
                <c:pt idx="590" formatCode="_-* #,##0.00_р_._-;\-* #,##0.00_р_._-;_-* &quot;-&quot;??_р_._-;_-@_-">
                  <c:v>0.28636363636362772</c:v>
                </c:pt>
                <c:pt idx="591" formatCode="_-* #,##0.00_р_._-;\-* #,##0.00_р_._-;_-* &quot;-&quot;??_р_._-;_-@_-">
                  <c:v>0.29504132231404068</c:v>
                </c:pt>
                <c:pt idx="592" formatCode="_-* #,##0.00_р_._-;\-* #,##0.00_р_._-;_-* &quot;-&quot;??_р_._-;_-@_-">
                  <c:v>0.30371900826445364</c:v>
                </c:pt>
                <c:pt idx="593" formatCode="_-* #,##0.00_р_._-;\-* #,##0.00_р_._-;_-* &quot;-&quot;??_р_._-;_-@_-">
                  <c:v>0.3123966942148666</c:v>
                </c:pt>
                <c:pt idx="594" formatCode="_-* #,##0.00_р_._-;\-* #,##0.00_р_._-;_-* &quot;-&quot;??_р_._-;_-@_-">
                  <c:v>0.32107438016527956</c:v>
                </c:pt>
                <c:pt idx="595" formatCode="_-* #,##0.00_р_._-;\-* #,##0.00_р_._-;_-* &quot;-&quot;??_р_._-;_-@_-">
                  <c:v>0.32975206611569252</c:v>
                </c:pt>
                <c:pt idx="596" formatCode="_-* #,##0.00_р_._-;\-* #,##0.00_р_._-;_-* &quot;-&quot;??_р_._-;_-@_-">
                  <c:v>0.33842975206610548</c:v>
                </c:pt>
                <c:pt idx="597" formatCode="_-* #,##0.00_р_._-;\-* #,##0.00_р_._-;_-* &quot;-&quot;??_р_._-;_-@_-">
                  <c:v>0.34710743801651844</c:v>
                </c:pt>
                <c:pt idx="598" formatCode="_-* #,##0.00_р_._-;\-* #,##0.00_р_._-;_-* &quot;-&quot;??_р_._-;_-@_-">
                  <c:v>0.3557851239669314</c:v>
                </c:pt>
                <c:pt idx="599" formatCode="_-* #,##0.00_р_._-;\-* #,##0.00_р_._-;_-* &quot;-&quot;??_р_._-;_-@_-">
                  <c:v>0.36446280991734437</c:v>
                </c:pt>
                <c:pt idx="600" formatCode="_-* #,##0.00_р_._-;\-* #,##0.00_р_._-;_-* &quot;-&quot;??_р_._-;_-@_-">
                  <c:v>0.37314049586775733</c:v>
                </c:pt>
                <c:pt idx="601" formatCode="_-* #,##0.00_р_._-;\-* #,##0.00_р_._-;_-* &quot;-&quot;??_р_._-;_-@_-">
                  <c:v>0.38181818181817029</c:v>
                </c:pt>
                <c:pt idx="602" formatCode="_-* #,##0.00_р_._-;\-* #,##0.00_р_._-;_-* &quot;-&quot;??_р_._-;_-@_-">
                  <c:v>0.39049586776858325</c:v>
                </c:pt>
                <c:pt idx="603" formatCode="_-* #,##0.00_р_._-;\-* #,##0.00_р_._-;_-* &quot;-&quot;??_р_._-;_-@_-">
                  <c:v>0.39917355371899621</c:v>
                </c:pt>
                <c:pt idx="604" formatCode="_-* #,##0.00_р_._-;\-* #,##0.00_р_._-;_-* &quot;-&quot;??_р_._-;_-@_-">
                  <c:v>0.40785123966940917</c:v>
                </c:pt>
                <c:pt idx="605" formatCode="_-* #,##0.00_р_._-;\-* #,##0.00_р_._-;_-* &quot;-&quot;??_р_._-;_-@_-">
                  <c:v>0.41652892561982213</c:v>
                </c:pt>
                <c:pt idx="606" formatCode="_-* #,##0.00_р_._-;\-* #,##0.00_р_._-;_-* &quot;-&quot;??_р_._-;_-@_-">
                  <c:v>0.42520661157023509</c:v>
                </c:pt>
                <c:pt idx="607" formatCode="_-* #,##0.00_р_._-;\-* #,##0.00_р_._-;_-* &quot;-&quot;??_р_._-;_-@_-">
                  <c:v>0.43388429752064805</c:v>
                </c:pt>
                <c:pt idx="608" formatCode="_-* #,##0.00_р_._-;\-* #,##0.00_р_._-;_-* &quot;-&quot;??_р_._-;_-@_-">
                  <c:v>0.44256198347106102</c:v>
                </c:pt>
                <c:pt idx="609" formatCode="_-* #,##0.00_р_._-;\-* #,##0.00_р_._-;_-* &quot;-&quot;??_р_._-;_-@_-">
                  <c:v>0.45123966942147398</c:v>
                </c:pt>
                <c:pt idx="610" formatCode="_-* #,##0.00_р_._-;\-* #,##0.00_р_._-;_-* &quot;-&quot;??_р_._-;_-@_-">
                  <c:v>0.45991735537188694</c:v>
                </c:pt>
                <c:pt idx="611" formatCode="_-* #,##0.00_р_._-;\-* #,##0.00_р_._-;_-* &quot;-&quot;??_р_._-;_-@_-">
                  <c:v>0.4685950413222999</c:v>
                </c:pt>
                <c:pt idx="612" formatCode="_-* #,##0.00_р_._-;\-* #,##0.00_р_._-;_-* &quot;-&quot;??_р_._-;_-@_-">
                  <c:v>0.47727272727271286</c:v>
                </c:pt>
                <c:pt idx="613" formatCode="_-* #,##0.00_р_._-;\-* #,##0.00_р_._-;_-* &quot;-&quot;??_р_._-;_-@_-">
                  <c:v>0.48595041322312582</c:v>
                </c:pt>
                <c:pt idx="614" formatCode="_-* #,##0.00_р_._-;\-* #,##0.00_р_._-;_-* &quot;-&quot;??_р_._-;_-@_-">
                  <c:v>0.49462809917353878</c:v>
                </c:pt>
                <c:pt idx="615" formatCode="_-* #,##0.00_р_._-;\-* #,##0.00_р_._-;_-* &quot;-&quot;??_р_._-;_-@_-">
                  <c:v>0.50330578512395174</c:v>
                </c:pt>
                <c:pt idx="616" formatCode="_-* #,##0.00_р_._-;\-* #,##0.00_р_._-;_-* &quot;-&quot;??_р_._-;_-@_-">
                  <c:v>0.5119834710743647</c:v>
                </c:pt>
                <c:pt idx="617" formatCode="_-* #,##0.00_р_._-;\-* #,##0.00_р_._-;_-* &quot;-&quot;??_р_._-;_-@_-">
                  <c:v>0.52066115702477767</c:v>
                </c:pt>
                <c:pt idx="618" formatCode="_-* #,##0.00_р_._-;\-* #,##0.00_р_._-;_-* &quot;-&quot;??_р_._-;_-@_-">
                  <c:v>0.52933884297519063</c:v>
                </c:pt>
                <c:pt idx="619" formatCode="_-* #,##0.00_р_._-;\-* #,##0.00_р_._-;_-* &quot;-&quot;??_р_._-;_-@_-">
                  <c:v>0.53801652892560359</c:v>
                </c:pt>
                <c:pt idx="620" formatCode="_-* #,##0.00_р_._-;\-* #,##0.00_р_._-;_-* &quot;-&quot;??_р_._-;_-@_-">
                  <c:v>0.54669421487601655</c:v>
                </c:pt>
                <c:pt idx="621" formatCode="_-* #,##0.00_р_._-;\-* #,##0.00_р_._-;_-* &quot;-&quot;??_р_._-;_-@_-">
                  <c:v>0.55537190082642951</c:v>
                </c:pt>
                <c:pt idx="622" formatCode="_-* #,##0.00_р_._-;\-* #,##0.00_р_._-;_-* &quot;-&quot;??_р_._-;_-@_-">
                  <c:v>0.56404958677684247</c:v>
                </c:pt>
                <c:pt idx="623" formatCode="_-* #,##0.00_р_._-;\-* #,##0.00_р_._-;_-* &quot;-&quot;??_р_._-;_-@_-">
                  <c:v>0.57272727272725543</c:v>
                </c:pt>
                <c:pt idx="624" formatCode="_-* #,##0.00_р_._-;\-* #,##0.00_р_._-;_-* &quot;-&quot;??_р_._-;_-@_-">
                  <c:v>0.58140495867766839</c:v>
                </c:pt>
                <c:pt idx="625" formatCode="_-* #,##0.00_р_._-;\-* #,##0.00_р_._-;_-* &quot;-&quot;??_р_._-;_-@_-">
                  <c:v>0.59008264462808135</c:v>
                </c:pt>
                <c:pt idx="626" formatCode="_-* #,##0.00_р_._-;\-* #,##0.00_р_._-;_-* &quot;-&quot;??_р_._-;_-@_-">
                  <c:v>0.59876033057849432</c:v>
                </c:pt>
                <c:pt idx="627" formatCode="_-* #,##0.00_р_._-;\-* #,##0.00_р_._-;_-* &quot;-&quot;??_р_._-;_-@_-">
                  <c:v>0.60743801652890728</c:v>
                </c:pt>
                <c:pt idx="628" formatCode="_-* #,##0.00_р_._-;\-* #,##0.00_р_._-;_-* &quot;-&quot;??_р_._-;_-@_-">
                  <c:v>0.61611570247932024</c:v>
                </c:pt>
                <c:pt idx="629" formatCode="_-* #,##0.00_р_._-;\-* #,##0.00_р_._-;_-* &quot;-&quot;??_р_._-;_-@_-">
                  <c:v>0.6247933884297332</c:v>
                </c:pt>
                <c:pt idx="630" formatCode="_-* #,##0.00_р_._-;\-* #,##0.00_р_._-;_-* &quot;-&quot;??_р_._-;_-@_-">
                  <c:v>0.63347107438014616</c:v>
                </c:pt>
                <c:pt idx="631" formatCode="_-* #,##0.00_р_._-;\-* #,##0.00_р_._-;_-* &quot;-&quot;??_р_._-;_-@_-">
                  <c:v>0.64214876033055912</c:v>
                </c:pt>
                <c:pt idx="632" formatCode="_-* #,##0.00_р_._-;\-* #,##0.00_р_._-;_-* &quot;-&quot;??_р_._-;_-@_-">
                  <c:v>0.65082644628097208</c:v>
                </c:pt>
                <c:pt idx="633" formatCode="_-* #,##0.00_р_._-;\-* #,##0.00_р_._-;_-* &quot;-&quot;??_р_._-;_-@_-">
                  <c:v>0.65950413223138504</c:v>
                </c:pt>
                <c:pt idx="634" formatCode="_-* #,##0.00_р_._-;\-* #,##0.00_р_._-;_-* &quot;-&quot;??_р_._-;_-@_-">
                  <c:v>0.668181818181798</c:v>
                </c:pt>
                <c:pt idx="635" formatCode="_-* #,##0.00_р_._-;\-* #,##0.00_р_._-;_-* &quot;-&quot;??_р_._-;_-@_-">
                  <c:v>0.67685950413221097</c:v>
                </c:pt>
                <c:pt idx="636" formatCode="_-* #,##0.00_р_._-;\-* #,##0.00_р_._-;_-* &quot;-&quot;??_р_._-;_-@_-">
                  <c:v>0.68553719008262393</c:v>
                </c:pt>
                <c:pt idx="637" formatCode="_-* #,##0.00_р_._-;\-* #,##0.00_р_._-;_-* &quot;-&quot;??_р_._-;_-@_-">
                  <c:v>0.69421487603303689</c:v>
                </c:pt>
                <c:pt idx="638" formatCode="_-* #,##0.00_р_._-;\-* #,##0.00_р_._-;_-* &quot;-&quot;??_р_._-;_-@_-">
                  <c:v>0.70289256198344985</c:v>
                </c:pt>
                <c:pt idx="639" formatCode="_-* #,##0.00_р_._-;\-* #,##0.00_р_._-;_-* &quot;-&quot;??_р_._-;_-@_-">
                  <c:v>0.71157024793386281</c:v>
                </c:pt>
                <c:pt idx="640" formatCode="_-* #,##0.00_р_._-;\-* #,##0.00_р_._-;_-* &quot;-&quot;??_р_._-;_-@_-">
                  <c:v>0.72024793388427577</c:v>
                </c:pt>
                <c:pt idx="641" formatCode="_-* #,##0.00_р_._-;\-* #,##0.00_р_._-;_-* &quot;-&quot;??_р_._-;_-@_-">
                  <c:v>0.72892561983468873</c:v>
                </c:pt>
                <c:pt idx="642" formatCode="_-* #,##0.00_р_._-;\-* #,##0.00_р_._-;_-* &quot;-&quot;??_р_._-;_-@_-">
                  <c:v>0.73760330578510169</c:v>
                </c:pt>
                <c:pt idx="643" formatCode="_-* #,##0.00_р_._-;\-* #,##0.00_р_._-;_-* &quot;-&quot;??_р_._-;_-@_-">
                  <c:v>0.74628099173551465</c:v>
                </c:pt>
                <c:pt idx="644" formatCode="_-* #,##0.00_р_._-;\-* #,##0.00_р_._-;_-* &quot;-&quot;??_р_._-;_-@_-">
                  <c:v>0.75495867768592761</c:v>
                </c:pt>
                <c:pt idx="645" formatCode="_-* #,##0.00_р_._-;\-* #,##0.00_р_._-;_-* &quot;-&quot;??_р_._-;_-@_-">
                  <c:v>0.76363636363634058</c:v>
                </c:pt>
                <c:pt idx="646" formatCode="_-* #,##0.00_р_._-;\-* #,##0.00_р_._-;_-* &quot;-&quot;??_р_._-;_-@_-">
                  <c:v>0.77231404958675354</c:v>
                </c:pt>
                <c:pt idx="647" formatCode="_-* #,##0.00_р_._-;\-* #,##0.00_р_._-;_-* &quot;-&quot;??_р_._-;_-@_-">
                  <c:v>0.7809917355371665</c:v>
                </c:pt>
                <c:pt idx="648" formatCode="_-* #,##0.00_р_._-;\-* #,##0.00_р_._-;_-* &quot;-&quot;??_р_._-;_-@_-">
                  <c:v>0.78966942148757946</c:v>
                </c:pt>
                <c:pt idx="649" formatCode="_-* #,##0.00_р_._-;\-* #,##0.00_р_._-;_-* &quot;-&quot;??_р_._-;_-@_-">
                  <c:v>0.79834710743799242</c:v>
                </c:pt>
                <c:pt idx="650" formatCode="_-* #,##0.00_р_._-;\-* #,##0.00_р_._-;_-* &quot;-&quot;??_р_._-;_-@_-">
                  <c:v>0.80702479338840538</c:v>
                </c:pt>
                <c:pt idx="651" formatCode="_-* #,##0.00_р_._-;\-* #,##0.00_р_._-;_-* &quot;-&quot;??_р_._-;_-@_-">
                  <c:v>0.81570247933881834</c:v>
                </c:pt>
                <c:pt idx="652" formatCode="_-* #,##0.00_р_._-;\-* #,##0.00_р_._-;_-* &quot;-&quot;??_р_._-;_-@_-">
                  <c:v>0.8243801652892313</c:v>
                </c:pt>
                <c:pt idx="653" formatCode="_-* #,##0.00_р_._-;\-* #,##0.00_р_._-;_-* &quot;-&quot;??_р_._-;_-@_-">
                  <c:v>0.83305785123964426</c:v>
                </c:pt>
                <c:pt idx="654" formatCode="_-* #,##0.00_р_._-;\-* #,##0.00_р_._-;_-* &quot;-&quot;??_р_._-;_-@_-">
                  <c:v>0.84173553719005723</c:v>
                </c:pt>
                <c:pt idx="655" formatCode="_-* #,##0.00_р_._-;\-* #,##0.00_р_._-;_-* &quot;-&quot;??_р_._-;_-@_-">
                  <c:v>0.85041322314047019</c:v>
                </c:pt>
                <c:pt idx="656" formatCode="_-* #,##0.00_р_._-;\-* #,##0.00_р_._-;_-* &quot;-&quot;??_р_._-;_-@_-">
                  <c:v>0.85909090909088359</c:v>
                </c:pt>
                <c:pt idx="657" formatCode="_-* #,##0.00_р_._-;\-* #,##0.00_р_._-;_-* &quot;-&quot;??_р_._-;_-@_-">
                  <c:v>0.867768595041297</c:v>
                </c:pt>
                <c:pt idx="658" formatCode="_-* #,##0.00_р_._-;\-* #,##0.00_р_._-;_-* &quot;-&quot;??_р_._-;_-@_-">
                  <c:v>0.8764462809917104</c:v>
                </c:pt>
                <c:pt idx="659" formatCode="_-* #,##0.00_р_._-;\-* #,##0.00_р_._-;_-* &quot;-&quot;??_р_._-;_-@_-">
                  <c:v>0.88512396694212381</c:v>
                </c:pt>
                <c:pt idx="660" formatCode="_-* #,##0.00_р_._-;\-* #,##0.00_р_._-;_-* &quot;-&quot;??_р_._-;_-@_-">
                  <c:v>0.89380165289253721</c:v>
                </c:pt>
                <c:pt idx="661" formatCode="_-* #,##0.00_р_._-;\-* #,##0.00_р_._-;_-* &quot;-&quot;??_р_._-;_-@_-">
                  <c:v>0.90247933884295062</c:v>
                </c:pt>
                <c:pt idx="662" formatCode="_-* #,##0.00_р_._-;\-* #,##0.00_р_._-;_-* &quot;-&quot;??_р_._-;_-@_-">
                  <c:v>0.91115702479336402</c:v>
                </c:pt>
                <c:pt idx="663" formatCode="_-* #,##0.00_р_._-;\-* #,##0.00_р_._-;_-* &quot;-&quot;??_р_._-;_-@_-">
                  <c:v>0.91983471074377743</c:v>
                </c:pt>
                <c:pt idx="664" formatCode="_-* #,##0.00_р_._-;\-* #,##0.00_р_._-;_-* &quot;-&quot;??_р_._-;_-@_-">
                  <c:v>0.92851239669419083</c:v>
                </c:pt>
                <c:pt idx="665" formatCode="_-* #,##0.00_р_._-;\-* #,##0.00_р_._-;_-* &quot;-&quot;??_р_._-;_-@_-">
                  <c:v>0.93719008264460424</c:v>
                </c:pt>
                <c:pt idx="666" formatCode="_-* #,##0.00_р_._-;\-* #,##0.00_р_._-;_-* &quot;-&quot;??_р_._-;_-@_-">
                  <c:v>0.94586776859501764</c:v>
                </c:pt>
                <c:pt idx="667" formatCode="_-* #,##0.00_р_._-;\-* #,##0.00_р_._-;_-* &quot;-&quot;??_р_._-;_-@_-">
                  <c:v>0.95454545454543105</c:v>
                </c:pt>
                <c:pt idx="668" formatCode="_-* #,##0.00_р_._-;\-* #,##0.00_р_._-;_-* &quot;-&quot;??_р_._-;_-@_-">
                  <c:v>0.96322314049584445</c:v>
                </c:pt>
                <c:pt idx="669" formatCode="_-* #,##0.00_р_._-;\-* #,##0.00_р_._-;_-* &quot;-&quot;??_р_._-;_-@_-">
                  <c:v>0.97190082644625786</c:v>
                </c:pt>
                <c:pt idx="670" formatCode="_-* #,##0.00_р_._-;\-* #,##0.00_р_._-;_-* &quot;-&quot;??_р_._-;_-@_-">
                  <c:v>0.98057851239667126</c:v>
                </c:pt>
                <c:pt idx="671" formatCode="_-* #,##0.00_р_._-;\-* #,##0.00_р_._-;_-* &quot;-&quot;??_р_._-;_-@_-">
                  <c:v>0.98925619834708467</c:v>
                </c:pt>
                <c:pt idx="672" formatCode="_-* #,##0.00_р_._-;\-* #,##0.00_р_._-;_-* &quot;-&quot;??_р_._-;_-@_-">
                  <c:v>0.99793388429749808</c:v>
                </c:pt>
                <c:pt idx="673" formatCode="_-* #,##0.00_р_._-;\-* #,##0.00_р_._-;_-* &quot;-&quot;??_р_._-;_-@_-">
                  <c:v>1.0066115702479115</c:v>
                </c:pt>
                <c:pt idx="674" formatCode="_-* #,##0.00_р_._-;\-* #,##0.00_р_._-;_-* &quot;-&quot;??_р_._-;_-@_-">
                  <c:v>1.0152892561983249</c:v>
                </c:pt>
                <c:pt idx="675" formatCode="_-* #,##0.00_р_._-;\-* #,##0.00_р_._-;_-* &quot;-&quot;??_р_._-;_-@_-">
                  <c:v>1.0239669421487383</c:v>
                </c:pt>
                <c:pt idx="676" formatCode="_-* #,##0.00_р_._-;\-* #,##0.00_р_._-;_-* &quot;-&quot;??_р_._-;_-@_-">
                  <c:v>1.0326446280991517</c:v>
                </c:pt>
                <c:pt idx="677" formatCode="_-* #,##0.00_р_._-;\-* #,##0.00_р_._-;_-* &quot;-&quot;??_р_._-;_-@_-">
                  <c:v>1.0413223140495651</c:v>
                </c:pt>
                <c:pt idx="678" formatCode="_-* #,##0.00_р_._-;\-* #,##0.00_р_._-;_-* &quot;-&quot;??_р_._-;_-@_-">
                  <c:v>1.0499999999999998</c:v>
                </c:pt>
              </c:numCache>
            </c:numRef>
          </c:val>
        </c:ser>
        <c:axId val="131642880"/>
        <c:axId val="131636608"/>
      </c:areaChart>
      <c:lineChart>
        <c:grouping val="standard"/>
        <c:ser>
          <c:idx val="3"/>
          <c:order val="0"/>
          <c:tx>
            <c:v>CHK share price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val>
            <c:numRef>
              <c:f>Лист4!$D$5:$D$562</c:f>
              <c:numCache>
                <c:formatCode>General</c:formatCode>
                <c:ptCount val="558"/>
                <c:pt idx="0">
                  <c:v>15.6013</c:v>
                </c:pt>
                <c:pt idx="1">
                  <c:v>14.6233</c:v>
                </c:pt>
                <c:pt idx="2">
                  <c:v>15.368600000000001</c:v>
                </c:pt>
                <c:pt idx="3">
                  <c:v>15.8718</c:v>
                </c:pt>
                <c:pt idx="4">
                  <c:v>16.323899999999998</c:v>
                </c:pt>
                <c:pt idx="5">
                  <c:v>16.917999999999999</c:v>
                </c:pt>
                <c:pt idx="6">
                  <c:v>17.3947</c:v>
                </c:pt>
                <c:pt idx="7">
                  <c:v>18.194900000000001</c:v>
                </c:pt>
                <c:pt idx="8">
                  <c:v>19.3645</c:v>
                </c:pt>
                <c:pt idx="9">
                  <c:v>20.939799999999998</c:v>
                </c:pt>
                <c:pt idx="10">
                  <c:v>21.2179</c:v>
                </c:pt>
                <c:pt idx="11">
                  <c:v>21.051400000000001</c:v>
                </c:pt>
                <c:pt idx="12">
                  <c:v>20.343399999999999</c:v>
                </c:pt>
                <c:pt idx="13">
                  <c:v>20.2928</c:v>
                </c:pt>
                <c:pt idx="14">
                  <c:v>20.8566</c:v>
                </c:pt>
                <c:pt idx="15">
                  <c:v>19.159700000000001</c:v>
                </c:pt>
                <c:pt idx="16">
                  <c:v>19.030999999999999</c:v>
                </c:pt>
                <c:pt idx="17">
                  <c:v>18.8627</c:v>
                </c:pt>
                <c:pt idx="18">
                  <c:v>18.660299999999999</c:v>
                </c:pt>
                <c:pt idx="19">
                  <c:v>18.7303</c:v>
                </c:pt>
                <c:pt idx="20">
                  <c:v>17.949000000000002</c:v>
                </c:pt>
                <c:pt idx="21">
                  <c:v>18.8721</c:v>
                </c:pt>
                <c:pt idx="22">
                  <c:v>19.697900000000001</c:v>
                </c:pt>
                <c:pt idx="23">
                  <c:v>20.156600000000001</c:v>
                </c:pt>
                <c:pt idx="24">
                  <c:v>21.4147</c:v>
                </c:pt>
                <c:pt idx="25">
                  <c:v>21.965199999999999</c:v>
                </c:pt>
                <c:pt idx="26">
                  <c:v>21.916</c:v>
                </c:pt>
                <c:pt idx="27">
                  <c:v>23.982700000000001</c:v>
                </c:pt>
                <c:pt idx="28">
                  <c:v>23.7302</c:v>
                </c:pt>
                <c:pt idx="29">
                  <c:v>23.4861</c:v>
                </c:pt>
                <c:pt idx="30">
                  <c:v>24.4358</c:v>
                </c:pt>
                <c:pt idx="31">
                  <c:v>26.064599999999999</c:v>
                </c:pt>
                <c:pt idx="32">
                  <c:v>27.269600000000001</c:v>
                </c:pt>
                <c:pt idx="33">
                  <c:v>25.8035</c:v>
                </c:pt>
                <c:pt idx="34">
                  <c:v>26.395600000000002</c:v>
                </c:pt>
                <c:pt idx="35">
                  <c:v>29.3979</c:v>
                </c:pt>
                <c:pt idx="36">
                  <c:v>31.1312</c:v>
                </c:pt>
                <c:pt idx="37">
                  <c:v>31.433399999999999</c:v>
                </c:pt>
                <c:pt idx="38">
                  <c:v>33.711100000000002</c:v>
                </c:pt>
                <c:pt idx="39">
                  <c:v>35.498800000000003</c:v>
                </c:pt>
                <c:pt idx="40">
                  <c:v>33.788600000000002</c:v>
                </c:pt>
                <c:pt idx="41">
                  <c:v>31.166599999999999</c:v>
                </c:pt>
                <c:pt idx="42">
                  <c:v>29.4603</c:v>
                </c:pt>
                <c:pt idx="43">
                  <c:v>29.855699999999999</c:v>
                </c:pt>
                <c:pt idx="44">
                  <c:v>28.905999999999999</c:v>
                </c:pt>
                <c:pt idx="45">
                  <c:v>26.3294</c:v>
                </c:pt>
                <c:pt idx="46">
                  <c:v>27.131499999999999</c:v>
                </c:pt>
                <c:pt idx="47">
                  <c:v>27.936499999999999</c:v>
                </c:pt>
                <c:pt idx="48">
                  <c:v>27.504200000000001</c:v>
                </c:pt>
                <c:pt idx="49">
                  <c:v>29.486799999999999</c:v>
                </c:pt>
                <c:pt idx="50">
                  <c:v>31.174199999999999</c:v>
                </c:pt>
                <c:pt idx="51">
                  <c:v>30.6615</c:v>
                </c:pt>
                <c:pt idx="52">
                  <c:v>29.5989</c:v>
                </c:pt>
                <c:pt idx="53">
                  <c:v>30.833200000000001</c:v>
                </c:pt>
                <c:pt idx="54">
                  <c:v>30.587800000000001</c:v>
                </c:pt>
                <c:pt idx="55">
                  <c:v>31.436199999999999</c:v>
                </c:pt>
                <c:pt idx="56">
                  <c:v>30.822299999999998</c:v>
                </c:pt>
                <c:pt idx="57">
                  <c:v>32.277099999999997</c:v>
                </c:pt>
                <c:pt idx="58">
                  <c:v>29.725100000000001</c:v>
                </c:pt>
                <c:pt idx="59">
                  <c:v>27.574200000000001</c:v>
                </c:pt>
                <c:pt idx="60">
                  <c:v>28.253299999999999</c:v>
                </c:pt>
                <c:pt idx="61">
                  <c:v>28.802</c:v>
                </c:pt>
                <c:pt idx="62">
                  <c:v>28.359300000000001</c:v>
                </c:pt>
                <c:pt idx="63">
                  <c:v>29.481100000000001</c:v>
                </c:pt>
                <c:pt idx="64">
                  <c:v>28.7698</c:v>
                </c:pt>
                <c:pt idx="65">
                  <c:v>29.976700000000001</c:v>
                </c:pt>
                <c:pt idx="66">
                  <c:v>29.982399999999998</c:v>
                </c:pt>
                <c:pt idx="67">
                  <c:v>29.837700000000002</c:v>
                </c:pt>
                <c:pt idx="68">
                  <c:v>31.096699999999998</c:v>
                </c:pt>
                <c:pt idx="69">
                  <c:v>30.192399999999999</c:v>
                </c:pt>
                <c:pt idx="70">
                  <c:v>31.130700000000001</c:v>
                </c:pt>
                <c:pt idx="71">
                  <c:v>30.869599999999998</c:v>
                </c:pt>
                <c:pt idx="72">
                  <c:v>28.457699999999999</c:v>
                </c:pt>
                <c:pt idx="73">
                  <c:v>27.950700000000001</c:v>
                </c:pt>
                <c:pt idx="74">
                  <c:v>28.778300000000002</c:v>
                </c:pt>
                <c:pt idx="75">
                  <c:v>27.8996</c:v>
                </c:pt>
                <c:pt idx="76">
                  <c:v>27.086099999999998</c:v>
                </c:pt>
                <c:pt idx="77">
                  <c:v>27.6404</c:v>
                </c:pt>
                <c:pt idx="78">
                  <c:v>28.247699999999998</c:v>
                </c:pt>
                <c:pt idx="79">
                  <c:v>28.411799999999999</c:v>
                </c:pt>
                <c:pt idx="80">
                  <c:v>27.840900000000001</c:v>
                </c:pt>
                <c:pt idx="81">
                  <c:v>27.385000000000002</c:v>
                </c:pt>
                <c:pt idx="82">
                  <c:v>29.165199999999999</c:v>
                </c:pt>
                <c:pt idx="83">
                  <c:v>31.047499999999999</c:v>
                </c:pt>
                <c:pt idx="84">
                  <c:v>30.491299999999999</c:v>
                </c:pt>
                <c:pt idx="85">
                  <c:v>29.583200000000001</c:v>
                </c:pt>
                <c:pt idx="86">
                  <c:v>30.111000000000001</c:v>
                </c:pt>
                <c:pt idx="87">
                  <c:v>29.997499999999999</c:v>
                </c:pt>
                <c:pt idx="88">
                  <c:v>29.563400000000001</c:v>
                </c:pt>
                <c:pt idx="89">
                  <c:v>27.577999999999999</c:v>
                </c:pt>
                <c:pt idx="90">
                  <c:v>27.479600000000001</c:v>
                </c:pt>
                <c:pt idx="91">
                  <c:v>27.3642</c:v>
                </c:pt>
                <c:pt idx="92">
                  <c:v>27.2318</c:v>
                </c:pt>
                <c:pt idx="93">
                  <c:v>27.7331</c:v>
                </c:pt>
                <c:pt idx="94">
                  <c:v>28.955200000000001</c:v>
                </c:pt>
                <c:pt idx="95">
                  <c:v>29.825399999999998</c:v>
                </c:pt>
                <c:pt idx="96">
                  <c:v>30.3078</c:v>
                </c:pt>
                <c:pt idx="97">
                  <c:v>30.5518</c:v>
                </c:pt>
                <c:pt idx="98">
                  <c:v>30.602899999999998</c:v>
                </c:pt>
                <c:pt idx="99">
                  <c:v>30.854500000000002</c:v>
                </c:pt>
                <c:pt idx="100">
                  <c:v>31.6907</c:v>
                </c:pt>
                <c:pt idx="101">
                  <c:v>31.567699999999999</c:v>
                </c:pt>
                <c:pt idx="102">
                  <c:v>29.6797</c:v>
                </c:pt>
                <c:pt idx="103">
                  <c:v>28.745200000000001</c:v>
                </c:pt>
                <c:pt idx="104">
                  <c:v>27.718900000000001</c:v>
                </c:pt>
                <c:pt idx="105">
                  <c:v>26.326899999999998</c:v>
                </c:pt>
                <c:pt idx="106">
                  <c:v>26.261299999999999</c:v>
                </c:pt>
                <c:pt idx="107">
                  <c:v>26.7896</c:v>
                </c:pt>
                <c:pt idx="108">
                  <c:v>27.7728</c:v>
                </c:pt>
                <c:pt idx="109">
                  <c:v>27.770900000000001</c:v>
                </c:pt>
                <c:pt idx="110">
                  <c:v>27.821999999999999</c:v>
                </c:pt>
                <c:pt idx="111">
                  <c:v>27.865500000000001</c:v>
                </c:pt>
                <c:pt idx="112">
                  <c:v>28.0642</c:v>
                </c:pt>
                <c:pt idx="113">
                  <c:v>28.826499999999999</c:v>
                </c:pt>
                <c:pt idx="114">
                  <c:v>28.504899999999999</c:v>
                </c:pt>
                <c:pt idx="115">
                  <c:v>28.075500000000002</c:v>
                </c:pt>
                <c:pt idx="116">
                  <c:v>28.902200000000001</c:v>
                </c:pt>
                <c:pt idx="117">
                  <c:v>29.339200000000002</c:v>
                </c:pt>
                <c:pt idx="118">
                  <c:v>30.334299999999999</c:v>
                </c:pt>
                <c:pt idx="119">
                  <c:v>31.4693</c:v>
                </c:pt>
                <c:pt idx="120">
                  <c:v>31.231000000000002</c:v>
                </c:pt>
                <c:pt idx="121">
                  <c:v>31.584700000000002</c:v>
                </c:pt>
                <c:pt idx="122">
                  <c:v>33.1965</c:v>
                </c:pt>
                <c:pt idx="123">
                  <c:v>32.821899999999999</c:v>
                </c:pt>
                <c:pt idx="124">
                  <c:v>32.751899999999999</c:v>
                </c:pt>
                <c:pt idx="125">
                  <c:v>33.228700000000003</c:v>
                </c:pt>
                <c:pt idx="126">
                  <c:v>33.046599999999998</c:v>
                </c:pt>
                <c:pt idx="127">
                  <c:v>33.9163</c:v>
                </c:pt>
                <c:pt idx="128">
                  <c:v>34.308900000000001</c:v>
                </c:pt>
                <c:pt idx="129">
                  <c:v>34.936900000000001</c:v>
                </c:pt>
                <c:pt idx="130">
                  <c:v>33.077300000000001</c:v>
                </c:pt>
                <c:pt idx="131">
                  <c:v>33.3185</c:v>
                </c:pt>
                <c:pt idx="132">
                  <c:v>33.521900000000002</c:v>
                </c:pt>
                <c:pt idx="133">
                  <c:v>34.365600000000001</c:v>
                </c:pt>
                <c:pt idx="134">
                  <c:v>32.574100000000001</c:v>
                </c:pt>
                <c:pt idx="135">
                  <c:v>32.587400000000002</c:v>
                </c:pt>
                <c:pt idx="136">
                  <c:v>33.018700000000003</c:v>
                </c:pt>
                <c:pt idx="137">
                  <c:v>31.5885</c:v>
                </c:pt>
                <c:pt idx="138">
                  <c:v>31.074000000000002</c:v>
                </c:pt>
                <c:pt idx="139">
                  <c:v>30.290800000000001</c:v>
                </c:pt>
                <c:pt idx="140">
                  <c:v>31.845300000000002</c:v>
                </c:pt>
                <c:pt idx="141">
                  <c:v>32.676299999999998</c:v>
                </c:pt>
                <c:pt idx="142">
                  <c:v>33.491599999999998</c:v>
                </c:pt>
                <c:pt idx="143">
                  <c:v>33.266500000000001</c:v>
                </c:pt>
                <c:pt idx="144">
                  <c:v>34.276699999999998</c:v>
                </c:pt>
                <c:pt idx="145">
                  <c:v>35.042900000000003</c:v>
                </c:pt>
                <c:pt idx="146">
                  <c:v>35.778700000000001</c:v>
                </c:pt>
                <c:pt idx="147">
                  <c:v>35.619799999999998</c:v>
                </c:pt>
                <c:pt idx="148">
                  <c:v>37.127600000000001</c:v>
                </c:pt>
                <c:pt idx="149">
                  <c:v>38.154800000000002</c:v>
                </c:pt>
                <c:pt idx="150">
                  <c:v>36.537300000000002</c:v>
                </c:pt>
                <c:pt idx="151">
                  <c:v>35.768299999999996</c:v>
                </c:pt>
                <c:pt idx="152">
                  <c:v>35.754199999999997</c:v>
                </c:pt>
                <c:pt idx="153">
                  <c:v>35.824100000000001</c:v>
                </c:pt>
                <c:pt idx="154">
                  <c:v>36.332999999999998</c:v>
                </c:pt>
                <c:pt idx="155">
                  <c:v>36.228999999999999</c:v>
                </c:pt>
                <c:pt idx="156">
                  <c:v>37.109099999999998</c:v>
                </c:pt>
                <c:pt idx="157">
                  <c:v>37.605699999999999</c:v>
                </c:pt>
                <c:pt idx="158">
                  <c:v>36.997</c:v>
                </c:pt>
                <c:pt idx="159">
                  <c:v>36.421900000000001</c:v>
                </c:pt>
                <c:pt idx="160">
                  <c:v>34.321100000000001</c:v>
                </c:pt>
                <c:pt idx="161">
                  <c:v>35.029600000000002</c:v>
                </c:pt>
                <c:pt idx="162">
                  <c:v>35.523400000000002</c:v>
                </c:pt>
                <c:pt idx="163">
                  <c:v>39.851700000000001</c:v>
                </c:pt>
                <c:pt idx="164">
                  <c:v>41.883400000000002</c:v>
                </c:pt>
                <c:pt idx="165">
                  <c:v>43.377899999999997</c:v>
                </c:pt>
                <c:pt idx="166">
                  <c:v>43.253100000000003</c:v>
                </c:pt>
                <c:pt idx="167">
                  <c:v>44.200800000000001</c:v>
                </c:pt>
                <c:pt idx="168">
                  <c:v>43.110700000000001</c:v>
                </c:pt>
                <c:pt idx="169">
                  <c:v>43.580300000000001</c:v>
                </c:pt>
                <c:pt idx="170">
                  <c:v>43.835700000000003</c:v>
                </c:pt>
                <c:pt idx="171">
                  <c:v>45.509900000000002</c:v>
                </c:pt>
                <c:pt idx="172">
                  <c:v>47.061199999999999</c:v>
                </c:pt>
                <c:pt idx="173">
                  <c:v>50.120100000000001</c:v>
                </c:pt>
                <c:pt idx="174">
                  <c:v>49.270699999999998</c:v>
                </c:pt>
                <c:pt idx="175">
                  <c:v>53.158299999999997</c:v>
                </c:pt>
                <c:pt idx="176">
                  <c:v>54.342500000000001</c:v>
                </c:pt>
                <c:pt idx="177">
                  <c:v>52.692900000000002</c:v>
                </c:pt>
                <c:pt idx="178">
                  <c:v>50.639899999999997</c:v>
                </c:pt>
                <c:pt idx="179">
                  <c:v>52.736400000000003</c:v>
                </c:pt>
                <c:pt idx="180">
                  <c:v>56.026200000000003</c:v>
                </c:pt>
                <c:pt idx="181">
                  <c:v>60.223999999999997</c:v>
                </c:pt>
                <c:pt idx="182">
                  <c:v>61.2928</c:v>
                </c:pt>
                <c:pt idx="183">
                  <c:v>63.728499999999997</c:v>
                </c:pt>
                <c:pt idx="184">
                  <c:v>58.400300000000001</c:v>
                </c:pt>
                <c:pt idx="185">
                  <c:v>54.526000000000003</c:v>
                </c:pt>
                <c:pt idx="186">
                  <c:v>47.530299999999997</c:v>
                </c:pt>
                <c:pt idx="187">
                  <c:v>46.618499999999997</c:v>
                </c:pt>
                <c:pt idx="188">
                  <c:v>42.545499999999997</c:v>
                </c:pt>
                <c:pt idx="189">
                  <c:v>43.054400000000001</c:v>
                </c:pt>
                <c:pt idx="190">
                  <c:v>44.929200000000002</c:v>
                </c:pt>
                <c:pt idx="191">
                  <c:v>46.478499999999997</c:v>
                </c:pt>
                <c:pt idx="192">
                  <c:v>42.422600000000003</c:v>
                </c:pt>
                <c:pt idx="193">
                  <c:v>38.625799999999998</c:v>
                </c:pt>
                <c:pt idx="194">
                  <c:v>36.785200000000003</c:v>
                </c:pt>
                <c:pt idx="195">
                  <c:v>37.802900000000001</c:v>
                </c:pt>
                <c:pt idx="196">
                  <c:v>30.5991</c:v>
                </c:pt>
                <c:pt idx="197">
                  <c:v>19.965599999999998</c:v>
                </c:pt>
                <c:pt idx="198">
                  <c:v>18.338699999999999</c:v>
                </c:pt>
                <c:pt idx="199">
                  <c:v>20.735500000000002</c:v>
                </c:pt>
                <c:pt idx="200">
                  <c:v>19.259900000000002</c:v>
                </c:pt>
                <c:pt idx="201">
                  <c:v>21.628399999999999</c:v>
                </c:pt>
                <c:pt idx="202">
                  <c:v>20.659800000000001</c:v>
                </c:pt>
                <c:pt idx="203">
                  <c:v>17.483599999999999</c:v>
                </c:pt>
                <c:pt idx="204">
                  <c:v>17.479800000000001</c:v>
                </c:pt>
                <c:pt idx="205">
                  <c:v>12.582100000000001</c:v>
                </c:pt>
                <c:pt idx="206">
                  <c:v>15.0565</c:v>
                </c:pt>
                <c:pt idx="207">
                  <c:v>15.077299999999999</c:v>
                </c:pt>
                <c:pt idx="208">
                  <c:v>14.528700000000001</c:v>
                </c:pt>
                <c:pt idx="209">
                  <c:v>15.2972</c:v>
                </c:pt>
                <c:pt idx="210">
                  <c:v>16.988</c:v>
                </c:pt>
                <c:pt idx="211">
                  <c:v>14.8124</c:v>
                </c:pt>
                <c:pt idx="212">
                  <c:v>13.7081</c:v>
                </c:pt>
                <c:pt idx="213">
                  <c:v>15.266500000000001</c:v>
                </c:pt>
                <c:pt idx="214">
                  <c:v>16.142299999999999</c:v>
                </c:pt>
                <c:pt idx="215">
                  <c:v>17.388999999999999</c:v>
                </c:pt>
                <c:pt idx="216">
                  <c:v>15.588100000000001</c:v>
                </c:pt>
                <c:pt idx="217">
                  <c:v>14.6706</c:v>
                </c:pt>
                <c:pt idx="218">
                  <c:v>13.386100000000001</c:v>
                </c:pt>
                <c:pt idx="219">
                  <c:v>14.3414</c:v>
                </c:pt>
                <c:pt idx="220">
                  <c:v>16.2653</c:v>
                </c:pt>
                <c:pt idx="221">
                  <c:v>18.0871</c:v>
                </c:pt>
                <c:pt idx="222">
                  <c:v>17.186599999999999</c:v>
                </c:pt>
                <c:pt idx="223">
                  <c:v>18.5794</c:v>
                </c:pt>
                <c:pt idx="224">
                  <c:v>19.9069</c:v>
                </c:pt>
                <c:pt idx="225">
                  <c:v>18.796500000000002</c:v>
                </c:pt>
                <c:pt idx="226">
                  <c:v>19.053699999999999</c:v>
                </c:pt>
                <c:pt idx="227">
                  <c:v>20.879300000000001</c:v>
                </c:pt>
                <c:pt idx="228">
                  <c:v>19.9939</c:v>
                </c:pt>
                <c:pt idx="229">
                  <c:v>20.067699999999999</c:v>
                </c:pt>
                <c:pt idx="230">
                  <c:v>20.501899999999999</c:v>
                </c:pt>
                <c:pt idx="231">
                  <c:v>22.317</c:v>
                </c:pt>
                <c:pt idx="232">
                  <c:v>22.298100000000002</c:v>
                </c:pt>
                <c:pt idx="233">
                  <c:v>20.8963</c:v>
                </c:pt>
                <c:pt idx="234">
                  <c:v>18.433299999999999</c:v>
                </c:pt>
                <c:pt idx="235">
                  <c:v>18.359500000000001</c:v>
                </c:pt>
                <c:pt idx="236">
                  <c:v>16.779900000000001</c:v>
                </c:pt>
                <c:pt idx="237">
                  <c:v>18.128699999999998</c:v>
                </c:pt>
                <c:pt idx="238">
                  <c:v>19.621300000000002</c:v>
                </c:pt>
                <c:pt idx="239">
                  <c:v>20.027999999999999</c:v>
                </c:pt>
                <c:pt idx="240">
                  <c:v>22.288599999999999</c:v>
                </c:pt>
                <c:pt idx="241">
                  <c:v>22.695399999999999</c:v>
                </c:pt>
                <c:pt idx="242">
                  <c:v>21.677599999999998</c:v>
                </c:pt>
                <c:pt idx="243">
                  <c:v>22.2073</c:v>
                </c:pt>
                <c:pt idx="244">
                  <c:v>21.0458</c:v>
                </c:pt>
                <c:pt idx="245">
                  <c:v>23.2</c:v>
                </c:pt>
                <c:pt idx="246">
                  <c:v>26.510999999999999</c:v>
                </c:pt>
                <c:pt idx="247">
                  <c:v>26.649100000000001</c:v>
                </c:pt>
                <c:pt idx="248">
                  <c:v>26.174299999999999</c:v>
                </c:pt>
                <c:pt idx="249">
                  <c:v>26.440999999999999</c:v>
                </c:pt>
                <c:pt idx="250">
                  <c:v>27.347200000000001</c:v>
                </c:pt>
                <c:pt idx="251">
                  <c:v>26.734300000000001</c:v>
                </c:pt>
                <c:pt idx="252">
                  <c:v>24.097200000000001</c:v>
                </c:pt>
                <c:pt idx="253">
                  <c:v>23.087</c:v>
                </c:pt>
                <c:pt idx="254">
                  <c:v>23.7453</c:v>
                </c:pt>
                <c:pt idx="255">
                  <c:v>22.687799999999999</c:v>
                </c:pt>
                <c:pt idx="256">
                  <c:v>22.672699999999999</c:v>
                </c:pt>
                <c:pt idx="257">
                  <c:v>22.1373</c:v>
                </c:pt>
                <c:pt idx="258">
                  <c:v>21.5641</c:v>
                </c:pt>
                <c:pt idx="259">
                  <c:v>23.624199999999998</c:v>
                </c:pt>
                <c:pt idx="260">
                  <c:v>25.6191</c:v>
                </c:pt>
                <c:pt idx="261">
                  <c:v>25.1982</c:v>
                </c:pt>
                <c:pt idx="262">
                  <c:v>27.116399999999999</c:v>
                </c:pt>
                <c:pt idx="263">
                  <c:v>26.291599999999999</c:v>
                </c:pt>
                <c:pt idx="264">
                  <c:v>25.933599999999998</c:v>
                </c:pt>
                <c:pt idx="265">
                  <c:v>24.5379</c:v>
                </c:pt>
                <c:pt idx="266">
                  <c:v>23.9572</c:v>
                </c:pt>
                <c:pt idx="267">
                  <c:v>23.314</c:v>
                </c:pt>
                <c:pt idx="268">
                  <c:v>25.359000000000002</c:v>
                </c:pt>
                <c:pt idx="269">
                  <c:v>25.2057</c:v>
                </c:pt>
                <c:pt idx="270">
                  <c:v>25.107399999999998</c:v>
                </c:pt>
                <c:pt idx="271">
                  <c:v>24.286300000000001</c:v>
                </c:pt>
                <c:pt idx="272">
                  <c:v>23.436900000000001</c:v>
                </c:pt>
                <c:pt idx="273">
                  <c:v>21.645399999999999</c:v>
                </c:pt>
                <c:pt idx="274">
                  <c:v>22.3416</c:v>
                </c:pt>
                <c:pt idx="275">
                  <c:v>23.052900000000001</c:v>
                </c:pt>
                <c:pt idx="276">
                  <c:v>23.0472</c:v>
                </c:pt>
                <c:pt idx="277">
                  <c:v>22.714300000000001</c:v>
                </c:pt>
                <c:pt idx="278">
                  <c:v>22.559200000000001</c:v>
                </c:pt>
                <c:pt idx="279">
                  <c:v>21.802499999999998</c:v>
                </c:pt>
                <c:pt idx="280">
                  <c:v>21.910299999999999</c:v>
                </c:pt>
                <c:pt idx="281">
                  <c:v>20.557700000000001</c:v>
                </c:pt>
                <c:pt idx="282">
                  <c:v>20.291</c:v>
                </c:pt>
                <c:pt idx="283">
                  <c:v>22.202100000000002</c:v>
                </c:pt>
                <c:pt idx="284">
                  <c:v>22.782399999999999</c:v>
                </c:pt>
                <c:pt idx="285">
                  <c:v>23.5807</c:v>
                </c:pt>
                <c:pt idx="286">
                  <c:v>22.228100000000001</c:v>
                </c:pt>
                <c:pt idx="287">
                  <c:v>20.052600000000002</c:v>
                </c:pt>
                <c:pt idx="288">
                  <c:v>20.0715</c:v>
                </c:pt>
                <c:pt idx="289">
                  <c:v>20.1264</c:v>
                </c:pt>
                <c:pt idx="290">
                  <c:v>20.2607</c:v>
                </c:pt>
                <c:pt idx="291">
                  <c:v>20.149100000000001</c:v>
                </c:pt>
                <c:pt idx="292">
                  <c:v>20.9209</c:v>
                </c:pt>
                <c:pt idx="293">
                  <c:v>20.332599999999999</c:v>
                </c:pt>
                <c:pt idx="294">
                  <c:v>19.7348</c:v>
                </c:pt>
                <c:pt idx="295">
                  <c:v>19.244800000000001</c:v>
                </c:pt>
                <c:pt idx="296">
                  <c:v>20.0242</c:v>
                </c:pt>
                <c:pt idx="297">
                  <c:v>19.9817</c:v>
                </c:pt>
                <c:pt idx="298">
                  <c:v>20.368500000000001</c:v>
                </c:pt>
                <c:pt idx="299">
                  <c:v>20.107500000000002</c:v>
                </c:pt>
                <c:pt idx="300">
                  <c:v>21.066600000000001</c:v>
                </c:pt>
                <c:pt idx="301">
                  <c:v>21.323899999999998</c:v>
                </c:pt>
                <c:pt idx="302">
                  <c:v>22.0124</c:v>
                </c:pt>
                <c:pt idx="303">
                  <c:v>20.8017</c:v>
                </c:pt>
                <c:pt idx="304">
                  <c:v>20.203900000000001</c:v>
                </c:pt>
                <c:pt idx="305">
                  <c:v>20.9512</c:v>
                </c:pt>
                <c:pt idx="306">
                  <c:v>21.774100000000001</c:v>
                </c:pt>
                <c:pt idx="307">
                  <c:v>21.047699999999999</c:v>
                </c:pt>
                <c:pt idx="308">
                  <c:v>20.9346</c:v>
                </c:pt>
                <c:pt idx="309">
                  <c:v>20.500900000000001</c:v>
                </c:pt>
                <c:pt idx="310">
                  <c:v>21.552800000000001</c:v>
                </c:pt>
                <c:pt idx="311">
                  <c:v>22.003</c:v>
                </c:pt>
                <c:pt idx="312">
                  <c:v>24.063099999999999</c:v>
                </c:pt>
                <c:pt idx="313">
                  <c:v>24.488800000000001</c:v>
                </c:pt>
                <c:pt idx="314">
                  <c:v>25.132000000000001</c:v>
                </c:pt>
                <c:pt idx="315">
                  <c:v>26.021100000000001</c:v>
                </c:pt>
                <c:pt idx="316">
                  <c:v>26.274100000000001</c:v>
                </c:pt>
                <c:pt idx="317">
                  <c:v>26.231100000000001</c:v>
                </c:pt>
                <c:pt idx="318">
                  <c:v>28.527699999999999</c:v>
                </c:pt>
                <c:pt idx="319">
                  <c:v>29.386500000000002</c:v>
                </c:pt>
                <c:pt idx="320">
                  <c:v>29.104600000000001</c:v>
                </c:pt>
                <c:pt idx="321">
                  <c:v>32.173999999999999</c:v>
                </c:pt>
                <c:pt idx="322">
                  <c:v>32.235500000000002</c:v>
                </c:pt>
                <c:pt idx="323">
                  <c:v>31.121200000000002</c:v>
                </c:pt>
                <c:pt idx="324">
                  <c:v>32.006599999999999</c:v>
                </c:pt>
                <c:pt idx="325">
                  <c:v>32.0274</c:v>
                </c:pt>
                <c:pt idx="326">
                  <c:v>31.739799999999999</c:v>
                </c:pt>
                <c:pt idx="327">
                  <c:v>32.127699999999997</c:v>
                </c:pt>
                <c:pt idx="328">
                  <c:v>30.844999999999999</c:v>
                </c:pt>
                <c:pt idx="329">
                  <c:v>30.471399999999999</c:v>
                </c:pt>
                <c:pt idx="330">
                  <c:v>31.3293</c:v>
                </c:pt>
                <c:pt idx="331">
                  <c:v>29.7195</c:v>
                </c:pt>
                <c:pt idx="332">
                  <c:v>29.151900000000001</c:v>
                </c:pt>
                <c:pt idx="333">
                  <c:v>28.223099999999999</c:v>
                </c:pt>
                <c:pt idx="334">
                  <c:v>29.191700000000001</c:v>
                </c:pt>
                <c:pt idx="335">
                  <c:v>29.040800000000001</c:v>
                </c:pt>
                <c:pt idx="336">
                  <c:v>27.996099999999998</c:v>
                </c:pt>
                <c:pt idx="337">
                  <c:v>26.9102</c:v>
                </c:pt>
                <c:pt idx="338">
                  <c:v>27.025600000000001</c:v>
                </c:pt>
                <c:pt idx="339">
                  <c:v>27.496600000000001</c:v>
                </c:pt>
                <c:pt idx="340">
                  <c:v>28.745200000000001</c:v>
                </c:pt>
                <c:pt idx="341">
                  <c:v>28.873799999999999</c:v>
                </c:pt>
                <c:pt idx="342">
                  <c:v>31.9025</c:v>
                </c:pt>
                <c:pt idx="343">
                  <c:v>32.000900000000001</c:v>
                </c:pt>
                <c:pt idx="344">
                  <c:v>31.168500000000002</c:v>
                </c:pt>
                <c:pt idx="345">
                  <c:v>27.863600000000002</c:v>
                </c:pt>
                <c:pt idx="346">
                  <c:v>29.2806</c:v>
                </c:pt>
                <c:pt idx="347">
                  <c:v>28.058499999999999</c:v>
                </c:pt>
                <c:pt idx="348">
                  <c:v>30.610500000000002</c:v>
                </c:pt>
                <c:pt idx="349">
                  <c:v>29.504300000000001</c:v>
                </c:pt>
                <c:pt idx="350">
                  <c:v>29.7592</c:v>
                </c:pt>
                <c:pt idx="351">
                  <c:v>27.243099999999998</c:v>
                </c:pt>
                <c:pt idx="352">
                  <c:v>25.502700000000001</c:v>
                </c:pt>
                <c:pt idx="353">
                  <c:v>23.785</c:v>
                </c:pt>
                <c:pt idx="354">
                  <c:v>25.485700000000001</c:v>
                </c:pt>
                <c:pt idx="355">
                  <c:v>25.892399999999999</c:v>
                </c:pt>
                <c:pt idx="356">
                  <c:v>26.991499999999998</c:v>
                </c:pt>
                <c:pt idx="357">
                  <c:v>26.338899999999999</c:v>
                </c:pt>
                <c:pt idx="358">
                  <c:v>24.874700000000001</c:v>
                </c:pt>
                <c:pt idx="359">
                  <c:v>23.7699</c:v>
                </c:pt>
                <c:pt idx="360">
                  <c:v>21.958500000000001</c:v>
                </c:pt>
                <c:pt idx="361">
                  <c:v>23.310199999999998</c:v>
                </c:pt>
                <c:pt idx="362">
                  <c:v>23.694199999999999</c:v>
                </c:pt>
                <c:pt idx="363">
                  <c:v>21.846</c:v>
                </c:pt>
                <c:pt idx="364">
                  <c:v>21.777899999999999</c:v>
                </c:pt>
                <c:pt idx="365">
                  <c:v>21.565999999999999</c:v>
                </c:pt>
                <c:pt idx="366">
                  <c:v>22.4788</c:v>
                </c:pt>
                <c:pt idx="367">
                  <c:v>21.376799999999999</c:v>
                </c:pt>
                <c:pt idx="368">
                  <c:v>19.8398</c:v>
                </c:pt>
                <c:pt idx="369">
                  <c:v>21.206600000000002</c:v>
                </c:pt>
                <c:pt idx="370">
                  <c:v>20.4726</c:v>
                </c:pt>
                <c:pt idx="371">
                  <c:v>21.076000000000001</c:v>
                </c:pt>
                <c:pt idx="372">
                  <c:v>22.108899999999998</c:v>
                </c:pt>
                <c:pt idx="373">
                  <c:v>23.429400000000001</c:v>
                </c:pt>
                <c:pt idx="374">
                  <c:v>23.537199999999999</c:v>
                </c:pt>
                <c:pt idx="375">
                  <c:v>22.8902</c:v>
                </c:pt>
                <c:pt idx="376">
                  <c:v>23.202400000000001</c:v>
                </c:pt>
                <c:pt idx="377">
                  <c:v>23.7075</c:v>
                </c:pt>
                <c:pt idx="378">
                  <c:v>22.337800000000001</c:v>
                </c:pt>
                <c:pt idx="379">
                  <c:v>21.379200000000001</c:v>
                </c:pt>
                <c:pt idx="380">
                  <c:v>19.456700000000001</c:v>
                </c:pt>
                <c:pt idx="381">
                  <c:v>17.368200000000002</c:v>
                </c:pt>
                <c:pt idx="382">
                  <c:v>16.870699999999999</c:v>
                </c:pt>
                <c:pt idx="383">
                  <c:v>16.904699999999998</c:v>
                </c:pt>
                <c:pt idx="384">
                  <c:v>15.8018</c:v>
                </c:pt>
                <c:pt idx="385">
                  <c:v>13.6433</c:v>
                </c:pt>
                <c:pt idx="386">
                  <c:v>14.436</c:v>
                </c:pt>
                <c:pt idx="387">
                  <c:v>15.4343</c:v>
                </c:pt>
                <c:pt idx="388">
                  <c:v>16.636099999999999</c:v>
                </c:pt>
                <c:pt idx="389">
                  <c:v>16.541499999999999</c:v>
                </c:pt>
                <c:pt idx="390">
                  <c:v>17.432500000000001</c:v>
                </c:pt>
                <c:pt idx="391">
                  <c:v>16.7212</c:v>
                </c:pt>
                <c:pt idx="392">
                  <c:v>18.3902</c:v>
                </c:pt>
                <c:pt idx="393">
                  <c:v>18.07</c:v>
                </c:pt>
                <c:pt idx="394">
                  <c:v>17.612200000000001</c:v>
                </c:pt>
                <c:pt idx="395">
                  <c:v>16.675799999999999</c:v>
                </c:pt>
                <c:pt idx="396">
                  <c:v>17.405999999999999</c:v>
                </c:pt>
                <c:pt idx="397">
                  <c:v>18.342400000000001</c:v>
                </c:pt>
                <c:pt idx="398">
                  <c:v>18.056799999999999</c:v>
                </c:pt>
                <c:pt idx="399">
                  <c:v>18.488099999999999</c:v>
                </c:pt>
                <c:pt idx="400">
                  <c:v>18.270600000000002</c:v>
                </c:pt>
                <c:pt idx="401">
                  <c:v>18.6267</c:v>
                </c:pt>
                <c:pt idx="402">
                  <c:v>18.913799999999998</c:v>
                </c:pt>
                <c:pt idx="403">
                  <c:v>18.6678</c:v>
                </c:pt>
                <c:pt idx="404">
                  <c:v>18.017099999999999</c:v>
                </c:pt>
                <c:pt idx="405">
                  <c:v>18.261099999999999</c:v>
                </c:pt>
                <c:pt idx="406">
                  <c:v>18.684899999999999</c:v>
                </c:pt>
                <c:pt idx="407">
                  <c:v>19.653400000000001</c:v>
                </c:pt>
                <c:pt idx="408">
                  <c:v>19.222100000000001</c:v>
                </c:pt>
                <c:pt idx="409">
                  <c:v>18.545500000000001</c:v>
                </c:pt>
                <c:pt idx="410">
                  <c:v>16.762799999999999</c:v>
                </c:pt>
                <c:pt idx="411">
                  <c:v>15.9815</c:v>
                </c:pt>
                <c:pt idx="412">
                  <c:v>16.668700000000001</c:v>
                </c:pt>
                <c:pt idx="413">
                  <c:v>16.393899999999999</c:v>
                </c:pt>
                <c:pt idx="414">
                  <c:v>16.096900000000002</c:v>
                </c:pt>
                <c:pt idx="415">
                  <c:v>15.9437</c:v>
                </c:pt>
                <c:pt idx="416">
                  <c:v>16.286100000000001</c:v>
                </c:pt>
                <c:pt idx="417">
                  <c:v>15.983000000000001</c:v>
                </c:pt>
                <c:pt idx="418">
                  <c:v>15.9475</c:v>
                </c:pt>
                <c:pt idx="419">
                  <c:v>16.114000000000001</c:v>
                </c:pt>
                <c:pt idx="420">
                  <c:v>16.456399999999999</c:v>
                </c:pt>
                <c:pt idx="421">
                  <c:v>17.8203</c:v>
                </c:pt>
                <c:pt idx="422">
                  <c:v>18.637599999999999</c:v>
                </c:pt>
                <c:pt idx="423">
                  <c:v>19.224</c:v>
                </c:pt>
                <c:pt idx="424">
                  <c:v>19.1143</c:v>
                </c:pt>
                <c:pt idx="425">
                  <c:v>19.2226</c:v>
                </c:pt>
                <c:pt idx="426">
                  <c:v>18.696200000000001</c:v>
                </c:pt>
                <c:pt idx="427">
                  <c:v>19.089700000000001</c:v>
                </c:pt>
                <c:pt idx="428">
                  <c:v>20.682500000000001</c:v>
                </c:pt>
                <c:pt idx="429">
                  <c:v>19.889900000000001</c:v>
                </c:pt>
                <c:pt idx="430">
                  <c:v>19.395199999999999</c:v>
                </c:pt>
                <c:pt idx="431">
                  <c:v>18.645099999999999</c:v>
                </c:pt>
                <c:pt idx="432">
                  <c:v>18.930800000000001</c:v>
                </c:pt>
                <c:pt idx="433">
                  <c:v>17.784400000000002</c:v>
                </c:pt>
                <c:pt idx="434">
                  <c:v>18.0398</c:v>
                </c:pt>
                <c:pt idx="435">
                  <c:v>18.247900000000001</c:v>
                </c:pt>
                <c:pt idx="436">
                  <c:v>18.442699999999999</c:v>
                </c:pt>
                <c:pt idx="437">
                  <c:v>19.322400000000002</c:v>
                </c:pt>
                <c:pt idx="438">
                  <c:v>20.067699999999999</c:v>
                </c:pt>
                <c:pt idx="439">
                  <c:v>21.0718</c:v>
                </c:pt>
                <c:pt idx="440">
                  <c:v>20.6371</c:v>
                </c:pt>
                <c:pt idx="441">
                  <c:v>20.0488</c:v>
                </c:pt>
                <c:pt idx="442">
                  <c:v>19.558800000000002</c:v>
                </c:pt>
                <c:pt idx="443">
                  <c:v>19.053699999999999</c:v>
                </c:pt>
                <c:pt idx="444">
                  <c:v>19.8019</c:v>
                </c:pt>
                <c:pt idx="445">
                  <c:v>20.052600000000002</c:v>
                </c:pt>
                <c:pt idx="446">
                  <c:v>20.8263</c:v>
                </c:pt>
                <c:pt idx="447">
                  <c:v>21.255700000000001</c:v>
                </c:pt>
                <c:pt idx="448">
                  <c:v>22.511900000000001</c:v>
                </c:pt>
                <c:pt idx="449">
                  <c:v>23.739599999999999</c:v>
                </c:pt>
                <c:pt idx="450">
                  <c:v>23.637499999999999</c:v>
                </c:pt>
                <c:pt idx="451">
                  <c:v>24.0291</c:v>
                </c:pt>
                <c:pt idx="452">
                  <c:v>24.681699999999999</c:v>
                </c:pt>
                <c:pt idx="453">
                  <c:v>24.706299999999999</c:v>
                </c:pt>
                <c:pt idx="454">
                  <c:v>25.201899999999998</c:v>
                </c:pt>
                <c:pt idx="455">
                  <c:v>25.436499999999999</c:v>
                </c:pt>
                <c:pt idx="456">
                  <c:v>24.948499999999999</c:v>
                </c:pt>
                <c:pt idx="457">
                  <c:v>24.776299999999999</c:v>
                </c:pt>
                <c:pt idx="458">
                  <c:v>24.817900000000002</c:v>
                </c:pt>
                <c:pt idx="459">
                  <c:v>25.795999999999999</c:v>
                </c:pt>
                <c:pt idx="460">
                  <c:v>26.554600000000001</c:v>
                </c:pt>
                <c:pt idx="461">
                  <c:v>26.5962</c:v>
                </c:pt>
                <c:pt idx="462">
                  <c:v>25.41</c:v>
                </c:pt>
                <c:pt idx="463">
                  <c:v>24.401700000000002</c:v>
                </c:pt>
                <c:pt idx="464">
                  <c:v>24.384699999999999</c:v>
                </c:pt>
                <c:pt idx="465">
                  <c:v>25.089400000000001</c:v>
                </c:pt>
                <c:pt idx="466">
                  <c:v>25.428999999999998</c:v>
                </c:pt>
                <c:pt idx="467">
                  <c:v>25.228400000000001</c:v>
                </c:pt>
                <c:pt idx="468">
                  <c:v>25.366499999999998</c:v>
                </c:pt>
                <c:pt idx="469">
                  <c:v>26.070699999999999</c:v>
                </c:pt>
                <c:pt idx="470">
                  <c:v>25.3566</c:v>
                </c:pt>
                <c:pt idx="471">
                  <c:v>24.532299999999999</c:v>
                </c:pt>
                <c:pt idx="472">
                  <c:v>24.144500000000001</c:v>
                </c:pt>
                <c:pt idx="473">
                  <c:v>25.3873</c:v>
                </c:pt>
                <c:pt idx="474">
                  <c:v>25.317299999999999</c:v>
                </c:pt>
                <c:pt idx="475">
                  <c:v>24.165299999999998</c:v>
                </c:pt>
                <c:pt idx="476">
                  <c:v>23.522100000000002</c:v>
                </c:pt>
                <c:pt idx="477">
                  <c:v>24.935700000000001</c:v>
                </c:pt>
                <c:pt idx="478">
                  <c:v>24.904900000000001</c:v>
                </c:pt>
                <c:pt idx="479">
                  <c:v>24.2409</c:v>
                </c:pt>
                <c:pt idx="480">
                  <c:v>23.8872</c:v>
                </c:pt>
                <c:pt idx="481">
                  <c:v>23.395299999999999</c:v>
                </c:pt>
                <c:pt idx="482">
                  <c:v>23.881499999999999</c:v>
                </c:pt>
                <c:pt idx="483">
                  <c:v>24.859500000000001</c:v>
                </c:pt>
                <c:pt idx="484">
                  <c:v>24.7971</c:v>
                </c:pt>
                <c:pt idx="485">
                  <c:v>25.905200000000001</c:v>
                </c:pt>
                <c:pt idx="486">
                  <c:v>27.245000000000001</c:v>
                </c:pt>
                <c:pt idx="487">
                  <c:v>27.1069</c:v>
                </c:pt>
                <c:pt idx="488">
                  <c:v>27.472100000000001</c:v>
                </c:pt>
                <c:pt idx="489">
                  <c:v>27.6631</c:v>
                </c:pt>
                <c:pt idx="490">
                  <c:v>26.442900000000002</c:v>
                </c:pt>
                <c:pt idx="491">
                  <c:v>27.0379</c:v>
                </c:pt>
                <c:pt idx="492">
                  <c:v>27.891999999999999</c:v>
                </c:pt>
                <c:pt idx="493">
                  <c:v>28.336600000000001</c:v>
                </c:pt>
                <c:pt idx="494">
                  <c:v>29.002500000000001</c:v>
                </c:pt>
                <c:pt idx="495">
                  <c:v>29.040299999999998</c:v>
                </c:pt>
                <c:pt idx="496">
                  <c:v>29.347000000000001</c:v>
                </c:pt>
                <c:pt idx="497">
                  <c:v>28.652000000000001</c:v>
                </c:pt>
                <c:pt idx="498">
                  <c:v>27.475999999999999</c:v>
                </c:pt>
                <c:pt idx="499">
                  <c:v>27</c:v>
                </c:pt>
                <c:pt idx="500">
                  <c:v>26.67</c:v>
                </c:pt>
                <c:pt idx="501">
                  <c:v>26.32</c:v>
                </c:pt>
                <c:pt idx="502">
                  <c:v>25.844000000000001</c:v>
                </c:pt>
                <c:pt idx="503">
                  <c:v>26.084</c:v>
                </c:pt>
                <c:pt idx="504">
                  <c:v>26.762</c:v>
                </c:pt>
                <c:pt idx="505">
                  <c:v>26.372499999999999</c:v>
                </c:pt>
                <c:pt idx="506">
                  <c:v>25.391999999999999</c:v>
                </c:pt>
                <c:pt idx="507">
                  <c:v>25.04</c:v>
                </c:pt>
                <c:pt idx="508">
                  <c:v>23.867999999999999</c:v>
                </c:pt>
                <c:pt idx="509">
                  <c:v>22.608000000000001</c:v>
                </c:pt>
                <c:pt idx="510">
                  <c:v>20.207999999999998</c:v>
                </c:pt>
                <c:pt idx="511">
                  <c:v>18.808</c:v>
                </c:pt>
                <c:pt idx="512">
                  <c:v>21.452000000000002</c:v>
                </c:pt>
                <c:pt idx="513">
                  <c:v>21.501999999999999</c:v>
                </c:pt>
                <c:pt idx="514">
                  <c:v>22.402000000000001</c:v>
                </c:pt>
                <c:pt idx="515">
                  <c:v>23.132000000000001</c:v>
                </c:pt>
                <c:pt idx="516">
                  <c:v>23.52</c:v>
                </c:pt>
                <c:pt idx="517">
                  <c:v>22.765000000000001</c:v>
                </c:pt>
                <c:pt idx="518">
                  <c:v>19.722000000000001</c:v>
                </c:pt>
                <c:pt idx="519">
                  <c:v>17.492000000000001</c:v>
                </c:pt>
                <c:pt idx="520">
                  <c:v>18.47</c:v>
                </c:pt>
                <c:pt idx="521">
                  <c:v>19.565000000000001</c:v>
                </c:pt>
                <c:pt idx="522">
                  <c:v>19.745000000000001</c:v>
                </c:pt>
                <c:pt idx="523">
                  <c:v>18.238</c:v>
                </c:pt>
                <c:pt idx="524">
                  <c:v>18.332000000000001</c:v>
                </c:pt>
                <c:pt idx="525">
                  <c:v>19.557500000000001</c:v>
                </c:pt>
                <c:pt idx="526">
                  <c:v>19.582000000000001</c:v>
                </c:pt>
                <c:pt idx="527">
                  <c:v>20.738</c:v>
                </c:pt>
                <c:pt idx="528">
                  <c:v>20.472000000000001</c:v>
                </c:pt>
                <c:pt idx="529">
                  <c:v>20.677499999999998</c:v>
                </c:pt>
                <c:pt idx="530">
                  <c:v>18.29</c:v>
                </c:pt>
                <c:pt idx="531">
                  <c:v>15.875999999999999</c:v>
                </c:pt>
                <c:pt idx="532">
                  <c:v>14.018000000000001</c:v>
                </c:pt>
                <c:pt idx="533">
                  <c:v>13.802</c:v>
                </c:pt>
                <c:pt idx="534">
                  <c:v>14.192</c:v>
                </c:pt>
                <c:pt idx="535">
                  <c:v>14.2675</c:v>
                </c:pt>
                <c:pt idx="536">
                  <c:v>15.151999999999999</c:v>
                </c:pt>
                <c:pt idx="537">
                  <c:v>15.472</c:v>
                </c:pt>
                <c:pt idx="538">
                  <c:v>14.672000000000001</c:v>
                </c:pt>
                <c:pt idx="539">
                  <c:v>15.27</c:v>
                </c:pt>
                <c:pt idx="540">
                  <c:v>15.35</c:v>
                </c:pt>
                <c:pt idx="541">
                  <c:v>15.19</c:v>
                </c:pt>
                <c:pt idx="542">
                  <c:v>14.916</c:v>
                </c:pt>
                <c:pt idx="543">
                  <c:v>14.46</c:v>
                </c:pt>
                <c:pt idx="544">
                  <c:v>13.532</c:v>
                </c:pt>
                <c:pt idx="545">
                  <c:v>12.837999999999999</c:v>
                </c:pt>
                <c:pt idx="546">
                  <c:v>12.1</c:v>
                </c:pt>
                <c:pt idx="547">
                  <c:v>11.497999999999999</c:v>
                </c:pt>
                <c:pt idx="548">
                  <c:v>10.88</c:v>
                </c:pt>
                <c:pt idx="549">
                  <c:v>11.247999999999999</c:v>
                </c:pt>
                <c:pt idx="550">
                  <c:v>11.218</c:v>
                </c:pt>
                <c:pt idx="551">
                  <c:v>9.1199999999999992</c:v>
                </c:pt>
                <c:pt idx="552">
                  <c:v>8.83</c:v>
                </c:pt>
                <c:pt idx="553">
                  <c:v>7.9379999999999997</c:v>
                </c:pt>
                <c:pt idx="554">
                  <c:v>7.97</c:v>
                </c:pt>
                <c:pt idx="555">
                  <c:v>7.3380000000000001</c:v>
                </c:pt>
                <c:pt idx="556">
                  <c:v>6.6779999999999999</c:v>
                </c:pt>
                <c:pt idx="557">
                  <c:v>7.4939999999999998</c:v>
                </c:pt>
              </c:numCache>
            </c:numRef>
          </c:val>
        </c:ser>
        <c:marker val="1"/>
        <c:axId val="131633152"/>
        <c:axId val="131634688"/>
      </c:lineChart>
      <c:scatterChart>
        <c:scatterStyle val="lineMarker"/>
        <c:ser>
          <c:idx val="6"/>
          <c:order val="6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</c:marker>
          <c:dPt>
            <c:idx val="676"/>
            <c:marker>
              <c:symbol val="circle"/>
              <c:size val="5"/>
              <c:spPr>
                <a:solidFill>
                  <a:srgbClr val="00B050"/>
                </a:solidFill>
                <a:ln>
                  <a:solidFill>
                    <a:schemeClr val="bg1"/>
                  </a:solidFill>
                </a:ln>
              </c:spPr>
            </c:marker>
          </c:dPt>
          <c:dPt>
            <c:idx val="677"/>
            <c:marker>
              <c:symbol val="circle"/>
              <c:size val="5"/>
              <c:spPr>
                <a:solidFill>
                  <a:srgbClr val="00B050"/>
                </a:solidFill>
                <a:ln>
                  <a:solidFill>
                    <a:schemeClr val="bg1"/>
                  </a:solidFill>
                </a:ln>
              </c:spPr>
            </c:marker>
          </c:dPt>
          <c:dPt>
            <c:idx val="678"/>
            <c:marker>
              <c:symbol val="circle"/>
              <c:size val="5"/>
              <c:spPr>
                <a:solidFill>
                  <a:srgbClr val="00B050"/>
                </a:solidFill>
                <a:ln>
                  <a:solidFill>
                    <a:schemeClr val="bg1"/>
                  </a:solidFill>
                </a:ln>
              </c:spPr>
            </c:marker>
          </c:dPt>
          <c:yVal>
            <c:numRef>
              <c:f>(Лист4!$I$5:$I$680,Лист4!$F$683,Лист4!$H$683,Лист4!$K$683)</c:f>
              <c:numCache>
                <c:formatCode>General</c:formatCode>
                <c:ptCount val="679"/>
                <c:pt idx="676">
                  <c:v>7.4</c:v>
                </c:pt>
                <c:pt idx="677">
                  <c:v>18.600000000000001</c:v>
                </c:pt>
                <c:pt idx="678">
                  <c:v>28.9</c:v>
                </c:pt>
              </c:numCache>
            </c:numRef>
          </c:yVal>
        </c:ser>
        <c:axId val="131633152"/>
        <c:axId val="131634688"/>
      </c:scatterChart>
      <c:lineChart>
        <c:grouping val="standard"/>
        <c:ser>
          <c:idx val="1"/>
          <c:order val="2"/>
          <c:tx>
            <c:v>HH natural gas spot price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Лист4!$C$5:$C$783</c:f>
              <c:numCache>
                <c:formatCode>dd/mm/yyyy</c:formatCode>
                <c:ptCount val="779"/>
                <c:pt idx="0" formatCode="dd\.mm\.yyyy">
                  <c:v>38353</c:v>
                </c:pt>
                <c:pt idx="1">
                  <c:v>38359</c:v>
                </c:pt>
                <c:pt idx="2">
                  <c:v>38366</c:v>
                </c:pt>
                <c:pt idx="3">
                  <c:v>38373</c:v>
                </c:pt>
                <c:pt idx="4">
                  <c:v>38380</c:v>
                </c:pt>
                <c:pt idx="5">
                  <c:v>38387</c:v>
                </c:pt>
                <c:pt idx="6">
                  <c:v>38394</c:v>
                </c:pt>
                <c:pt idx="7">
                  <c:v>38401</c:v>
                </c:pt>
                <c:pt idx="8">
                  <c:v>38408</c:v>
                </c:pt>
                <c:pt idx="9">
                  <c:v>38415</c:v>
                </c:pt>
                <c:pt idx="10">
                  <c:v>38422</c:v>
                </c:pt>
                <c:pt idx="11">
                  <c:v>38429</c:v>
                </c:pt>
                <c:pt idx="12">
                  <c:v>38436</c:v>
                </c:pt>
                <c:pt idx="13">
                  <c:v>38443</c:v>
                </c:pt>
                <c:pt idx="14">
                  <c:v>38450</c:v>
                </c:pt>
                <c:pt idx="15">
                  <c:v>38457</c:v>
                </c:pt>
                <c:pt idx="16">
                  <c:v>38464</c:v>
                </c:pt>
                <c:pt idx="17">
                  <c:v>38471</c:v>
                </c:pt>
                <c:pt idx="18">
                  <c:v>38478</c:v>
                </c:pt>
                <c:pt idx="19">
                  <c:v>38485</c:v>
                </c:pt>
                <c:pt idx="20">
                  <c:v>38492</c:v>
                </c:pt>
                <c:pt idx="21">
                  <c:v>38499</c:v>
                </c:pt>
                <c:pt idx="22">
                  <c:v>38506</c:v>
                </c:pt>
                <c:pt idx="23">
                  <c:v>38513</c:v>
                </c:pt>
                <c:pt idx="24">
                  <c:v>38520</c:v>
                </c:pt>
                <c:pt idx="25">
                  <c:v>38527</c:v>
                </c:pt>
                <c:pt idx="26">
                  <c:v>38534</c:v>
                </c:pt>
                <c:pt idx="27">
                  <c:v>38541</c:v>
                </c:pt>
                <c:pt idx="28">
                  <c:v>38548</c:v>
                </c:pt>
                <c:pt idx="29">
                  <c:v>38555</c:v>
                </c:pt>
                <c:pt idx="30">
                  <c:v>38562</c:v>
                </c:pt>
                <c:pt idx="31">
                  <c:v>38569</c:v>
                </c:pt>
                <c:pt idx="32">
                  <c:v>38576</c:v>
                </c:pt>
                <c:pt idx="33">
                  <c:v>38583</c:v>
                </c:pt>
                <c:pt idx="34">
                  <c:v>38590</c:v>
                </c:pt>
                <c:pt idx="35">
                  <c:v>38597</c:v>
                </c:pt>
                <c:pt idx="36">
                  <c:v>38604</c:v>
                </c:pt>
                <c:pt idx="37">
                  <c:v>38611</c:v>
                </c:pt>
                <c:pt idx="38">
                  <c:v>38618</c:v>
                </c:pt>
                <c:pt idx="39">
                  <c:v>38625</c:v>
                </c:pt>
                <c:pt idx="40">
                  <c:v>38632</c:v>
                </c:pt>
                <c:pt idx="41">
                  <c:v>38639</c:v>
                </c:pt>
                <c:pt idx="42">
                  <c:v>38646</c:v>
                </c:pt>
                <c:pt idx="43">
                  <c:v>38653</c:v>
                </c:pt>
                <c:pt idx="44">
                  <c:v>38660</c:v>
                </c:pt>
                <c:pt idx="45">
                  <c:v>38667</c:v>
                </c:pt>
                <c:pt idx="46">
                  <c:v>38674</c:v>
                </c:pt>
                <c:pt idx="47">
                  <c:v>38681</c:v>
                </c:pt>
                <c:pt idx="48">
                  <c:v>38688</c:v>
                </c:pt>
                <c:pt idx="49">
                  <c:v>38695</c:v>
                </c:pt>
                <c:pt idx="50">
                  <c:v>38702</c:v>
                </c:pt>
                <c:pt idx="51">
                  <c:v>38709</c:v>
                </c:pt>
                <c:pt idx="52">
                  <c:v>38716</c:v>
                </c:pt>
                <c:pt idx="53">
                  <c:v>38723</c:v>
                </c:pt>
                <c:pt idx="54">
                  <c:v>38730</c:v>
                </c:pt>
                <c:pt idx="55">
                  <c:v>38737</c:v>
                </c:pt>
                <c:pt idx="56">
                  <c:v>38744</c:v>
                </c:pt>
                <c:pt idx="57">
                  <c:v>38751</c:v>
                </c:pt>
                <c:pt idx="58">
                  <c:v>38758</c:v>
                </c:pt>
                <c:pt idx="59">
                  <c:v>38765</c:v>
                </c:pt>
                <c:pt idx="60">
                  <c:v>38772</c:v>
                </c:pt>
                <c:pt idx="61">
                  <c:v>38779</c:v>
                </c:pt>
                <c:pt idx="62">
                  <c:v>38786</c:v>
                </c:pt>
                <c:pt idx="63">
                  <c:v>38793</c:v>
                </c:pt>
                <c:pt idx="64">
                  <c:v>38800</c:v>
                </c:pt>
                <c:pt idx="65">
                  <c:v>38807</c:v>
                </c:pt>
                <c:pt idx="66">
                  <c:v>38814</c:v>
                </c:pt>
                <c:pt idx="67">
                  <c:v>38821</c:v>
                </c:pt>
                <c:pt idx="68">
                  <c:v>38828</c:v>
                </c:pt>
                <c:pt idx="69">
                  <c:v>38835</c:v>
                </c:pt>
                <c:pt idx="70">
                  <c:v>38842</c:v>
                </c:pt>
                <c:pt idx="71">
                  <c:v>38849</c:v>
                </c:pt>
                <c:pt idx="72">
                  <c:v>38856</c:v>
                </c:pt>
                <c:pt idx="73">
                  <c:v>38863</c:v>
                </c:pt>
                <c:pt idx="74">
                  <c:v>38870</c:v>
                </c:pt>
                <c:pt idx="75">
                  <c:v>38877</c:v>
                </c:pt>
                <c:pt idx="76">
                  <c:v>38884</c:v>
                </c:pt>
                <c:pt idx="77">
                  <c:v>38891</c:v>
                </c:pt>
                <c:pt idx="78">
                  <c:v>38898</c:v>
                </c:pt>
                <c:pt idx="79">
                  <c:v>38905</c:v>
                </c:pt>
                <c:pt idx="80">
                  <c:v>38912</c:v>
                </c:pt>
                <c:pt idx="81">
                  <c:v>38919</c:v>
                </c:pt>
                <c:pt idx="82">
                  <c:v>38926</c:v>
                </c:pt>
                <c:pt idx="83">
                  <c:v>38933</c:v>
                </c:pt>
                <c:pt idx="84">
                  <c:v>38940</c:v>
                </c:pt>
                <c:pt idx="85">
                  <c:v>38947</c:v>
                </c:pt>
                <c:pt idx="86">
                  <c:v>38954</c:v>
                </c:pt>
                <c:pt idx="87">
                  <c:v>38961</c:v>
                </c:pt>
                <c:pt idx="88">
                  <c:v>38968</c:v>
                </c:pt>
                <c:pt idx="89">
                  <c:v>38975</c:v>
                </c:pt>
                <c:pt idx="90">
                  <c:v>38982</c:v>
                </c:pt>
                <c:pt idx="91">
                  <c:v>38989</c:v>
                </c:pt>
                <c:pt idx="92">
                  <c:v>38996</c:v>
                </c:pt>
                <c:pt idx="93">
                  <c:v>39003</c:v>
                </c:pt>
                <c:pt idx="94">
                  <c:v>39010</c:v>
                </c:pt>
                <c:pt idx="95">
                  <c:v>39017</c:v>
                </c:pt>
                <c:pt idx="96">
                  <c:v>39024</c:v>
                </c:pt>
                <c:pt idx="97">
                  <c:v>39031</c:v>
                </c:pt>
                <c:pt idx="98">
                  <c:v>39038</c:v>
                </c:pt>
                <c:pt idx="99">
                  <c:v>39045</c:v>
                </c:pt>
                <c:pt idx="100">
                  <c:v>39052</c:v>
                </c:pt>
                <c:pt idx="101">
                  <c:v>39059</c:v>
                </c:pt>
                <c:pt idx="102">
                  <c:v>39066</c:v>
                </c:pt>
                <c:pt idx="103">
                  <c:v>39073</c:v>
                </c:pt>
                <c:pt idx="104">
                  <c:v>39080</c:v>
                </c:pt>
                <c:pt idx="105">
                  <c:v>39087</c:v>
                </c:pt>
                <c:pt idx="106">
                  <c:v>39094</c:v>
                </c:pt>
                <c:pt idx="107">
                  <c:v>39101</c:v>
                </c:pt>
                <c:pt idx="108">
                  <c:v>39108</c:v>
                </c:pt>
                <c:pt idx="109">
                  <c:v>39115</c:v>
                </c:pt>
                <c:pt idx="110">
                  <c:v>39122</c:v>
                </c:pt>
                <c:pt idx="111">
                  <c:v>39129</c:v>
                </c:pt>
                <c:pt idx="112">
                  <c:v>39136</c:v>
                </c:pt>
                <c:pt idx="113">
                  <c:v>39143</c:v>
                </c:pt>
                <c:pt idx="114">
                  <c:v>39150</c:v>
                </c:pt>
                <c:pt idx="115">
                  <c:v>39157</c:v>
                </c:pt>
                <c:pt idx="116">
                  <c:v>39164</c:v>
                </c:pt>
                <c:pt idx="117">
                  <c:v>39171</c:v>
                </c:pt>
                <c:pt idx="118">
                  <c:v>39178</c:v>
                </c:pt>
                <c:pt idx="119">
                  <c:v>39185</c:v>
                </c:pt>
                <c:pt idx="120">
                  <c:v>39192</c:v>
                </c:pt>
                <c:pt idx="121">
                  <c:v>39199</c:v>
                </c:pt>
                <c:pt idx="122">
                  <c:v>39206</c:v>
                </c:pt>
                <c:pt idx="123">
                  <c:v>39213</c:v>
                </c:pt>
                <c:pt idx="124">
                  <c:v>39220</c:v>
                </c:pt>
                <c:pt idx="125">
                  <c:v>39227</c:v>
                </c:pt>
                <c:pt idx="126">
                  <c:v>39234</c:v>
                </c:pt>
                <c:pt idx="127">
                  <c:v>39241</c:v>
                </c:pt>
                <c:pt idx="128">
                  <c:v>39248</c:v>
                </c:pt>
                <c:pt idx="129">
                  <c:v>39255</c:v>
                </c:pt>
                <c:pt idx="130">
                  <c:v>39262</c:v>
                </c:pt>
                <c:pt idx="131">
                  <c:v>39269</c:v>
                </c:pt>
                <c:pt idx="132">
                  <c:v>39276</c:v>
                </c:pt>
                <c:pt idx="133">
                  <c:v>39283</c:v>
                </c:pt>
                <c:pt idx="134">
                  <c:v>39290</c:v>
                </c:pt>
                <c:pt idx="135">
                  <c:v>39297</c:v>
                </c:pt>
                <c:pt idx="136">
                  <c:v>39304</c:v>
                </c:pt>
                <c:pt idx="137">
                  <c:v>39311</c:v>
                </c:pt>
                <c:pt idx="138">
                  <c:v>39318</c:v>
                </c:pt>
                <c:pt idx="139">
                  <c:v>39325</c:v>
                </c:pt>
                <c:pt idx="140">
                  <c:v>39332</c:v>
                </c:pt>
                <c:pt idx="141">
                  <c:v>39339</c:v>
                </c:pt>
                <c:pt idx="142">
                  <c:v>39346</c:v>
                </c:pt>
                <c:pt idx="143">
                  <c:v>39353</c:v>
                </c:pt>
                <c:pt idx="144">
                  <c:v>39360</c:v>
                </c:pt>
                <c:pt idx="145">
                  <c:v>39367</c:v>
                </c:pt>
                <c:pt idx="146">
                  <c:v>39374</c:v>
                </c:pt>
                <c:pt idx="147">
                  <c:v>39381</c:v>
                </c:pt>
                <c:pt idx="148">
                  <c:v>39388</c:v>
                </c:pt>
                <c:pt idx="149">
                  <c:v>39395</c:v>
                </c:pt>
                <c:pt idx="150">
                  <c:v>39402</c:v>
                </c:pt>
                <c:pt idx="151">
                  <c:v>39409</c:v>
                </c:pt>
                <c:pt idx="152">
                  <c:v>39416</c:v>
                </c:pt>
                <c:pt idx="153">
                  <c:v>39423</c:v>
                </c:pt>
                <c:pt idx="154">
                  <c:v>39430</c:v>
                </c:pt>
                <c:pt idx="155">
                  <c:v>39437</c:v>
                </c:pt>
                <c:pt idx="156">
                  <c:v>39444</c:v>
                </c:pt>
                <c:pt idx="157">
                  <c:v>39451</c:v>
                </c:pt>
                <c:pt idx="158">
                  <c:v>39458</c:v>
                </c:pt>
                <c:pt idx="159">
                  <c:v>39465</c:v>
                </c:pt>
                <c:pt idx="160">
                  <c:v>39472</c:v>
                </c:pt>
                <c:pt idx="161">
                  <c:v>39479</c:v>
                </c:pt>
                <c:pt idx="162">
                  <c:v>39486</c:v>
                </c:pt>
                <c:pt idx="163">
                  <c:v>39493</c:v>
                </c:pt>
                <c:pt idx="164">
                  <c:v>39500</c:v>
                </c:pt>
                <c:pt idx="165">
                  <c:v>39507</c:v>
                </c:pt>
                <c:pt idx="166">
                  <c:v>39514</c:v>
                </c:pt>
                <c:pt idx="167">
                  <c:v>39521</c:v>
                </c:pt>
                <c:pt idx="168">
                  <c:v>39528</c:v>
                </c:pt>
                <c:pt idx="169">
                  <c:v>39535</c:v>
                </c:pt>
                <c:pt idx="170">
                  <c:v>39542</c:v>
                </c:pt>
                <c:pt idx="171">
                  <c:v>39549</c:v>
                </c:pt>
                <c:pt idx="172">
                  <c:v>39556</c:v>
                </c:pt>
                <c:pt idx="173">
                  <c:v>39563</c:v>
                </c:pt>
                <c:pt idx="174">
                  <c:v>39570</c:v>
                </c:pt>
                <c:pt idx="175">
                  <c:v>39577</c:v>
                </c:pt>
                <c:pt idx="176">
                  <c:v>39584</c:v>
                </c:pt>
                <c:pt idx="177">
                  <c:v>39591</c:v>
                </c:pt>
                <c:pt idx="178">
                  <c:v>39598</c:v>
                </c:pt>
                <c:pt idx="179">
                  <c:v>39605</c:v>
                </c:pt>
                <c:pt idx="180">
                  <c:v>39612</c:v>
                </c:pt>
                <c:pt idx="181">
                  <c:v>39619</c:v>
                </c:pt>
                <c:pt idx="182">
                  <c:v>39626</c:v>
                </c:pt>
                <c:pt idx="183">
                  <c:v>39633</c:v>
                </c:pt>
                <c:pt idx="184">
                  <c:v>39640</c:v>
                </c:pt>
                <c:pt idx="185">
                  <c:v>39647</c:v>
                </c:pt>
                <c:pt idx="186">
                  <c:v>39654</c:v>
                </c:pt>
                <c:pt idx="187">
                  <c:v>39661</c:v>
                </c:pt>
                <c:pt idx="188">
                  <c:v>39668</c:v>
                </c:pt>
                <c:pt idx="189">
                  <c:v>39675</c:v>
                </c:pt>
                <c:pt idx="190">
                  <c:v>39682</c:v>
                </c:pt>
                <c:pt idx="191">
                  <c:v>39689</c:v>
                </c:pt>
                <c:pt idx="192">
                  <c:v>39696</c:v>
                </c:pt>
                <c:pt idx="193">
                  <c:v>39703</c:v>
                </c:pt>
                <c:pt idx="194">
                  <c:v>39710</c:v>
                </c:pt>
                <c:pt idx="195">
                  <c:v>39717</c:v>
                </c:pt>
                <c:pt idx="196">
                  <c:v>39724</c:v>
                </c:pt>
                <c:pt idx="197">
                  <c:v>39731</c:v>
                </c:pt>
                <c:pt idx="198">
                  <c:v>39738</c:v>
                </c:pt>
                <c:pt idx="199">
                  <c:v>39745</c:v>
                </c:pt>
                <c:pt idx="200">
                  <c:v>39752</c:v>
                </c:pt>
                <c:pt idx="201">
                  <c:v>39759</c:v>
                </c:pt>
                <c:pt idx="202">
                  <c:v>39766</c:v>
                </c:pt>
                <c:pt idx="203">
                  <c:v>39773</c:v>
                </c:pt>
                <c:pt idx="204">
                  <c:v>39780</c:v>
                </c:pt>
                <c:pt idx="205">
                  <c:v>39787</c:v>
                </c:pt>
                <c:pt idx="206">
                  <c:v>39794</c:v>
                </c:pt>
                <c:pt idx="207">
                  <c:v>39801</c:v>
                </c:pt>
                <c:pt idx="208">
                  <c:v>39808</c:v>
                </c:pt>
                <c:pt idx="209">
                  <c:v>39815</c:v>
                </c:pt>
                <c:pt idx="210">
                  <c:v>39822</c:v>
                </c:pt>
                <c:pt idx="211">
                  <c:v>39829</c:v>
                </c:pt>
                <c:pt idx="212">
                  <c:v>39836</c:v>
                </c:pt>
                <c:pt idx="213">
                  <c:v>39843</c:v>
                </c:pt>
                <c:pt idx="214">
                  <c:v>39850</c:v>
                </c:pt>
                <c:pt idx="215">
                  <c:v>39857</c:v>
                </c:pt>
                <c:pt idx="216">
                  <c:v>39864</c:v>
                </c:pt>
                <c:pt idx="217">
                  <c:v>39871</c:v>
                </c:pt>
                <c:pt idx="218">
                  <c:v>39878</c:v>
                </c:pt>
                <c:pt idx="219">
                  <c:v>39885</c:v>
                </c:pt>
                <c:pt idx="220">
                  <c:v>39892</c:v>
                </c:pt>
                <c:pt idx="221">
                  <c:v>39899</c:v>
                </c:pt>
                <c:pt idx="222">
                  <c:v>39906</c:v>
                </c:pt>
                <c:pt idx="223">
                  <c:v>39913</c:v>
                </c:pt>
                <c:pt idx="224">
                  <c:v>39920</c:v>
                </c:pt>
                <c:pt idx="225">
                  <c:v>39927</c:v>
                </c:pt>
                <c:pt idx="226">
                  <c:v>39934</c:v>
                </c:pt>
                <c:pt idx="227">
                  <c:v>39941</c:v>
                </c:pt>
                <c:pt idx="228">
                  <c:v>39948</c:v>
                </c:pt>
                <c:pt idx="229">
                  <c:v>39955</c:v>
                </c:pt>
                <c:pt idx="230">
                  <c:v>39962</c:v>
                </c:pt>
                <c:pt idx="231">
                  <c:v>39969</c:v>
                </c:pt>
                <c:pt idx="232">
                  <c:v>39976</c:v>
                </c:pt>
                <c:pt idx="233">
                  <c:v>39983</c:v>
                </c:pt>
                <c:pt idx="234">
                  <c:v>39990</c:v>
                </c:pt>
                <c:pt idx="235">
                  <c:v>39997</c:v>
                </c:pt>
                <c:pt idx="236">
                  <c:v>40004</c:v>
                </c:pt>
                <c:pt idx="237">
                  <c:v>40011</c:v>
                </c:pt>
                <c:pt idx="238">
                  <c:v>40018</c:v>
                </c:pt>
                <c:pt idx="239">
                  <c:v>40025</c:v>
                </c:pt>
                <c:pt idx="240">
                  <c:v>40032</c:v>
                </c:pt>
                <c:pt idx="241">
                  <c:v>40039</c:v>
                </c:pt>
                <c:pt idx="242">
                  <c:v>40046</c:v>
                </c:pt>
                <c:pt idx="243">
                  <c:v>40053</c:v>
                </c:pt>
                <c:pt idx="244">
                  <c:v>40060</c:v>
                </c:pt>
                <c:pt idx="245">
                  <c:v>40067</c:v>
                </c:pt>
                <c:pt idx="246">
                  <c:v>40074</c:v>
                </c:pt>
                <c:pt idx="247">
                  <c:v>40081</c:v>
                </c:pt>
                <c:pt idx="248">
                  <c:v>40088</c:v>
                </c:pt>
                <c:pt idx="249">
                  <c:v>40095</c:v>
                </c:pt>
                <c:pt idx="250">
                  <c:v>40102</c:v>
                </c:pt>
                <c:pt idx="251">
                  <c:v>40109</c:v>
                </c:pt>
                <c:pt idx="252">
                  <c:v>40116</c:v>
                </c:pt>
                <c:pt idx="253">
                  <c:v>40123</c:v>
                </c:pt>
                <c:pt idx="254">
                  <c:v>40130</c:v>
                </c:pt>
                <c:pt idx="255">
                  <c:v>40137</c:v>
                </c:pt>
                <c:pt idx="256">
                  <c:v>40144</c:v>
                </c:pt>
                <c:pt idx="257">
                  <c:v>40151</c:v>
                </c:pt>
                <c:pt idx="258">
                  <c:v>40158</c:v>
                </c:pt>
                <c:pt idx="259">
                  <c:v>40165</c:v>
                </c:pt>
                <c:pt idx="260">
                  <c:v>40172</c:v>
                </c:pt>
                <c:pt idx="261">
                  <c:v>40179</c:v>
                </c:pt>
                <c:pt idx="262">
                  <c:v>40186</c:v>
                </c:pt>
                <c:pt idx="263">
                  <c:v>40193</c:v>
                </c:pt>
                <c:pt idx="264">
                  <c:v>40200</c:v>
                </c:pt>
                <c:pt idx="265">
                  <c:v>40207</c:v>
                </c:pt>
                <c:pt idx="266">
                  <c:v>40214</c:v>
                </c:pt>
                <c:pt idx="267">
                  <c:v>40221</c:v>
                </c:pt>
                <c:pt idx="268">
                  <c:v>40228</c:v>
                </c:pt>
                <c:pt idx="269">
                  <c:v>40235</c:v>
                </c:pt>
                <c:pt idx="270">
                  <c:v>40242</c:v>
                </c:pt>
                <c:pt idx="271">
                  <c:v>40249</c:v>
                </c:pt>
                <c:pt idx="272">
                  <c:v>40256</c:v>
                </c:pt>
                <c:pt idx="273">
                  <c:v>40263</c:v>
                </c:pt>
                <c:pt idx="274">
                  <c:v>40270</c:v>
                </c:pt>
                <c:pt idx="275">
                  <c:v>40277</c:v>
                </c:pt>
                <c:pt idx="276">
                  <c:v>40284</c:v>
                </c:pt>
                <c:pt idx="277">
                  <c:v>40291</c:v>
                </c:pt>
                <c:pt idx="278">
                  <c:v>40298</c:v>
                </c:pt>
                <c:pt idx="279">
                  <c:v>40305</c:v>
                </c:pt>
                <c:pt idx="280">
                  <c:v>40312</c:v>
                </c:pt>
                <c:pt idx="281">
                  <c:v>40319</c:v>
                </c:pt>
                <c:pt idx="282">
                  <c:v>40326</c:v>
                </c:pt>
                <c:pt idx="283">
                  <c:v>40333</c:v>
                </c:pt>
                <c:pt idx="284">
                  <c:v>40340</c:v>
                </c:pt>
                <c:pt idx="285">
                  <c:v>40347</c:v>
                </c:pt>
                <c:pt idx="286">
                  <c:v>40354</c:v>
                </c:pt>
                <c:pt idx="287">
                  <c:v>40361</c:v>
                </c:pt>
                <c:pt idx="288">
                  <c:v>40368</c:v>
                </c:pt>
                <c:pt idx="289">
                  <c:v>40375</c:v>
                </c:pt>
                <c:pt idx="290">
                  <c:v>40382</c:v>
                </c:pt>
                <c:pt idx="291">
                  <c:v>40389</c:v>
                </c:pt>
                <c:pt idx="292">
                  <c:v>40396</c:v>
                </c:pt>
                <c:pt idx="293">
                  <c:v>40403</c:v>
                </c:pt>
                <c:pt idx="294">
                  <c:v>40410</c:v>
                </c:pt>
                <c:pt idx="295">
                  <c:v>40417</c:v>
                </c:pt>
                <c:pt idx="296">
                  <c:v>40424</c:v>
                </c:pt>
                <c:pt idx="297">
                  <c:v>40431</c:v>
                </c:pt>
                <c:pt idx="298">
                  <c:v>40438</c:v>
                </c:pt>
                <c:pt idx="299">
                  <c:v>40445</c:v>
                </c:pt>
                <c:pt idx="300">
                  <c:v>40452</c:v>
                </c:pt>
                <c:pt idx="301">
                  <c:v>40459</c:v>
                </c:pt>
                <c:pt idx="302">
                  <c:v>40466</c:v>
                </c:pt>
                <c:pt idx="303">
                  <c:v>40473</c:v>
                </c:pt>
                <c:pt idx="304">
                  <c:v>40480</c:v>
                </c:pt>
                <c:pt idx="305">
                  <c:v>40487</c:v>
                </c:pt>
                <c:pt idx="306">
                  <c:v>40494</c:v>
                </c:pt>
                <c:pt idx="307">
                  <c:v>40501</c:v>
                </c:pt>
                <c:pt idx="308">
                  <c:v>40508</c:v>
                </c:pt>
                <c:pt idx="309">
                  <c:v>40515</c:v>
                </c:pt>
                <c:pt idx="310">
                  <c:v>40522</c:v>
                </c:pt>
                <c:pt idx="311">
                  <c:v>40529</c:v>
                </c:pt>
                <c:pt idx="312">
                  <c:v>40536</c:v>
                </c:pt>
                <c:pt idx="313">
                  <c:v>40543</c:v>
                </c:pt>
                <c:pt idx="314">
                  <c:v>40550</c:v>
                </c:pt>
                <c:pt idx="315">
                  <c:v>40557</c:v>
                </c:pt>
                <c:pt idx="316">
                  <c:v>40564</c:v>
                </c:pt>
                <c:pt idx="317">
                  <c:v>40571</c:v>
                </c:pt>
                <c:pt idx="318">
                  <c:v>40578</c:v>
                </c:pt>
                <c:pt idx="319">
                  <c:v>40585</c:v>
                </c:pt>
                <c:pt idx="320">
                  <c:v>40592</c:v>
                </c:pt>
                <c:pt idx="321">
                  <c:v>40599</c:v>
                </c:pt>
                <c:pt idx="322">
                  <c:v>40606</c:v>
                </c:pt>
                <c:pt idx="323">
                  <c:v>40613</c:v>
                </c:pt>
                <c:pt idx="324">
                  <c:v>40620</c:v>
                </c:pt>
                <c:pt idx="325">
                  <c:v>40627</c:v>
                </c:pt>
                <c:pt idx="326">
                  <c:v>40634</c:v>
                </c:pt>
                <c:pt idx="327">
                  <c:v>40641</c:v>
                </c:pt>
                <c:pt idx="328">
                  <c:v>40648</c:v>
                </c:pt>
                <c:pt idx="329">
                  <c:v>40655</c:v>
                </c:pt>
                <c:pt idx="330">
                  <c:v>40662</c:v>
                </c:pt>
                <c:pt idx="331">
                  <c:v>40669</c:v>
                </c:pt>
                <c:pt idx="332">
                  <c:v>40676</c:v>
                </c:pt>
                <c:pt idx="333">
                  <c:v>40683</c:v>
                </c:pt>
                <c:pt idx="334">
                  <c:v>40690</c:v>
                </c:pt>
                <c:pt idx="335">
                  <c:v>40697</c:v>
                </c:pt>
                <c:pt idx="336">
                  <c:v>40704</c:v>
                </c:pt>
                <c:pt idx="337">
                  <c:v>40711</c:v>
                </c:pt>
                <c:pt idx="338">
                  <c:v>40718</c:v>
                </c:pt>
                <c:pt idx="339">
                  <c:v>40725</c:v>
                </c:pt>
                <c:pt idx="340">
                  <c:v>40732</c:v>
                </c:pt>
                <c:pt idx="341">
                  <c:v>40739</c:v>
                </c:pt>
                <c:pt idx="342">
                  <c:v>40746</c:v>
                </c:pt>
                <c:pt idx="343">
                  <c:v>40753</c:v>
                </c:pt>
                <c:pt idx="344">
                  <c:v>40760</c:v>
                </c:pt>
                <c:pt idx="345">
                  <c:v>40767</c:v>
                </c:pt>
                <c:pt idx="346">
                  <c:v>40774</c:v>
                </c:pt>
                <c:pt idx="347">
                  <c:v>40781</c:v>
                </c:pt>
                <c:pt idx="348">
                  <c:v>40788</c:v>
                </c:pt>
                <c:pt idx="349">
                  <c:v>40795</c:v>
                </c:pt>
                <c:pt idx="350">
                  <c:v>40802</c:v>
                </c:pt>
                <c:pt idx="351">
                  <c:v>40809</c:v>
                </c:pt>
                <c:pt idx="352">
                  <c:v>40816</c:v>
                </c:pt>
                <c:pt idx="353">
                  <c:v>40823</c:v>
                </c:pt>
                <c:pt idx="354">
                  <c:v>40830</c:v>
                </c:pt>
                <c:pt idx="355">
                  <c:v>40837</c:v>
                </c:pt>
                <c:pt idx="356">
                  <c:v>40844</c:v>
                </c:pt>
                <c:pt idx="357">
                  <c:v>40851</c:v>
                </c:pt>
                <c:pt idx="358">
                  <c:v>40858</c:v>
                </c:pt>
                <c:pt idx="359">
                  <c:v>40865</c:v>
                </c:pt>
                <c:pt idx="360">
                  <c:v>40872</c:v>
                </c:pt>
                <c:pt idx="361">
                  <c:v>40879</c:v>
                </c:pt>
                <c:pt idx="362">
                  <c:v>40886</c:v>
                </c:pt>
                <c:pt idx="363">
                  <c:v>40893</c:v>
                </c:pt>
                <c:pt idx="364">
                  <c:v>40900</c:v>
                </c:pt>
                <c:pt idx="365">
                  <c:v>40907</c:v>
                </c:pt>
                <c:pt idx="366">
                  <c:v>40914</c:v>
                </c:pt>
                <c:pt idx="367">
                  <c:v>40921</c:v>
                </c:pt>
                <c:pt idx="368">
                  <c:v>40928</c:v>
                </c:pt>
                <c:pt idx="369">
                  <c:v>40935</c:v>
                </c:pt>
                <c:pt idx="370">
                  <c:v>40942</c:v>
                </c:pt>
                <c:pt idx="371">
                  <c:v>40949</c:v>
                </c:pt>
                <c:pt idx="372">
                  <c:v>40956</c:v>
                </c:pt>
                <c:pt idx="373">
                  <c:v>40963</c:v>
                </c:pt>
                <c:pt idx="374">
                  <c:v>40970</c:v>
                </c:pt>
                <c:pt idx="375">
                  <c:v>40977</c:v>
                </c:pt>
                <c:pt idx="376">
                  <c:v>40984</c:v>
                </c:pt>
                <c:pt idx="377">
                  <c:v>40991</c:v>
                </c:pt>
                <c:pt idx="378">
                  <c:v>40998</c:v>
                </c:pt>
                <c:pt idx="379">
                  <c:v>41005</c:v>
                </c:pt>
                <c:pt idx="380">
                  <c:v>41012</c:v>
                </c:pt>
                <c:pt idx="381">
                  <c:v>41019</c:v>
                </c:pt>
                <c:pt idx="382">
                  <c:v>41026</c:v>
                </c:pt>
                <c:pt idx="383">
                  <c:v>41033</c:v>
                </c:pt>
                <c:pt idx="384">
                  <c:v>41040</c:v>
                </c:pt>
                <c:pt idx="385">
                  <c:v>41047</c:v>
                </c:pt>
                <c:pt idx="386">
                  <c:v>41054</c:v>
                </c:pt>
                <c:pt idx="387">
                  <c:v>41061</c:v>
                </c:pt>
                <c:pt idx="388">
                  <c:v>41068</c:v>
                </c:pt>
                <c:pt idx="389">
                  <c:v>41075</c:v>
                </c:pt>
                <c:pt idx="390">
                  <c:v>41082</c:v>
                </c:pt>
                <c:pt idx="391">
                  <c:v>41089</c:v>
                </c:pt>
                <c:pt idx="392">
                  <c:v>41096</c:v>
                </c:pt>
                <c:pt idx="393">
                  <c:v>41103</c:v>
                </c:pt>
                <c:pt idx="394">
                  <c:v>41110</c:v>
                </c:pt>
                <c:pt idx="395">
                  <c:v>41117</c:v>
                </c:pt>
                <c:pt idx="396">
                  <c:v>41124</c:v>
                </c:pt>
                <c:pt idx="397">
                  <c:v>41131</c:v>
                </c:pt>
                <c:pt idx="398">
                  <c:v>41138</c:v>
                </c:pt>
                <c:pt idx="399">
                  <c:v>41145</c:v>
                </c:pt>
                <c:pt idx="400">
                  <c:v>41152</c:v>
                </c:pt>
                <c:pt idx="401">
                  <c:v>41159</c:v>
                </c:pt>
                <c:pt idx="402">
                  <c:v>41166</c:v>
                </c:pt>
                <c:pt idx="403">
                  <c:v>41173</c:v>
                </c:pt>
                <c:pt idx="404">
                  <c:v>41180</c:v>
                </c:pt>
                <c:pt idx="405">
                  <c:v>41187</c:v>
                </c:pt>
                <c:pt idx="406">
                  <c:v>41194</c:v>
                </c:pt>
                <c:pt idx="407">
                  <c:v>41201</c:v>
                </c:pt>
                <c:pt idx="408">
                  <c:v>41208</c:v>
                </c:pt>
                <c:pt idx="409">
                  <c:v>41215</c:v>
                </c:pt>
                <c:pt idx="410">
                  <c:v>41222</c:v>
                </c:pt>
                <c:pt idx="411">
                  <c:v>41229</c:v>
                </c:pt>
                <c:pt idx="412">
                  <c:v>41236</c:v>
                </c:pt>
                <c:pt idx="413">
                  <c:v>41243</c:v>
                </c:pt>
                <c:pt idx="414">
                  <c:v>41250</c:v>
                </c:pt>
                <c:pt idx="415">
                  <c:v>41257</c:v>
                </c:pt>
                <c:pt idx="416">
                  <c:v>41264</c:v>
                </c:pt>
                <c:pt idx="417">
                  <c:v>41271</c:v>
                </c:pt>
                <c:pt idx="418">
                  <c:v>41278</c:v>
                </c:pt>
                <c:pt idx="419">
                  <c:v>41285</c:v>
                </c:pt>
                <c:pt idx="420">
                  <c:v>41292</c:v>
                </c:pt>
                <c:pt idx="421">
                  <c:v>41299</c:v>
                </c:pt>
                <c:pt idx="422">
                  <c:v>41306</c:v>
                </c:pt>
                <c:pt idx="423">
                  <c:v>41313</c:v>
                </c:pt>
                <c:pt idx="424">
                  <c:v>41320</c:v>
                </c:pt>
                <c:pt idx="425">
                  <c:v>41327</c:v>
                </c:pt>
                <c:pt idx="426">
                  <c:v>41334</c:v>
                </c:pt>
                <c:pt idx="427">
                  <c:v>41341</c:v>
                </c:pt>
                <c:pt idx="428">
                  <c:v>41348</c:v>
                </c:pt>
                <c:pt idx="429">
                  <c:v>41355</c:v>
                </c:pt>
                <c:pt idx="430">
                  <c:v>41362</c:v>
                </c:pt>
                <c:pt idx="431">
                  <c:v>41369</c:v>
                </c:pt>
                <c:pt idx="432">
                  <c:v>41376</c:v>
                </c:pt>
                <c:pt idx="433">
                  <c:v>41383</c:v>
                </c:pt>
                <c:pt idx="434">
                  <c:v>41390</c:v>
                </c:pt>
                <c:pt idx="435">
                  <c:v>41397</c:v>
                </c:pt>
                <c:pt idx="436">
                  <c:v>41404</c:v>
                </c:pt>
                <c:pt idx="437">
                  <c:v>41411</c:v>
                </c:pt>
                <c:pt idx="438">
                  <c:v>41418</c:v>
                </c:pt>
                <c:pt idx="439">
                  <c:v>41425</c:v>
                </c:pt>
                <c:pt idx="440">
                  <c:v>41432</c:v>
                </c:pt>
                <c:pt idx="441">
                  <c:v>41439</c:v>
                </c:pt>
                <c:pt idx="442">
                  <c:v>41446</c:v>
                </c:pt>
                <c:pt idx="443">
                  <c:v>41453</c:v>
                </c:pt>
                <c:pt idx="444">
                  <c:v>41460</c:v>
                </c:pt>
                <c:pt idx="445">
                  <c:v>41467</c:v>
                </c:pt>
                <c:pt idx="446">
                  <c:v>41474</c:v>
                </c:pt>
                <c:pt idx="447">
                  <c:v>41481</c:v>
                </c:pt>
                <c:pt idx="448">
                  <c:v>41488</c:v>
                </c:pt>
                <c:pt idx="449">
                  <c:v>41495</c:v>
                </c:pt>
                <c:pt idx="450">
                  <c:v>41502</c:v>
                </c:pt>
                <c:pt idx="451">
                  <c:v>41509</c:v>
                </c:pt>
                <c:pt idx="452">
                  <c:v>41516</c:v>
                </c:pt>
                <c:pt idx="453">
                  <c:v>41523</c:v>
                </c:pt>
                <c:pt idx="454">
                  <c:v>41530</c:v>
                </c:pt>
                <c:pt idx="455">
                  <c:v>41537</c:v>
                </c:pt>
                <c:pt idx="456">
                  <c:v>41544</c:v>
                </c:pt>
                <c:pt idx="457">
                  <c:v>41551</c:v>
                </c:pt>
                <c:pt idx="458">
                  <c:v>41558</c:v>
                </c:pt>
                <c:pt idx="459">
                  <c:v>41565</c:v>
                </c:pt>
                <c:pt idx="460">
                  <c:v>41572</c:v>
                </c:pt>
                <c:pt idx="461">
                  <c:v>41579</c:v>
                </c:pt>
                <c:pt idx="462">
                  <c:v>41586</c:v>
                </c:pt>
                <c:pt idx="463">
                  <c:v>41593</c:v>
                </c:pt>
                <c:pt idx="464">
                  <c:v>41600</c:v>
                </c:pt>
                <c:pt idx="465">
                  <c:v>41607</c:v>
                </c:pt>
                <c:pt idx="466">
                  <c:v>41614</c:v>
                </c:pt>
                <c:pt idx="467">
                  <c:v>41621</c:v>
                </c:pt>
                <c:pt idx="468">
                  <c:v>41628</c:v>
                </c:pt>
                <c:pt idx="469">
                  <c:v>41635</c:v>
                </c:pt>
                <c:pt idx="470">
                  <c:v>41642</c:v>
                </c:pt>
                <c:pt idx="471">
                  <c:v>41649</c:v>
                </c:pt>
                <c:pt idx="472">
                  <c:v>41656</c:v>
                </c:pt>
                <c:pt idx="473">
                  <c:v>41663</c:v>
                </c:pt>
                <c:pt idx="474">
                  <c:v>41670</c:v>
                </c:pt>
                <c:pt idx="475">
                  <c:v>41677</c:v>
                </c:pt>
                <c:pt idx="476">
                  <c:v>41684</c:v>
                </c:pt>
                <c:pt idx="477">
                  <c:v>41691</c:v>
                </c:pt>
                <c:pt idx="478">
                  <c:v>41698</c:v>
                </c:pt>
                <c:pt idx="479">
                  <c:v>41705</c:v>
                </c:pt>
                <c:pt idx="480">
                  <c:v>41712</c:v>
                </c:pt>
                <c:pt idx="481">
                  <c:v>41719</c:v>
                </c:pt>
                <c:pt idx="482">
                  <c:v>41726</c:v>
                </c:pt>
                <c:pt idx="483">
                  <c:v>41733</c:v>
                </c:pt>
                <c:pt idx="484">
                  <c:v>41740</c:v>
                </c:pt>
                <c:pt idx="485">
                  <c:v>41747</c:v>
                </c:pt>
                <c:pt idx="486">
                  <c:v>41754</c:v>
                </c:pt>
                <c:pt idx="487">
                  <c:v>41761</c:v>
                </c:pt>
                <c:pt idx="488">
                  <c:v>41768</c:v>
                </c:pt>
                <c:pt idx="489">
                  <c:v>41775</c:v>
                </c:pt>
                <c:pt idx="490">
                  <c:v>41782</c:v>
                </c:pt>
                <c:pt idx="491">
                  <c:v>41789</c:v>
                </c:pt>
                <c:pt idx="492">
                  <c:v>41796</c:v>
                </c:pt>
                <c:pt idx="493">
                  <c:v>41803</c:v>
                </c:pt>
                <c:pt idx="494">
                  <c:v>41810</c:v>
                </c:pt>
                <c:pt idx="495">
                  <c:v>41817</c:v>
                </c:pt>
                <c:pt idx="496">
                  <c:v>41824</c:v>
                </c:pt>
                <c:pt idx="497">
                  <c:v>41831</c:v>
                </c:pt>
                <c:pt idx="498">
                  <c:v>41838</c:v>
                </c:pt>
                <c:pt idx="499">
                  <c:v>41845</c:v>
                </c:pt>
                <c:pt idx="500">
                  <c:v>41852</c:v>
                </c:pt>
                <c:pt idx="501">
                  <c:v>41859</c:v>
                </c:pt>
                <c:pt idx="502">
                  <c:v>41866</c:v>
                </c:pt>
                <c:pt idx="503">
                  <c:v>41873</c:v>
                </c:pt>
                <c:pt idx="504">
                  <c:v>41880</c:v>
                </c:pt>
                <c:pt idx="505">
                  <c:v>41887</c:v>
                </c:pt>
                <c:pt idx="506">
                  <c:v>41894</c:v>
                </c:pt>
                <c:pt idx="507">
                  <c:v>41901</c:v>
                </c:pt>
                <c:pt idx="508">
                  <c:v>41908</c:v>
                </c:pt>
                <c:pt idx="509">
                  <c:v>41915</c:v>
                </c:pt>
                <c:pt idx="510">
                  <c:v>41922</c:v>
                </c:pt>
                <c:pt idx="511">
                  <c:v>41929</c:v>
                </c:pt>
                <c:pt idx="512">
                  <c:v>41936</c:v>
                </c:pt>
                <c:pt idx="513">
                  <c:v>41943</c:v>
                </c:pt>
                <c:pt idx="514">
                  <c:v>41950</c:v>
                </c:pt>
                <c:pt idx="515">
                  <c:v>41957</c:v>
                </c:pt>
                <c:pt idx="516">
                  <c:v>41964</c:v>
                </c:pt>
                <c:pt idx="517">
                  <c:v>41971</c:v>
                </c:pt>
                <c:pt idx="518">
                  <c:v>41978</c:v>
                </c:pt>
                <c:pt idx="519">
                  <c:v>41985</c:v>
                </c:pt>
                <c:pt idx="520">
                  <c:v>41992</c:v>
                </c:pt>
                <c:pt idx="521">
                  <c:v>41999</c:v>
                </c:pt>
                <c:pt idx="522">
                  <c:v>42006</c:v>
                </c:pt>
                <c:pt idx="523">
                  <c:v>42013</c:v>
                </c:pt>
                <c:pt idx="524">
                  <c:v>42020</c:v>
                </c:pt>
                <c:pt idx="525">
                  <c:v>42027</c:v>
                </c:pt>
                <c:pt idx="526">
                  <c:v>42034</c:v>
                </c:pt>
                <c:pt idx="527">
                  <c:v>42041</c:v>
                </c:pt>
                <c:pt idx="528">
                  <c:v>42048</c:v>
                </c:pt>
                <c:pt idx="529">
                  <c:v>42055</c:v>
                </c:pt>
                <c:pt idx="530">
                  <c:v>42062</c:v>
                </c:pt>
                <c:pt idx="531">
                  <c:v>42069</c:v>
                </c:pt>
                <c:pt idx="532">
                  <c:v>42076</c:v>
                </c:pt>
                <c:pt idx="533">
                  <c:v>42083</c:v>
                </c:pt>
                <c:pt idx="534">
                  <c:v>42090</c:v>
                </c:pt>
                <c:pt idx="535">
                  <c:v>42097</c:v>
                </c:pt>
                <c:pt idx="536">
                  <c:v>42104</c:v>
                </c:pt>
                <c:pt idx="537">
                  <c:v>42111</c:v>
                </c:pt>
                <c:pt idx="538">
                  <c:v>42118</c:v>
                </c:pt>
                <c:pt idx="539">
                  <c:v>42125</c:v>
                </c:pt>
                <c:pt idx="540">
                  <c:v>42132</c:v>
                </c:pt>
                <c:pt idx="541">
                  <c:v>42139</c:v>
                </c:pt>
                <c:pt idx="542">
                  <c:v>42146</c:v>
                </c:pt>
                <c:pt idx="543">
                  <c:v>42153</c:v>
                </c:pt>
                <c:pt idx="544">
                  <c:v>42160</c:v>
                </c:pt>
                <c:pt idx="545">
                  <c:v>42167</c:v>
                </c:pt>
                <c:pt idx="546">
                  <c:v>42174</c:v>
                </c:pt>
                <c:pt idx="547">
                  <c:v>42181</c:v>
                </c:pt>
                <c:pt idx="548">
                  <c:v>42188</c:v>
                </c:pt>
                <c:pt idx="549">
                  <c:v>42195</c:v>
                </c:pt>
                <c:pt idx="550">
                  <c:v>42202</c:v>
                </c:pt>
                <c:pt idx="551">
                  <c:v>42209</c:v>
                </c:pt>
                <c:pt idx="552">
                  <c:v>42216</c:v>
                </c:pt>
                <c:pt idx="553">
                  <c:v>42223</c:v>
                </c:pt>
                <c:pt idx="554">
                  <c:v>42230</c:v>
                </c:pt>
                <c:pt idx="555">
                  <c:v>42237</c:v>
                </c:pt>
                <c:pt idx="556">
                  <c:v>42244</c:v>
                </c:pt>
                <c:pt idx="557">
                  <c:v>42251</c:v>
                </c:pt>
                <c:pt idx="558">
                  <c:v>42258</c:v>
                </c:pt>
                <c:pt idx="559">
                  <c:v>42265</c:v>
                </c:pt>
                <c:pt idx="560">
                  <c:v>42272</c:v>
                </c:pt>
                <c:pt idx="561">
                  <c:v>42279</c:v>
                </c:pt>
                <c:pt idx="562">
                  <c:v>42286</c:v>
                </c:pt>
                <c:pt idx="563">
                  <c:v>42293</c:v>
                </c:pt>
                <c:pt idx="564">
                  <c:v>42300</c:v>
                </c:pt>
                <c:pt idx="565">
                  <c:v>42307</c:v>
                </c:pt>
                <c:pt idx="566">
                  <c:v>42314</c:v>
                </c:pt>
                <c:pt idx="567">
                  <c:v>42321</c:v>
                </c:pt>
                <c:pt idx="568">
                  <c:v>42328</c:v>
                </c:pt>
                <c:pt idx="569">
                  <c:v>42335</c:v>
                </c:pt>
                <c:pt idx="570">
                  <c:v>42342</c:v>
                </c:pt>
                <c:pt idx="571">
                  <c:v>42349</c:v>
                </c:pt>
                <c:pt idx="572">
                  <c:v>42356</c:v>
                </c:pt>
                <c:pt idx="573">
                  <c:v>42363</c:v>
                </c:pt>
                <c:pt idx="574">
                  <c:v>42370</c:v>
                </c:pt>
                <c:pt idx="575">
                  <c:v>42377</c:v>
                </c:pt>
                <c:pt idx="576">
                  <c:v>42384</c:v>
                </c:pt>
                <c:pt idx="577">
                  <c:v>42391</c:v>
                </c:pt>
                <c:pt idx="578">
                  <c:v>42398</c:v>
                </c:pt>
                <c:pt idx="579">
                  <c:v>42405</c:v>
                </c:pt>
                <c:pt idx="580">
                  <c:v>42412</c:v>
                </c:pt>
                <c:pt idx="581">
                  <c:v>42419</c:v>
                </c:pt>
                <c:pt idx="582">
                  <c:v>42426</c:v>
                </c:pt>
                <c:pt idx="583">
                  <c:v>42433</c:v>
                </c:pt>
                <c:pt idx="584">
                  <c:v>42440</c:v>
                </c:pt>
                <c:pt idx="585">
                  <c:v>42447</c:v>
                </c:pt>
                <c:pt idx="586">
                  <c:v>42454</c:v>
                </c:pt>
                <c:pt idx="587">
                  <c:v>42461</c:v>
                </c:pt>
                <c:pt idx="588">
                  <c:v>42468</c:v>
                </c:pt>
                <c:pt idx="589">
                  <c:v>42475</c:v>
                </c:pt>
                <c:pt idx="590">
                  <c:v>42482</c:v>
                </c:pt>
                <c:pt idx="591">
                  <c:v>42489</c:v>
                </c:pt>
                <c:pt idx="592">
                  <c:v>42496</c:v>
                </c:pt>
                <c:pt idx="593">
                  <c:v>42503</c:v>
                </c:pt>
                <c:pt idx="594">
                  <c:v>42510</c:v>
                </c:pt>
                <c:pt idx="595">
                  <c:v>42517</c:v>
                </c:pt>
                <c:pt idx="596">
                  <c:v>42524</c:v>
                </c:pt>
                <c:pt idx="597">
                  <c:v>42531</c:v>
                </c:pt>
                <c:pt idx="598">
                  <c:v>42538</c:v>
                </c:pt>
                <c:pt idx="599">
                  <c:v>42545</c:v>
                </c:pt>
                <c:pt idx="600">
                  <c:v>42552</c:v>
                </c:pt>
                <c:pt idx="601">
                  <c:v>42559</c:v>
                </c:pt>
                <c:pt idx="602">
                  <c:v>42566</c:v>
                </c:pt>
                <c:pt idx="603">
                  <c:v>42573</c:v>
                </c:pt>
                <c:pt idx="604">
                  <c:v>42580</c:v>
                </c:pt>
                <c:pt idx="605">
                  <c:v>42587</c:v>
                </c:pt>
                <c:pt idx="606">
                  <c:v>42594</c:v>
                </c:pt>
                <c:pt idx="607">
                  <c:v>42601</c:v>
                </c:pt>
                <c:pt idx="608">
                  <c:v>42608</c:v>
                </c:pt>
                <c:pt idx="609">
                  <c:v>42615</c:v>
                </c:pt>
                <c:pt idx="610">
                  <c:v>42622</c:v>
                </c:pt>
                <c:pt idx="611">
                  <c:v>42629</c:v>
                </c:pt>
                <c:pt idx="612">
                  <c:v>42636</c:v>
                </c:pt>
                <c:pt idx="613">
                  <c:v>42643</c:v>
                </c:pt>
                <c:pt idx="614">
                  <c:v>42650</c:v>
                </c:pt>
                <c:pt idx="615">
                  <c:v>42657</c:v>
                </c:pt>
                <c:pt idx="616">
                  <c:v>42664</c:v>
                </c:pt>
                <c:pt idx="617">
                  <c:v>42671</c:v>
                </c:pt>
                <c:pt idx="618">
                  <c:v>42678</c:v>
                </c:pt>
                <c:pt idx="619">
                  <c:v>42685</c:v>
                </c:pt>
                <c:pt idx="620">
                  <c:v>42692</c:v>
                </c:pt>
                <c:pt idx="621">
                  <c:v>42699</c:v>
                </c:pt>
                <c:pt idx="622">
                  <c:v>42706</c:v>
                </c:pt>
                <c:pt idx="623">
                  <c:v>42713</c:v>
                </c:pt>
                <c:pt idx="624">
                  <c:v>42720</c:v>
                </c:pt>
                <c:pt idx="625">
                  <c:v>42727</c:v>
                </c:pt>
                <c:pt idx="626">
                  <c:v>42734</c:v>
                </c:pt>
                <c:pt idx="627">
                  <c:v>42741</c:v>
                </c:pt>
                <c:pt idx="628">
                  <c:v>42748</c:v>
                </c:pt>
                <c:pt idx="629">
                  <c:v>42755</c:v>
                </c:pt>
                <c:pt idx="630">
                  <c:v>42762</c:v>
                </c:pt>
                <c:pt idx="631">
                  <c:v>42769</c:v>
                </c:pt>
                <c:pt idx="632">
                  <c:v>42776</c:v>
                </c:pt>
                <c:pt idx="633">
                  <c:v>42783</c:v>
                </c:pt>
                <c:pt idx="634">
                  <c:v>42790</c:v>
                </c:pt>
                <c:pt idx="635">
                  <c:v>42797</c:v>
                </c:pt>
                <c:pt idx="636">
                  <c:v>42804</c:v>
                </c:pt>
                <c:pt idx="637">
                  <c:v>42811</c:v>
                </c:pt>
                <c:pt idx="638">
                  <c:v>42818</c:v>
                </c:pt>
                <c:pt idx="639">
                  <c:v>42825</c:v>
                </c:pt>
                <c:pt idx="640">
                  <c:v>42832</c:v>
                </c:pt>
                <c:pt idx="641">
                  <c:v>42839</c:v>
                </c:pt>
                <c:pt idx="642">
                  <c:v>42846</c:v>
                </c:pt>
                <c:pt idx="643">
                  <c:v>42853</c:v>
                </c:pt>
                <c:pt idx="644">
                  <c:v>42860</c:v>
                </c:pt>
                <c:pt idx="645">
                  <c:v>42867</c:v>
                </c:pt>
                <c:pt idx="646">
                  <c:v>42874</c:v>
                </c:pt>
                <c:pt idx="647">
                  <c:v>42881</c:v>
                </c:pt>
                <c:pt idx="648">
                  <c:v>42888</c:v>
                </c:pt>
                <c:pt idx="649">
                  <c:v>42895</c:v>
                </c:pt>
                <c:pt idx="650">
                  <c:v>42902</c:v>
                </c:pt>
                <c:pt idx="651">
                  <c:v>42909</c:v>
                </c:pt>
                <c:pt idx="652">
                  <c:v>42916</c:v>
                </c:pt>
                <c:pt idx="653">
                  <c:v>42923</c:v>
                </c:pt>
                <c:pt idx="654">
                  <c:v>42930</c:v>
                </c:pt>
                <c:pt idx="655">
                  <c:v>42937</c:v>
                </c:pt>
                <c:pt idx="656">
                  <c:v>42944</c:v>
                </c:pt>
                <c:pt idx="657">
                  <c:v>42951</c:v>
                </c:pt>
                <c:pt idx="658">
                  <c:v>42958</c:v>
                </c:pt>
                <c:pt idx="659">
                  <c:v>42965</c:v>
                </c:pt>
                <c:pt idx="660">
                  <c:v>42972</c:v>
                </c:pt>
                <c:pt idx="661">
                  <c:v>42979</c:v>
                </c:pt>
                <c:pt idx="662">
                  <c:v>42986</c:v>
                </c:pt>
                <c:pt idx="663">
                  <c:v>42993</c:v>
                </c:pt>
                <c:pt idx="664">
                  <c:v>43000</c:v>
                </c:pt>
                <c:pt idx="665">
                  <c:v>43007</c:v>
                </c:pt>
                <c:pt idx="666">
                  <c:v>43014</c:v>
                </c:pt>
                <c:pt idx="667">
                  <c:v>43021</c:v>
                </c:pt>
                <c:pt idx="668">
                  <c:v>43028</c:v>
                </c:pt>
                <c:pt idx="669">
                  <c:v>43035</c:v>
                </c:pt>
                <c:pt idx="670">
                  <c:v>43042</c:v>
                </c:pt>
                <c:pt idx="671">
                  <c:v>43049</c:v>
                </c:pt>
                <c:pt idx="672">
                  <c:v>43056</c:v>
                </c:pt>
                <c:pt idx="673">
                  <c:v>43063</c:v>
                </c:pt>
                <c:pt idx="674">
                  <c:v>43070</c:v>
                </c:pt>
                <c:pt idx="675">
                  <c:v>43077</c:v>
                </c:pt>
                <c:pt idx="676">
                  <c:v>43084</c:v>
                </c:pt>
                <c:pt idx="677">
                  <c:v>43091</c:v>
                </c:pt>
                <c:pt idx="678">
                  <c:v>43098</c:v>
                </c:pt>
                <c:pt idx="679">
                  <c:v>43105</c:v>
                </c:pt>
                <c:pt idx="680">
                  <c:v>43112</c:v>
                </c:pt>
                <c:pt idx="681">
                  <c:v>43119</c:v>
                </c:pt>
                <c:pt idx="682">
                  <c:v>43126</c:v>
                </c:pt>
                <c:pt idx="683">
                  <c:v>43133</c:v>
                </c:pt>
                <c:pt idx="684">
                  <c:v>43140</c:v>
                </c:pt>
                <c:pt idx="685">
                  <c:v>43147</c:v>
                </c:pt>
                <c:pt idx="686">
                  <c:v>43154</c:v>
                </c:pt>
                <c:pt idx="687">
                  <c:v>43161</c:v>
                </c:pt>
                <c:pt idx="688">
                  <c:v>43168</c:v>
                </c:pt>
                <c:pt idx="689">
                  <c:v>43175</c:v>
                </c:pt>
                <c:pt idx="690">
                  <c:v>43182</c:v>
                </c:pt>
                <c:pt idx="691">
                  <c:v>43189</c:v>
                </c:pt>
                <c:pt idx="692">
                  <c:v>43196</c:v>
                </c:pt>
                <c:pt idx="693">
                  <c:v>43203</c:v>
                </c:pt>
                <c:pt idx="694">
                  <c:v>43210</c:v>
                </c:pt>
                <c:pt idx="695">
                  <c:v>43217</c:v>
                </c:pt>
                <c:pt idx="696">
                  <c:v>43224</c:v>
                </c:pt>
                <c:pt idx="697">
                  <c:v>43231</c:v>
                </c:pt>
                <c:pt idx="698">
                  <c:v>43238</c:v>
                </c:pt>
                <c:pt idx="699">
                  <c:v>43245</c:v>
                </c:pt>
                <c:pt idx="700">
                  <c:v>43252</c:v>
                </c:pt>
                <c:pt idx="701">
                  <c:v>43259</c:v>
                </c:pt>
                <c:pt idx="702">
                  <c:v>43266</c:v>
                </c:pt>
                <c:pt idx="703">
                  <c:v>43273</c:v>
                </c:pt>
                <c:pt idx="704">
                  <c:v>43280</c:v>
                </c:pt>
                <c:pt idx="705">
                  <c:v>43287</c:v>
                </c:pt>
                <c:pt idx="706">
                  <c:v>43294</c:v>
                </c:pt>
                <c:pt idx="707">
                  <c:v>43301</c:v>
                </c:pt>
                <c:pt idx="708">
                  <c:v>43308</c:v>
                </c:pt>
                <c:pt idx="709">
                  <c:v>43315</c:v>
                </c:pt>
                <c:pt idx="710">
                  <c:v>43322</c:v>
                </c:pt>
                <c:pt idx="711">
                  <c:v>43329</c:v>
                </c:pt>
                <c:pt idx="712">
                  <c:v>43336</c:v>
                </c:pt>
                <c:pt idx="713">
                  <c:v>43343</c:v>
                </c:pt>
                <c:pt idx="714">
                  <c:v>43350</c:v>
                </c:pt>
                <c:pt idx="715">
                  <c:v>43357</c:v>
                </c:pt>
                <c:pt idx="716">
                  <c:v>43364</c:v>
                </c:pt>
                <c:pt idx="717">
                  <c:v>43371</c:v>
                </c:pt>
                <c:pt idx="718">
                  <c:v>43378</c:v>
                </c:pt>
                <c:pt idx="719">
                  <c:v>43385</c:v>
                </c:pt>
                <c:pt idx="720">
                  <c:v>43392</c:v>
                </c:pt>
                <c:pt idx="721">
                  <c:v>43399</c:v>
                </c:pt>
                <c:pt idx="722">
                  <c:v>43406</c:v>
                </c:pt>
                <c:pt idx="723">
                  <c:v>43413</c:v>
                </c:pt>
                <c:pt idx="724">
                  <c:v>43420</c:v>
                </c:pt>
                <c:pt idx="725">
                  <c:v>43427</c:v>
                </c:pt>
                <c:pt idx="726">
                  <c:v>43434</c:v>
                </c:pt>
                <c:pt idx="727">
                  <c:v>43441</c:v>
                </c:pt>
                <c:pt idx="728">
                  <c:v>43448</c:v>
                </c:pt>
                <c:pt idx="729">
                  <c:v>43455</c:v>
                </c:pt>
                <c:pt idx="730">
                  <c:v>43462</c:v>
                </c:pt>
                <c:pt idx="731">
                  <c:v>43469</c:v>
                </c:pt>
                <c:pt idx="732">
                  <c:v>43476</c:v>
                </c:pt>
                <c:pt idx="733">
                  <c:v>43483</c:v>
                </c:pt>
                <c:pt idx="734">
                  <c:v>43490</c:v>
                </c:pt>
                <c:pt idx="735">
                  <c:v>43497</c:v>
                </c:pt>
                <c:pt idx="736">
                  <c:v>43504</c:v>
                </c:pt>
                <c:pt idx="737">
                  <c:v>43511</c:v>
                </c:pt>
                <c:pt idx="738">
                  <c:v>43518</c:v>
                </c:pt>
                <c:pt idx="739">
                  <c:v>43525</c:v>
                </c:pt>
                <c:pt idx="740">
                  <c:v>43532</c:v>
                </c:pt>
                <c:pt idx="741">
                  <c:v>43539</c:v>
                </c:pt>
                <c:pt idx="742">
                  <c:v>43546</c:v>
                </c:pt>
                <c:pt idx="743">
                  <c:v>43553</c:v>
                </c:pt>
                <c:pt idx="744">
                  <c:v>43560</c:v>
                </c:pt>
                <c:pt idx="745">
                  <c:v>43567</c:v>
                </c:pt>
                <c:pt idx="746">
                  <c:v>43574</c:v>
                </c:pt>
                <c:pt idx="747">
                  <c:v>43581</c:v>
                </c:pt>
                <c:pt idx="748">
                  <c:v>43588</c:v>
                </c:pt>
                <c:pt idx="749">
                  <c:v>43595</c:v>
                </c:pt>
                <c:pt idx="750">
                  <c:v>43602</c:v>
                </c:pt>
                <c:pt idx="751">
                  <c:v>43609</c:v>
                </c:pt>
                <c:pt idx="752">
                  <c:v>43616</c:v>
                </c:pt>
                <c:pt idx="753">
                  <c:v>43623</c:v>
                </c:pt>
                <c:pt idx="754">
                  <c:v>43630</c:v>
                </c:pt>
                <c:pt idx="755">
                  <c:v>43637</c:v>
                </c:pt>
                <c:pt idx="756">
                  <c:v>43644</c:v>
                </c:pt>
                <c:pt idx="757">
                  <c:v>43651</c:v>
                </c:pt>
                <c:pt idx="758">
                  <c:v>43658</c:v>
                </c:pt>
                <c:pt idx="759">
                  <c:v>43665</c:v>
                </c:pt>
                <c:pt idx="760">
                  <c:v>43672</c:v>
                </c:pt>
                <c:pt idx="761">
                  <c:v>43679</c:v>
                </c:pt>
                <c:pt idx="762">
                  <c:v>43686</c:v>
                </c:pt>
                <c:pt idx="763">
                  <c:v>43693</c:v>
                </c:pt>
                <c:pt idx="764">
                  <c:v>43700</c:v>
                </c:pt>
                <c:pt idx="765">
                  <c:v>43707</c:v>
                </c:pt>
                <c:pt idx="766">
                  <c:v>43714</c:v>
                </c:pt>
                <c:pt idx="767">
                  <c:v>43721</c:v>
                </c:pt>
                <c:pt idx="768">
                  <c:v>43728</c:v>
                </c:pt>
                <c:pt idx="769">
                  <c:v>43735</c:v>
                </c:pt>
                <c:pt idx="770">
                  <c:v>43742</c:v>
                </c:pt>
                <c:pt idx="771">
                  <c:v>43749</c:v>
                </c:pt>
                <c:pt idx="772">
                  <c:v>43756</c:v>
                </c:pt>
                <c:pt idx="773">
                  <c:v>43763</c:v>
                </c:pt>
                <c:pt idx="774">
                  <c:v>43770</c:v>
                </c:pt>
                <c:pt idx="775">
                  <c:v>43777</c:v>
                </c:pt>
                <c:pt idx="776">
                  <c:v>43784</c:v>
                </c:pt>
                <c:pt idx="777">
                  <c:v>43791</c:v>
                </c:pt>
                <c:pt idx="778">
                  <c:v>43798</c:v>
                </c:pt>
              </c:numCache>
            </c:numRef>
          </c:cat>
          <c:val>
            <c:numRef>
              <c:f>Лист4!$N$5:$N$561</c:f>
              <c:numCache>
                <c:formatCode>General</c:formatCode>
                <c:ptCount val="557"/>
                <c:pt idx="0">
                  <c:v>6.2594000000000003</c:v>
                </c:pt>
                <c:pt idx="1">
                  <c:v>5.7378</c:v>
                </c:pt>
                <c:pt idx="2">
                  <c:v>6.1138000000000003</c:v>
                </c:pt>
                <c:pt idx="3">
                  <c:v>6.3952</c:v>
                </c:pt>
                <c:pt idx="4">
                  <c:v>6.4010999999999996</c:v>
                </c:pt>
                <c:pt idx="5">
                  <c:v>6.2480000000000002</c:v>
                </c:pt>
                <c:pt idx="6">
                  <c:v>6.0791000000000004</c:v>
                </c:pt>
                <c:pt idx="7">
                  <c:v>5.9977</c:v>
                </c:pt>
                <c:pt idx="8">
                  <c:v>6.1280999999999999</c:v>
                </c:pt>
                <c:pt idx="9">
                  <c:v>6.6200999999999999</c:v>
                </c:pt>
                <c:pt idx="10">
                  <c:v>6.8204000000000002</c:v>
                </c:pt>
                <c:pt idx="11">
                  <c:v>7.0922999999999998</c:v>
                </c:pt>
                <c:pt idx="12">
                  <c:v>7.1485000000000003</c:v>
                </c:pt>
                <c:pt idx="13">
                  <c:v>7.2161</c:v>
                </c:pt>
                <c:pt idx="14">
                  <c:v>7.4942000000000002</c:v>
                </c:pt>
                <c:pt idx="15">
                  <c:v>7.1105999999999998</c:v>
                </c:pt>
                <c:pt idx="16">
                  <c:v>7.0076000000000001</c:v>
                </c:pt>
                <c:pt idx="17">
                  <c:v>6.9498999999999995</c:v>
                </c:pt>
                <c:pt idx="18">
                  <c:v>6.5827</c:v>
                </c:pt>
                <c:pt idx="19">
                  <c:v>6.5915999999999997</c:v>
                </c:pt>
                <c:pt idx="20">
                  <c:v>6.4219999999999997</c:v>
                </c:pt>
                <c:pt idx="21">
                  <c:v>6.3257000000000003</c:v>
                </c:pt>
                <c:pt idx="22">
                  <c:v>6.4863999999999997</c:v>
                </c:pt>
                <c:pt idx="23">
                  <c:v>7.1090999999999998</c:v>
                </c:pt>
                <c:pt idx="24">
                  <c:v>7.3613999999999997</c:v>
                </c:pt>
                <c:pt idx="25">
                  <c:v>7.5204000000000004</c:v>
                </c:pt>
                <c:pt idx="26">
                  <c:v>7.0884999999999998</c:v>
                </c:pt>
                <c:pt idx="27">
                  <c:v>7.6394000000000002</c:v>
                </c:pt>
                <c:pt idx="28">
                  <c:v>7.7862</c:v>
                </c:pt>
                <c:pt idx="29">
                  <c:v>7.6528</c:v>
                </c:pt>
                <c:pt idx="30">
                  <c:v>7.5609999999999999</c:v>
                </c:pt>
                <c:pt idx="31">
                  <c:v>8.4627999999999997</c:v>
                </c:pt>
                <c:pt idx="32">
                  <c:v>9.0653000000000006</c:v>
                </c:pt>
                <c:pt idx="33">
                  <c:v>9.5314999999999994</c:v>
                </c:pt>
                <c:pt idx="34">
                  <c:v>9.8116000000000003</c:v>
                </c:pt>
                <c:pt idx="35">
                  <c:v>12.040900000000001</c:v>
                </c:pt>
                <c:pt idx="36">
                  <c:v>11.135999999999999</c:v>
                </c:pt>
                <c:pt idx="37">
                  <c:v>10.9308</c:v>
                </c:pt>
                <c:pt idx="38">
                  <c:v>13.7401</c:v>
                </c:pt>
                <c:pt idx="39">
                  <c:v>13.677</c:v>
                </c:pt>
                <c:pt idx="40">
                  <c:v>13.4033</c:v>
                </c:pt>
                <c:pt idx="41">
                  <c:v>13.3583</c:v>
                </c:pt>
                <c:pt idx="42">
                  <c:v>13.7079</c:v>
                </c:pt>
                <c:pt idx="43">
                  <c:v>10.8576</c:v>
                </c:pt>
                <c:pt idx="44">
                  <c:v>9.2199000000000009</c:v>
                </c:pt>
                <c:pt idx="45">
                  <c:v>10.263</c:v>
                </c:pt>
                <c:pt idx="46">
                  <c:v>10.883900000000001</c:v>
                </c:pt>
                <c:pt idx="47">
                  <c:v>11.8909</c:v>
                </c:pt>
                <c:pt idx="48">
                  <c:v>14.214700000000001</c:v>
                </c:pt>
                <c:pt idx="49">
                  <c:v>14.494300000000001</c:v>
                </c:pt>
                <c:pt idx="50">
                  <c:v>13.056100000000001</c:v>
                </c:pt>
                <c:pt idx="51">
                  <c:v>9.9296000000000006</c:v>
                </c:pt>
                <c:pt idx="52">
                  <c:v>9.4193999999999996</c:v>
                </c:pt>
                <c:pt idx="53">
                  <c:v>8.6292000000000009</c:v>
                </c:pt>
                <c:pt idx="54">
                  <c:v>8.6735000000000007</c:v>
                </c:pt>
                <c:pt idx="55">
                  <c:v>8.2216000000000005</c:v>
                </c:pt>
                <c:pt idx="56">
                  <c:v>8.3642000000000003</c:v>
                </c:pt>
                <c:pt idx="57">
                  <c:v>7.7964000000000002</c:v>
                </c:pt>
                <c:pt idx="58">
                  <c:v>7.2500999999999998</c:v>
                </c:pt>
                <c:pt idx="59">
                  <c:v>7.3917999999999999</c:v>
                </c:pt>
                <c:pt idx="60">
                  <c:v>6.7108999999999996</c:v>
                </c:pt>
                <c:pt idx="61">
                  <c:v>6.4451000000000001</c:v>
                </c:pt>
                <c:pt idx="62">
                  <c:v>7.0621999999999998</c:v>
                </c:pt>
                <c:pt idx="63">
                  <c:v>7.0987999999999998</c:v>
                </c:pt>
                <c:pt idx="64">
                  <c:v>7.1074000000000002</c:v>
                </c:pt>
                <c:pt idx="65">
                  <c:v>6.9739000000000004</c:v>
                </c:pt>
                <c:pt idx="66">
                  <c:v>6.8076999999999996</c:v>
                </c:pt>
                <c:pt idx="67">
                  <c:v>7.6274999999999995</c:v>
                </c:pt>
                <c:pt idx="68">
                  <c:v>7.1727999999999996</c:v>
                </c:pt>
                <c:pt idx="69">
                  <c:v>6.6097000000000001</c:v>
                </c:pt>
                <c:pt idx="70">
                  <c:v>6.5491999999999999</c:v>
                </c:pt>
                <c:pt idx="71">
                  <c:v>5.9244000000000003</c:v>
                </c:pt>
                <c:pt idx="72">
                  <c:v>5.9653999999999998</c:v>
                </c:pt>
                <c:pt idx="73">
                  <c:v>6.1618000000000004</c:v>
                </c:pt>
                <c:pt idx="74">
                  <c:v>6.0647000000000002</c:v>
                </c:pt>
                <c:pt idx="75">
                  <c:v>6.3022</c:v>
                </c:pt>
                <c:pt idx="76">
                  <c:v>6.4937000000000005</c:v>
                </c:pt>
                <c:pt idx="77">
                  <c:v>5.9649000000000001</c:v>
                </c:pt>
                <c:pt idx="78">
                  <c:v>5.3901000000000003</c:v>
                </c:pt>
                <c:pt idx="79">
                  <c:v>5.7366000000000001</c:v>
                </c:pt>
                <c:pt idx="80">
                  <c:v>6.0469999999999997</c:v>
                </c:pt>
                <c:pt idx="81">
                  <c:v>6.8194999999999997</c:v>
                </c:pt>
                <c:pt idx="82">
                  <c:v>8.0831</c:v>
                </c:pt>
                <c:pt idx="83">
                  <c:v>7.4259000000000004</c:v>
                </c:pt>
                <c:pt idx="84">
                  <c:v>6.8384</c:v>
                </c:pt>
                <c:pt idx="85">
                  <c:v>7.0938999999999997</c:v>
                </c:pt>
                <c:pt idx="86">
                  <c:v>6.0380000000000003</c:v>
                </c:pt>
                <c:pt idx="87">
                  <c:v>5.5228000000000002</c:v>
                </c:pt>
                <c:pt idx="88">
                  <c:v>5.1496000000000004</c:v>
                </c:pt>
                <c:pt idx="89">
                  <c:v>4.7981999999999996</c:v>
                </c:pt>
                <c:pt idx="90">
                  <c:v>4.1668000000000003</c:v>
                </c:pt>
                <c:pt idx="91">
                  <c:v>4.3179999999999996</c:v>
                </c:pt>
                <c:pt idx="92">
                  <c:v>5.0708000000000002</c:v>
                </c:pt>
                <c:pt idx="93">
                  <c:v>6.2195</c:v>
                </c:pt>
                <c:pt idx="94">
                  <c:v>7.3884999999999996</c:v>
                </c:pt>
                <c:pt idx="95">
                  <c:v>7.1081000000000003</c:v>
                </c:pt>
                <c:pt idx="96">
                  <c:v>7.0406000000000004</c:v>
                </c:pt>
                <c:pt idx="97">
                  <c:v>7.3901000000000003</c:v>
                </c:pt>
                <c:pt idx="98">
                  <c:v>7.5926</c:v>
                </c:pt>
                <c:pt idx="99">
                  <c:v>7.9324000000000003</c:v>
                </c:pt>
                <c:pt idx="100">
                  <c:v>7.5068000000000001</c:v>
                </c:pt>
                <c:pt idx="101">
                  <c:v>7.0042</c:v>
                </c:pt>
                <c:pt idx="102">
                  <c:v>6.2568000000000001</c:v>
                </c:pt>
                <c:pt idx="103">
                  <c:v>5.5987999999999998</c:v>
                </c:pt>
                <c:pt idx="104">
                  <c:v>5.4969000000000001</c:v>
                </c:pt>
                <c:pt idx="105">
                  <c:v>6.1303999999999998</c:v>
                </c:pt>
                <c:pt idx="106">
                  <c:v>6.5172999999999996</c:v>
                </c:pt>
                <c:pt idx="107">
                  <c:v>7.2474999999999996</c:v>
                </c:pt>
                <c:pt idx="108">
                  <c:v>7.7074999999999996</c:v>
                </c:pt>
                <c:pt idx="109">
                  <c:v>8.3076000000000008</c:v>
                </c:pt>
                <c:pt idx="110">
                  <c:v>8.4259000000000004</c:v>
                </c:pt>
                <c:pt idx="111">
                  <c:v>7.4617000000000004</c:v>
                </c:pt>
                <c:pt idx="112">
                  <c:v>7.3377999999999997</c:v>
                </c:pt>
                <c:pt idx="113">
                  <c:v>7.3207000000000004</c:v>
                </c:pt>
                <c:pt idx="114">
                  <c:v>6.8615000000000004</c:v>
                </c:pt>
                <c:pt idx="115">
                  <c:v>6.9149000000000003</c:v>
                </c:pt>
                <c:pt idx="116">
                  <c:v>7.3242000000000003</c:v>
                </c:pt>
                <c:pt idx="117">
                  <c:v>7.5441000000000003</c:v>
                </c:pt>
                <c:pt idx="118">
                  <c:v>7.8286999999999995</c:v>
                </c:pt>
                <c:pt idx="119">
                  <c:v>7.5115999999999996</c:v>
                </c:pt>
                <c:pt idx="120">
                  <c:v>7.4791999999999996</c:v>
                </c:pt>
                <c:pt idx="121">
                  <c:v>7.6784999999999997</c:v>
                </c:pt>
                <c:pt idx="122">
                  <c:v>7.5598999999999998</c:v>
                </c:pt>
                <c:pt idx="123">
                  <c:v>7.7432999999999996</c:v>
                </c:pt>
                <c:pt idx="124">
                  <c:v>7.5618999999999996</c:v>
                </c:pt>
                <c:pt idx="125">
                  <c:v>7.6440999999999999</c:v>
                </c:pt>
                <c:pt idx="126">
                  <c:v>7.7606999999999999</c:v>
                </c:pt>
                <c:pt idx="127">
                  <c:v>7.5083000000000002</c:v>
                </c:pt>
                <c:pt idx="128">
                  <c:v>7.3665000000000003</c:v>
                </c:pt>
                <c:pt idx="129">
                  <c:v>6.7107999999999999</c:v>
                </c:pt>
                <c:pt idx="130">
                  <c:v>6.2633000000000001</c:v>
                </c:pt>
                <c:pt idx="131">
                  <c:v>6.4046000000000003</c:v>
                </c:pt>
                <c:pt idx="132">
                  <c:v>6.3689</c:v>
                </c:pt>
                <c:pt idx="133">
                  <c:v>5.7637</c:v>
                </c:pt>
                <c:pt idx="134">
                  <c:v>6.2952000000000004</c:v>
                </c:pt>
                <c:pt idx="135">
                  <c:v>6.3486000000000002</c:v>
                </c:pt>
                <c:pt idx="136">
                  <c:v>7.0838999999999999</c:v>
                </c:pt>
                <c:pt idx="137">
                  <c:v>5.9295999999999998</c:v>
                </c:pt>
                <c:pt idx="138">
                  <c:v>5.5153999999999996</c:v>
                </c:pt>
                <c:pt idx="139">
                  <c:v>5.6643999999999997</c:v>
                </c:pt>
                <c:pt idx="140">
                  <c:v>6.0320999999999998</c:v>
                </c:pt>
                <c:pt idx="141">
                  <c:v>6.2049000000000003</c:v>
                </c:pt>
                <c:pt idx="142">
                  <c:v>6.3323999999999998</c:v>
                </c:pt>
                <c:pt idx="143">
                  <c:v>6.6512000000000002</c:v>
                </c:pt>
                <c:pt idx="144">
                  <c:v>6.6841999999999997</c:v>
                </c:pt>
                <c:pt idx="145">
                  <c:v>7.1020000000000003</c:v>
                </c:pt>
                <c:pt idx="146">
                  <c:v>6.3937999999999997</c:v>
                </c:pt>
                <c:pt idx="147">
                  <c:v>6.9301000000000004</c:v>
                </c:pt>
                <c:pt idx="148">
                  <c:v>6.9447999999999999</c:v>
                </c:pt>
                <c:pt idx="149">
                  <c:v>7.1910999999999996</c:v>
                </c:pt>
                <c:pt idx="150">
                  <c:v>6.9542000000000002</c:v>
                </c:pt>
                <c:pt idx="151">
                  <c:v>7.4396000000000004</c:v>
                </c:pt>
                <c:pt idx="152">
                  <c:v>7.1210000000000004</c:v>
                </c:pt>
                <c:pt idx="153">
                  <c:v>7.1738</c:v>
                </c:pt>
                <c:pt idx="154">
                  <c:v>7.1239999999999997</c:v>
                </c:pt>
                <c:pt idx="155">
                  <c:v>6.9515000000000002</c:v>
                </c:pt>
                <c:pt idx="156">
                  <c:v>7.6594999999999995</c:v>
                </c:pt>
                <c:pt idx="157">
                  <c:v>7.8334999999999999</c:v>
                </c:pt>
                <c:pt idx="158">
                  <c:v>8.3279999999999994</c:v>
                </c:pt>
                <c:pt idx="159">
                  <c:v>7.8651999999999997</c:v>
                </c:pt>
                <c:pt idx="160">
                  <c:v>8.0250000000000004</c:v>
                </c:pt>
                <c:pt idx="161">
                  <c:v>7.8725000000000005</c:v>
                </c:pt>
                <c:pt idx="162">
                  <c:v>8.4652999999999992</c:v>
                </c:pt>
                <c:pt idx="163">
                  <c:v>8.8841999999999999</c:v>
                </c:pt>
                <c:pt idx="164">
                  <c:v>9.1564999999999994</c:v>
                </c:pt>
                <c:pt idx="165">
                  <c:v>9.4384999999999994</c:v>
                </c:pt>
                <c:pt idx="166">
                  <c:v>9.7433999999999994</c:v>
                </c:pt>
                <c:pt idx="167">
                  <c:v>9.0869</c:v>
                </c:pt>
                <c:pt idx="168">
                  <c:v>9.2373999999999992</c:v>
                </c:pt>
                <c:pt idx="169">
                  <c:v>9.6826000000000008</c:v>
                </c:pt>
                <c:pt idx="170">
                  <c:v>9.8790999999999993</c:v>
                </c:pt>
                <c:pt idx="171">
                  <c:v>10.1296</c:v>
                </c:pt>
                <c:pt idx="172">
                  <c:v>10.537000000000001</c:v>
                </c:pt>
                <c:pt idx="173">
                  <c:v>10.7437</c:v>
                </c:pt>
                <c:pt idx="174">
                  <c:v>11.112299999999999</c:v>
                </c:pt>
                <c:pt idx="175">
                  <c:v>11.3588</c:v>
                </c:pt>
                <c:pt idx="176">
                  <c:v>11.3165</c:v>
                </c:pt>
                <c:pt idx="177">
                  <c:v>11.672700000000001</c:v>
                </c:pt>
                <c:pt idx="178">
                  <c:v>12.2896</c:v>
                </c:pt>
                <c:pt idx="179">
                  <c:v>12.5869</c:v>
                </c:pt>
                <c:pt idx="180">
                  <c:v>12.8751</c:v>
                </c:pt>
                <c:pt idx="181">
                  <c:v>12.8871</c:v>
                </c:pt>
                <c:pt idx="182">
                  <c:v>13.1953</c:v>
                </c:pt>
                <c:pt idx="183">
                  <c:v>12.2994</c:v>
                </c:pt>
                <c:pt idx="184">
                  <c:v>11.2972</c:v>
                </c:pt>
                <c:pt idx="185">
                  <c:v>9.9326000000000008</c:v>
                </c:pt>
                <c:pt idx="186">
                  <c:v>9.1496999999999993</c:v>
                </c:pt>
                <c:pt idx="187">
                  <c:v>8.7123000000000008</c:v>
                </c:pt>
                <c:pt idx="188">
                  <c:v>8.0985999999999994</c:v>
                </c:pt>
                <c:pt idx="189">
                  <c:v>7.9005000000000001</c:v>
                </c:pt>
                <c:pt idx="190">
                  <c:v>8.157</c:v>
                </c:pt>
                <c:pt idx="191">
                  <c:v>7.2983000000000002</c:v>
                </c:pt>
                <c:pt idx="192">
                  <c:v>7.6921999999999997</c:v>
                </c:pt>
                <c:pt idx="193">
                  <c:v>7.9063999999999997</c:v>
                </c:pt>
                <c:pt idx="194">
                  <c:v>7.7393999999999998</c:v>
                </c:pt>
                <c:pt idx="195">
                  <c:v>7.3025000000000002</c:v>
                </c:pt>
                <c:pt idx="196">
                  <c:v>6.6802000000000001</c:v>
                </c:pt>
                <c:pt idx="197">
                  <c:v>6.6813000000000002</c:v>
                </c:pt>
                <c:pt idx="198">
                  <c:v>6.7461000000000002</c:v>
                </c:pt>
                <c:pt idx="199">
                  <c:v>6.4332000000000003</c:v>
                </c:pt>
                <c:pt idx="200">
                  <c:v>6.7622999999999998</c:v>
                </c:pt>
                <c:pt idx="201">
                  <c:v>6.6752000000000002</c:v>
                </c:pt>
                <c:pt idx="202">
                  <c:v>6.6746999999999996</c:v>
                </c:pt>
                <c:pt idx="203">
                  <c:v>6.6611000000000002</c:v>
                </c:pt>
                <c:pt idx="204">
                  <c:v>6.4379999999999997</c:v>
                </c:pt>
                <c:pt idx="205">
                  <c:v>5.6798999999999999</c:v>
                </c:pt>
                <c:pt idx="206">
                  <c:v>5.7179000000000002</c:v>
                </c:pt>
                <c:pt idx="207">
                  <c:v>5.3994999999999997</c:v>
                </c:pt>
                <c:pt idx="208">
                  <c:v>5.64</c:v>
                </c:pt>
                <c:pt idx="209">
                  <c:v>5.8773</c:v>
                </c:pt>
                <c:pt idx="210">
                  <c:v>5.4226000000000001</c:v>
                </c:pt>
                <c:pt idx="211">
                  <c:v>4.7972999999999999</c:v>
                </c:pt>
                <c:pt idx="212">
                  <c:v>4.7389999999999999</c:v>
                </c:pt>
                <c:pt idx="213">
                  <c:v>4.8085000000000004</c:v>
                </c:pt>
                <c:pt idx="214">
                  <c:v>4.7211999999999996</c:v>
                </c:pt>
                <c:pt idx="215">
                  <c:v>4.3434999999999997</c:v>
                </c:pt>
                <c:pt idx="216">
                  <c:v>4.1520000000000001</c:v>
                </c:pt>
                <c:pt idx="217">
                  <c:v>4.2313999999999998</c:v>
                </c:pt>
                <c:pt idx="218">
                  <c:v>3.8849999999999998</c:v>
                </c:pt>
                <c:pt idx="219">
                  <c:v>3.7955000000000001</c:v>
                </c:pt>
                <c:pt idx="220">
                  <c:v>4.0646000000000004</c:v>
                </c:pt>
                <c:pt idx="221">
                  <c:v>3.6268000000000002</c:v>
                </c:pt>
                <c:pt idx="222">
                  <c:v>3.6059000000000001</c:v>
                </c:pt>
                <c:pt idx="223">
                  <c:v>3.532</c:v>
                </c:pt>
                <c:pt idx="224">
                  <c:v>3.4445999999999999</c:v>
                </c:pt>
                <c:pt idx="225">
                  <c:v>3.2913999999999999</c:v>
                </c:pt>
                <c:pt idx="226">
                  <c:v>3.7753999999999999</c:v>
                </c:pt>
                <c:pt idx="227">
                  <c:v>4.2430000000000003</c:v>
                </c:pt>
                <c:pt idx="228">
                  <c:v>3.7869000000000002</c:v>
                </c:pt>
                <c:pt idx="229">
                  <c:v>3.5781999999999998</c:v>
                </c:pt>
                <c:pt idx="230">
                  <c:v>3.7645999999999997</c:v>
                </c:pt>
                <c:pt idx="231">
                  <c:v>3.5345</c:v>
                </c:pt>
                <c:pt idx="232">
                  <c:v>4.0340999999999996</c:v>
                </c:pt>
                <c:pt idx="233">
                  <c:v>3.8693999999999997</c:v>
                </c:pt>
                <c:pt idx="234">
                  <c:v>3.6789000000000001</c:v>
                </c:pt>
                <c:pt idx="235">
                  <c:v>3.2719</c:v>
                </c:pt>
                <c:pt idx="236">
                  <c:v>3.2875000000000001</c:v>
                </c:pt>
                <c:pt idx="237">
                  <c:v>3.4967000000000001</c:v>
                </c:pt>
                <c:pt idx="238">
                  <c:v>3.4077999999999999</c:v>
                </c:pt>
                <c:pt idx="239">
                  <c:v>3.5819999999999999</c:v>
                </c:pt>
                <c:pt idx="240">
                  <c:v>3.3944999999999999</c:v>
                </c:pt>
                <c:pt idx="241">
                  <c:v>3.0124</c:v>
                </c:pt>
                <c:pt idx="242">
                  <c:v>2.7176999999999998</c:v>
                </c:pt>
                <c:pt idx="243">
                  <c:v>2.1823999999999999</c:v>
                </c:pt>
                <c:pt idx="244">
                  <c:v>2.6926999999999999</c:v>
                </c:pt>
                <c:pt idx="245">
                  <c:v>3.2076000000000002</c:v>
                </c:pt>
                <c:pt idx="246">
                  <c:v>3.4622999999999999</c:v>
                </c:pt>
                <c:pt idx="247">
                  <c:v>3.0632000000000001</c:v>
                </c:pt>
                <c:pt idx="248">
                  <c:v>3.5964999999999998</c:v>
                </c:pt>
                <c:pt idx="249">
                  <c:v>3.9260000000000002</c:v>
                </c:pt>
                <c:pt idx="250">
                  <c:v>4.6638999999999999</c:v>
                </c:pt>
                <c:pt idx="251">
                  <c:v>4.3666</c:v>
                </c:pt>
                <c:pt idx="252">
                  <c:v>4.2750000000000004</c:v>
                </c:pt>
                <c:pt idx="253">
                  <c:v>3.3748</c:v>
                </c:pt>
                <c:pt idx="254">
                  <c:v>3.3025000000000002</c:v>
                </c:pt>
                <c:pt idx="255">
                  <c:v>3.5765000000000002</c:v>
                </c:pt>
                <c:pt idx="256">
                  <c:v>4.4946999999999999</c:v>
                </c:pt>
                <c:pt idx="257">
                  <c:v>5.0753000000000004</c:v>
                </c:pt>
                <c:pt idx="258">
                  <c:v>5.6041999999999996</c:v>
                </c:pt>
                <c:pt idx="259">
                  <c:v>5.6634000000000002</c:v>
                </c:pt>
                <c:pt idx="260">
                  <c:v>5.8815999999999997</c:v>
                </c:pt>
                <c:pt idx="261">
                  <c:v>6.5629999999999997</c:v>
                </c:pt>
                <c:pt idx="262">
                  <c:v>5.6767000000000003</c:v>
                </c:pt>
                <c:pt idx="263">
                  <c:v>5.5612000000000004</c:v>
                </c:pt>
                <c:pt idx="264">
                  <c:v>5.4719999999999995</c:v>
                </c:pt>
                <c:pt idx="265">
                  <c:v>5.4692999999999996</c:v>
                </c:pt>
                <c:pt idx="266">
                  <c:v>5.5513000000000003</c:v>
                </c:pt>
                <c:pt idx="267">
                  <c:v>5.4048999999999996</c:v>
                </c:pt>
                <c:pt idx="268">
                  <c:v>4.8586999999999998</c:v>
                </c:pt>
                <c:pt idx="269">
                  <c:v>4.7393000000000001</c:v>
                </c:pt>
                <c:pt idx="270">
                  <c:v>4.4474</c:v>
                </c:pt>
                <c:pt idx="271">
                  <c:v>4.2275999999999998</c:v>
                </c:pt>
                <c:pt idx="272">
                  <c:v>4.0129999999999999</c:v>
                </c:pt>
                <c:pt idx="273">
                  <c:v>3.8157999999999999</c:v>
                </c:pt>
                <c:pt idx="274">
                  <c:v>3.9973000000000001</c:v>
                </c:pt>
                <c:pt idx="275">
                  <c:v>4.0545</c:v>
                </c:pt>
                <c:pt idx="276">
                  <c:v>3.9842</c:v>
                </c:pt>
                <c:pt idx="277">
                  <c:v>4.1543999999999999</c:v>
                </c:pt>
                <c:pt idx="278">
                  <c:v>3.9380999999999999</c:v>
                </c:pt>
                <c:pt idx="279">
                  <c:v>4.1871999999999998</c:v>
                </c:pt>
                <c:pt idx="280">
                  <c:v>4.2561999999999998</c:v>
                </c:pt>
                <c:pt idx="281">
                  <c:v>4.1768999999999998</c:v>
                </c:pt>
                <c:pt idx="282">
                  <c:v>4.4424999999999999</c:v>
                </c:pt>
                <c:pt idx="283">
                  <c:v>4.7338000000000005</c:v>
                </c:pt>
                <c:pt idx="284">
                  <c:v>5.0975000000000001</c:v>
                </c:pt>
                <c:pt idx="285">
                  <c:v>4.9269999999999996</c:v>
                </c:pt>
                <c:pt idx="286">
                  <c:v>4.6634000000000002</c:v>
                </c:pt>
                <c:pt idx="287">
                  <c:v>4.6448</c:v>
                </c:pt>
                <c:pt idx="288">
                  <c:v>4.4768999999999997</c:v>
                </c:pt>
                <c:pt idx="289">
                  <c:v>4.6417000000000002</c:v>
                </c:pt>
                <c:pt idx="290">
                  <c:v>4.7462</c:v>
                </c:pt>
                <c:pt idx="291">
                  <c:v>4.8011999999999997</c:v>
                </c:pt>
                <c:pt idx="292">
                  <c:v>4.4211</c:v>
                </c:pt>
                <c:pt idx="293">
                  <c:v>4.2961</c:v>
                </c:pt>
                <c:pt idx="294">
                  <c:v>3.9577</c:v>
                </c:pt>
                <c:pt idx="295">
                  <c:v>3.7547000000000001</c:v>
                </c:pt>
                <c:pt idx="296">
                  <c:v>3.8033000000000001</c:v>
                </c:pt>
                <c:pt idx="297">
                  <c:v>4.0145999999999997</c:v>
                </c:pt>
                <c:pt idx="298">
                  <c:v>4.0045000000000002</c:v>
                </c:pt>
                <c:pt idx="299">
                  <c:v>3.7852999999999999</c:v>
                </c:pt>
                <c:pt idx="300">
                  <c:v>3.5204</c:v>
                </c:pt>
                <c:pt idx="301">
                  <c:v>3.4918</c:v>
                </c:pt>
                <c:pt idx="302">
                  <c:v>3.3654000000000002</c:v>
                </c:pt>
                <c:pt idx="303">
                  <c:v>3.3064</c:v>
                </c:pt>
                <c:pt idx="304">
                  <c:v>3.3933</c:v>
                </c:pt>
                <c:pt idx="305">
                  <c:v>3.6983999999999999</c:v>
                </c:pt>
                <c:pt idx="306">
                  <c:v>3.7351000000000001</c:v>
                </c:pt>
                <c:pt idx="307">
                  <c:v>3.9201999999999999</c:v>
                </c:pt>
                <c:pt idx="308">
                  <c:v>4.2015000000000002</c:v>
                </c:pt>
                <c:pt idx="309">
                  <c:v>4.4619</c:v>
                </c:pt>
                <c:pt idx="310">
                  <c:v>4.2607999999999997</c:v>
                </c:pt>
                <c:pt idx="311">
                  <c:v>4.0915999999999997</c:v>
                </c:pt>
                <c:pt idx="312">
                  <c:v>4.1395</c:v>
                </c:pt>
                <c:pt idx="313">
                  <c:v>4.5152000000000001</c:v>
                </c:pt>
                <c:pt idx="314">
                  <c:v>4.4730999999999996</c:v>
                </c:pt>
                <c:pt idx="315">
                  <c:v>4.5713999999999997</c:v>
                </c:pt>
                <c:pt idx="316">
                  <c:v>4.4489000000000001</c:v>
                </c:pt>
                <c:pt idx="317">
                  <c:v>4.5141999999999998</c:v>
                </c:pt>
                <c:pt idx="318">
                  <c:v>4.1703999999999999</c:v>
                </c:pt>
                <c:pt idx="319">
                  <c:v>3.8961000000000001</c:v>
                </c:pt>
                <c:pt idx="320">
                  <c:v>3.84</c:v>
                </c:pt>
                <c:pt idx="321">
                  <c:v>3.8195999999999999</c:v>
                </c:pt>
                <c:pt idx="322">
                  <c:v>3.8044000000000002</c:v>
                </c:pt>
                <c:pt idx="323">
                  <c:v>3.8786</c:v>
                </c:pt>
                <c:pt idx="324">
                  <c:v>4.1246</c:v>
                </c:pt>
                <c:pt idx="325">
                  <c:v>4.3006000000000002</c:v>
                </c:pt>
                <c:pt idx="326">
                  <c:v>4.1559999999999997</c:v>
                </c:pt>
                <c:pt idx="327">
                  <c:v>4.1219999999999999</c:v>
                </c:pt>
                <c:pt idx="328">
                  <c:v>4.2732000000000001</c:v>
                </c:pt>
                <c:pt idx="329">
                  <c:v>4.3856000000000002</c:v>
                </c:pt>
                <c:pt idx="330">
                  <c:v>4.5056000000000003</c:v>
                </c:pt>
                <c:pt idx="331">
                  <c:v>4.1791999999999998</c:v>
                </c:pt>
                <c:pt idx="332">
                  <c:v>4.1517999999999997</c:v>
                </c:pt>
                <c:pt idx="333">
                  <c:v>4.3441000000000001</c:v>
                </c:pt>
                <c:pt idx="334">
                  <c:v>4.6521999999999997</c:v>
                </c:pt>
                <c:pt idx="335">
                  <c:v>4.8250000000000002</c:v>
                </c:pt>
                <c:pt idx="336">
                  <c:v>4.5709999999999997</c:v>
                </c:pt>
                <c:pt idx="337">
                  <c:v>4.3243</c:v>
                </c:pt>
                <c:pt idx="338">
                  <c:v>4.3207000000000004</c:v>
                </c:pt>
                <c:pt idx="339">
                  <c:v>4.2973999999999997</c:v>
                </c:pt>
                <c:pt idx="340">
                  <c:v>4.4135999999999997</c:v>
                </c:pt>
                <c:pt idx="341">
                  <c:v>4.5758000000000001</c:v>
                </c:pt>
                <c:pt idx="342">
                  <c:v>4.4019000000000004</c:v>
                </c:pt>
                <c:pt idx="343">
                  <c:v>4.2079000000000004</c:v>
                </c:pt>
                <c:pt idx="344">
                  <c:v>4.0782999999999996</c:v>
                </c:pt>
                <c:pt idx="345">
                  <c:v>4.0072000000000001</c:v>
                </c:pt>
                <c:pt idx="346">
                  <c:v>4.0090000000000003</c:v>
                </c:pt>
                <c:pt idx="347">
                  <c:v>4.0091999999999999</c:v>
                </c:pt>
                <c:pt idx="348">
                  <c:v>3.9573999999999998</c:v>
                </c:pt>
                <c:pt idx="349">
                  <c:v>3.9529000000000001</c:v>
                </c:pt>
                <c:pt idx="350">
                  <c:v>3.7702999999999998</c:v>
                </c:pt>
                <c:pt idx="351">
                  <c:v>3.8090000000000002</c:v>
                </c:pt>
                <c:pt idx="352">
                  <c:v>3.5278999999999998</c:v>
                </c:pt>
                <c:pt idx="353">
                  <c:v>3.4765000000000001</c:v>
                </c:pt>
                <c:pt idx="354">
                  <c:v>3.6160000000000001</c:v>
                </c:pt>
                <c:pt idx="355">
                  <c:v>3.6179000000000001</c:v>
                </c:pt>
                <c:pt idx="356">
                  <c:v>3.4756</c:v>
                </c:pt>
                <c:pt idx="357">
                  <c:v>3.4182999999999999</c:v>
                </c:pt>
                <c:pt idx="358">
                  <c:v>3.105</c:v>
                </c:pt>
                <c:pt idx="359">
                  <c:v>2.9428000000000001</c:v>
                </c:pt>
                <c:pt idx="360">
                  <c:v>3.3688000000000002</c:v>
                </c:pt>
                <c:pt idx="361">
                  <c:v>3.3904999999999998</c:v>
                </c:pt>
                <c:pt idx="362">
                  <c:v>3.0775000000000001</c:v>
                </c:pt>
                <c:pt idx="363">
                  <c:v>3.0358999999999998</c:v>
                </c:pt>
                <c:pt idx="364">
                  <c:v>3.0419</c:v>
                </c:pt>
                <c:pt idx="365">
                  <c:v>2.9205000000000001</c:v>
                </c:pt>
                <c:pt idx="366">
                  <c:v>2.8075000000000001</c:v>
                </c:pt>
                <c:pt idx="367">
                  <c:v>2.3951000000000002</c:v>
                </c:pt>
                <c:pt idx="368">
                  <c:v>2.5737000000000001</c:v>
                </c:pt>
                <c:pt idx="369">
                  <c:v>2.4489999999999998</c:v>
                </c:pt>
                <c:pt idx="370">
                  <c:v>2.5098000000000003</c:v>
                </c:pt>
                <c:pt idx="371">
                  <c:v>2.5171999999999999</c:v>
                </c:pt>
                <c:pt idx="372">
                  <c:v>2.6282999999999999</c:v>
                </c:pt>
                <c:pt idx="373">
                  <c:v>2.4497</c:v>
                </c:pt>
                <c:pt idx="374">
                  <c:v>2.2593999999999999</c:v>
                </c:pt>
                <c:pt idx="375">
                  <c:v>2.1082999999999998</c:v>
                </c:pt>
                <c:pt idx="376">
                  <c:v>2.1608000000000001</c:v>
                </c:pt>
                <c:pt idx="377">
                  <c:v>2.0655999999999999</c:v>
                </c:pt>
                <c:pt idx="378">
                  <c:v>1.9664999999999999</c:v>
                </c:pt>
                <c:pt idx="379">
                  <c:v>1.9256</c:v>
                </c:pt>
                <c:pt idx="380">
                  <c:v>1.8612</c:v>
                </c:pt>
                <c:pt idx="381">
                  <c:v>2.0003000000000002</c:v>
                </c:pt>
                <c:pt idx="382">
                  <c:v>2.2561</c:v>
                </c:pt>
                <c:pt idx="383">
                  <c:v>2.3311000000000002</c:v>
                </c:pt>
                <c:pt idx="384">
                  <c:v>2.4912000000000001</c:v>
                </c:pt>
                <c:pt idx="385">
                  <c:v>2.5958999999999999</c:v>
                </c:pt>
                <c:pt idx="386">
                  <c:v>2.3662000000000001</c:v>
                </c:pt>
                <c:pt idx="387">
                  <c:v>2.3323999999999998</c:v>
                </c:pt>
                <c:pt idx="388">
                  <c:v>2.2425000000000002</c:v>
                </c:pt>
                <c:pt idx="389">
                  <c:v>2.5247000000000002</c:v>
                </c:pt>
                <c:pt idx="390">
                  <c:v>2.762</c:v>
                </c:pt>
                <c:pt idx="391">
                  <c:v>2.8393999999999999</c:v>
                </c:pt>
                <c:pt idx="392">
                  <c:v>2.8167</c:v>
                </c:pt>
                <c:pt idx="393">
                  <c:v>2.9224999999999999</c:v>
                </c:pt>
                <c:pt idx="394">
                  <c:v>3.1265000000000001</c:v>
                </c:pt>
                <c:pt idx="395">
                  <c:v>3.1230000000000002</c:v>
                </c:pt>
                <c:pt idx="396">
                  <c:v>2.9173</c:v>
                </c:pt>
                <c:pt idx="397">
                  <c:v>2.7723</c:v>
                </c:pt>
                <c:pt idx="398">
                  <c:v>2.7957000000000001</c:v>
                </c:pt>
                <c:pt idx="399">
                  <c:v>2.7178</c:v>
                </c:pt>
                <c:pt idx="400">
                  <c:v>2.8148</c:v>
                </c:pt>
                <c:pt idx="401">
                  <c:v>2.8778999999999999</c:v>
                </c:pt>
                <c:pt idx="402">
                  <c:v>2.7566000000000002</c:v>
                </c:pt>
                <c:pt idx="403">
                  <c:v>2.9352999999999998</c:v>
                </c:pt>
                <c:pt idx="404">
                  <c:v>3.2202000000000002</c:v>
                </c:pt>
                <c:pt idx="405">
                  <c:v>3.2536</c:v>
                </c:pt>
                <c:pt idx="406">
                  <c:v>3.3144999999999998</c:v>
                </c:pt>
                <c:pt idx="407">
                  <c:v>3.4068999999999998</c:v>
                </c:pt>
                <c:pt idx="408">
                  <c:v>3.4434</c:v>
                </c:pt>
                <c:pt idx="409">
                  <c:v>3.3986000000000001</c:v>
                </c:pt>
                <c:pt idx="410">
                  <c:v>3.5449999999999999</c:v>
                </c:pt>
                <c:pt idx="411">
                  <c:v>3.6147999999999998</c:v>
                </c:pt>
                <c:pt idx="412">
                  <c:v>3.6593999999999998</c:v>
                </c:pt>
                <c:pt idx="413">
                  <c:v>3.4085000000000001</c:v>
                </c:pt>
                <c:pt idx="414">
                  <c:v>3.298</c:v>
                </c:pt>
                <c:pt idx="415">
                  <c:v>3.3014999999999999</c:v>
                </c:pt>
                <c:pt idx="416">
                  <c:v>3.3426</c:v>
                </c:pt>
                <c:pt idx="417">
                  <c:v>3.2793999999999999</c:v>
                </c:pt>
                <c:pt idx="418">
                  <c:v>3.1814999999999998</c:v>
                </c:pt>
                <c:pt idx="419">
                  <c:v>3.4388000000000001</c:v>
                </c:pt>
                <c:pt idx="420">
                  <c:v>3.5354000000000001</c:v>
                </c:pt>
                <c:pt idx="421">
                  <c:v>3.2580999999999998</c:v>
                </c:pt>
                <c:pt idx="422">
                  <c:v>3.3353999999999999</c:v>
                </c:pt>
                <c:pt idx="423">
                  <c:v>3.2553000000000001</c:v>
                </c:pt>
                <c:pt idx="424">
                  <c:v>3.2776999999999998</c:v>
                </c:pt>
                <c:pt idx="425">
                  <c:v>3.4794</c:v>
                </c:pt>
                <c:pt idx="426">
                  <c:v>3.5691999999999999</c:v>
                </c:pt>
                <c:pt idx="427">
                  <c:v>3.7385000000000002</c:v>
                </c:pt>
                <c:pt idx="428">
                  <c:v>3.9741999999999997</c:v>
                </c:pt>
                <c:pt idx="429">
                  <c:v>4.0465999999999998</c:v>
                </c:pt>
                <c:pt idx="430">
                  <c:v>3.9933000000000001</c:v>
                </c:pt>
                <c:pt idx="431">
                  <c:v>4.1295999999999999</c:v>
                </c:pt>
                <c:pt idx="432">
                  <c:v>4.2545000000000002</c:v>
                </c:pt>
                <c:pt idx="433">
                  <c:v>4.2415000000000003</c:v>
                </c:pt>
                <c:pt idx="434">
                  <c:v>4.2268999999999997</c:v>
                </c:pt>
                <c:pt idx="435">
                  <c:v>3.8877000000000002</c:v>
                </c:pt>
                <c:pt idx="436">
                  <c:v>3.9458000000000002</c:v>
                </c:pt>
                <c:pt idx="437">
                  <c:v>4.1375000000000002</c:v>
                </c:pt>
                <c:pt idx="438">
                  <c:v>4.1189</c:v>
                </c:pt>
                <c:pt idx="439">
                  <c:v>3.9416000000000002</c:v>
                </c:pt>
                <c:pt idx="440">
                  <c:v>3.7688999999999999</c:v>
                </c:pt>
                <c:pt idx="441">
                  <c:v>3.8704000000000001</c:v>
                </c:pt>
                <c:pt idx="442">
                  <c:v>3.7208999999999999</c:v>
                </c:pt>
                <c:pt idx="443">
                  <c:v>3.5407000000000002</c:v>
                </c:pt>
                <c:pt idx="444">
                  <c:v>3.6558000000000002</c:v>
                </c:pt>
                <c:pt idx="445">
                  <c:v>3.6943999999999999</c:v>
                </c:pt>
                <c:pt idx="446">
                  <c:v>3.6722999999999999</c:v>
                </c:pt>
                <c:pt idx="447">
                  <c:v>3.4493999999999998</c:v>
                </c:pt>
                <c:pt idx="448">
                  <c:v>3.3174000000000001</c:v>
                </c:pt>
                <c:pt idx="449">
                  <c:v>3.3449999999999998</c:v>
                </c:pt>
                <c:pt idx="450">
                  <c:v>3.4943</c:v>
                </c:pt>
                <c:pt idx="451">
                  <c:v>3.5488</c:v>
                </c:pt>
                <c:pt idx="452">
                  <c:v>3.6391999999999998</c:v>
                </c:pt>
                <c:pt idx="453">
                  <c:v>3.5983999999999998</c:v>
                </c:pt>
                <c:pt idx="454">
                  <c:v>3.7063999999999999</c:v>
                </c:pt>
                <c:pt idx="455">
                  <c:v>3.5468000000000002</c:v>
                </c:pt>
                <c:pt idx="456">
                  <c:v>3.5587999999999997</c:v>
                </c:pt>
                <c:pt idx="457">
                  <c:v>3.6962999999999999</c:v>
                </c:pt>
                <c:pt idx="458">
                  <c:v>3.7900999999999998</c:v>
                </c:pt>
                <c:pt idx="459">
                  <c:v>3.6928000000000001</c:v>
                </c:pt>
                <c:pt idx="460">
                  <c:v>3.5521000000000003</c:v>
                </c:pt>
                <c:pt idx="461">
                  <c:v>3.4615999999999998</c:v>
                </c:pt>
                <c:pt idx="462">
                  <c:v>3.6147</c:v>
                </c:pt>
                <c:pt idx="463">
                  <c:v>3.6776999999999997</c:v>
                </c:pt>
                <c:pt idx="464">
                  <c:v>3.8342999999999998</c:v>
                </c:pt>
                <c:pt idx="465">
                  <c:v>3.9342999999999999</c:v>
                </c:pt>
                <c:pt idx="466">
                  <c:v>4.3049999999999997</c:v>
                </c:pt>
                <c:pt idx="467">
                  <c:v>4.2615999999999996</c:v>
                </c:pt>
                <c:pt idx="468">
                  <c:v>4.4254999999999995</c:v>
                </c:pt>
                <c:pt idx="469">
                  <c:v>4.3571999999999997</c:v>
                </c:pt>
                <c:pt idx="470">
                  <c:v>4.2964000000000002</c:v>
                </c:pt>
                <c:pt idx="471">
                  <c:v>4.3842999999999996</c:v>
                </c:pt>
                <c:pt idx="472">
                  <c:v>5.0574000000000003</c:v>
                </c:pt>
                <c:pt idx="473">
                  <c:v>5.2835000000000001</c:v>
                </c:pt>
                <c:pt idx="474">
                  <c:v>6.3437000000000001</c:v>
                </c:pt>
                <c:pt idx="475">
                  <c:v>6.4744000000000002</c:v>
                </c:pt>
                <c:pt idx="476">
                  <c:v>5.9646999999999997</c:v>
                </c:pt>
                <c:pt idx="477">
                  <c:v>5.1089000000000002</c:v>
                </c:pt>
                <c:pt idx="478">
                  <c:v>6.1753</c:v>
                </c:pt>
                <c:pt idx="479">
                  <c:v>4.5415000000000001</c:v>
                </c:pt>
                <c:pt idx="480">
                  <c:v>4.4379999999999997</c:v>
                </c:pt>
                <c:pt idx="481">
                  <c:v>4.4402999999999997</c:v>
                </c:pt>
                <c:pt idx="482">
                  <c:v>4.4248000000000003</c:v>
                </c:pt>
                <c:pt idx="483">
                  <c:v>4.5975000000000001</c:v>
                </c:pt>
                <c:pt idx="484">
                  <c:v>4.6216999999999997</c:v>
                </c:pt>
                <c:pt idx="485">
                  <c:v>4.7592999999999996</c:v>
                </c:pt>
                <c:pt idx="486">
                  <c:v>4.7751000000000001</c:v>
                </c:pt>
                <c:pt idx="487">
                  <c:v>4.7287999999999997</c:v>
                </c:pt>
                <c:pt idx="488">
                  <c:v>4.4291999999999998</c:v>
                </c:pt>
                <c:pt idx="489">
                  <c:v>4.4912999999999998</c:v>
                </c:pt>
                <c:pt idx="490">
                  <c:v>4.5189000000000004</c:v>
                </c:pt>
                <c:pt idx="491">
                  <c:v>4.5940000000000003</c:v>
                </c:pt>
                <c:pt idx="492">
                  <c:v>4.5772000000000004</c:v>
                </c:pt>
                <c:pt idx="493">
                  <c:v>4.6429999999999998</c:v>
                </c:pt>
                <c:pt idx="494">
                  <c:v>4.4931000000000001</c:v>
                </c:pt>
                <c:pt idx="495">
                  <c:v>4.3822999999999999</c:v>
                </c:pt>
                <c:pt idx="496">
                  <c:v>4.1516000000000002</c:v>
                </c:pt>
                <c:pt idx="497">
                  <c:v>4.0514000000000001</c:v>
                </c:pt>
                <c:pt idx="498">
                  <c:v>3.8029999999999999</c:v>
                </c:pt>
                <c:pt idx="499">
                  <c:v>3.7643</c:v>
                </c:pt>
                <c:pt idx="500">
                  <c:v>3.8818999999999999</c:v>
                </c:pt>
                <c:pt idx="501">
                  <c:v>3.8650000000000002</c:v>
                </c:pt>
                <c:pt idx="502">
                  <c:v>3.8351999999999999</c:v>
                </c:pt>
                <c:pt idx="503">
                  <c:v>3.9811000000000001</c:v>
                </c:pt>
                <c:pt idx="504">
                  <c:v>3.9201999999999999</c:v>
                </c:pt>
                <c:pt idx="505">
                  <c:v>3.8976999999999999</c:v>
                </c:pt>
                <c:pt idx="506">
                  <c:v>3.9091</c:v>
                </c:pt>
                <c:pt idx="507">
                  <c:v>3.8773</c:v>
                </c:pt>
                <c:pt idx="508">
                  <c:v>4.0458999999999996</c:v>
                </c:pt>
                <c:pt idx="509">
                  <c:v>3.8704000000000001</c:v>
                </c:pt>
                <c:pt idx="510">
                  <c:v>3.823</c:v>
                </c:pt>
                <c:pt idx="511">
                  <c:v>3.6137000000000001</c:v>
                </c:pt>
                <c:pt idx="512">
                  <c:v>3.629</c:v>
                </c:pt>
                <c:pt idx="513">
                  <c:v>3.8193000000000001</c:v>
                </c:pt>
                <c:pt idx="514">
                  <c:v>4.1268000000000002</c:v>
                </c:pt>
                <c:pt idx="515">
                  <c:v>4.3304</c:v>
                </c:pt>
                <c:pt idx="516">
                  <c:v>4.1406999999999998</c:v>
                </c:pt>
                <c:pt idx="517">
                  <c:v>3.6512000000000002</c:v>
                </c:pt>
                <c:pt idx="518">
                  <c:v>3.5933999999999999</c:v>
                </c:pt>
                <c:pt idx="519">
                  <c:v>3.5968999999999998</c:v>
                </c:pt>
                <c:pt idx="520">
                  <c:v>2.9205000000000001</c:v>
                </c:pt>
                <c:pt idx="521">
                  <c:v>3.0276000000000001</c:v>
                </c:pt>
                <c:pt idx="522">
                  <c:v>3.0200999999999998</c:v>
                </c:pt>
                <c:pt idx="523">
                  <c:v>3.0608</c:v>
                </c:pt>
                <c:pt idx="524">
                  <c:v>2.9407999999999999</c:v>
                </c:pt>
                <c:pt idx="525">
                  <c:v>2.8656999999999999</c:v>
                </c:pt>
                <c:pt idx="526">
                  <c:v>2.6433999999999997</c:v>
                </c:pt>
                <c:pt idx="527">
                  <c:v>2.7355999999999998</c:v>
                </c:pt>
                <c:pt idx="528">
                  <c:v>2.9586000000000001</c:v>
                </c:pt>
                <c:pt idx="529">
                  <c:v>3.0758000000000001</c:v>
                </c:pt>
                <c:pt idx="530">
                  <c:v>3.0352000000000001</c:v>
                </c:pt>
                <c:pt idx="531">
                  <c:v>2.7490999999999999</c:v>
                </c:pt>
                <c:pt idx="532">
                  <c:v>2.7766999999999999</c:v>
                </c:pt>
                <c:pt idx="533">
                  <c:v>2.7143999999999999</c:v>
                </c:pt>
                <c:pt idx="534">
                  <c:v>2.6053999999999999</c:v>
                </c:pt>
                <c:pt idx="535">
                  <c:v>2.6255999999999999</c:v>
                </c:pt>
                <c:pt idx="536">
                  <c:v>2.5808</c:v>
                </c:pt>
                <c:pt idx="537">
                  <c:v>2.5647000000000002</c:v>
                </c:pt>
                <c:pt idx="538">
                  <c:v>2.5601000000000003</c:v>
                </c:pt>
                <c:pt idx="539">
                  <c:v>2.7542999999999997</c:v>
                </c:pt>
                <c:pt idx="540">
                  <c:v>2.8794</c:v>
                </c:pt>
                <c:pt idx="541">
                  <c:v>2.9756</c:v>
                </c:pt>
                <c:pt idx="542">
                  <c:v>2.7635000000000001</c:v>
                </c:pt>
                <c:pt idx="543">
                  <c:v>2.6010999999999997</c:v>
                </c:pt>
                <c:pt idx="544">
                  <c:v>2.8026</c:v>
                </c:pt>
                <c:pt idx="545">
                  <c:v>2.8801999999999999</c:v>
                </c:pt>
                <c:pt idx="546">
                  <c:v>2.7858000000000001</c:v>
                </c:pt>
                <c:pt idx="547">
                  <c:v>2.7934000000000001</c:v>
                </c:pt>
                <c:pt idx="548">
                  <c:v>2.7225000000000001</c:v>
                </c:pt>
                <c:pt idx="549">
                  <c:v>2.8980999999999999</c:v>
                </c:pt>
                <c:pt idx="550">
                  <c:v>2.8679000000000001</c:v>
                </c:pt>
                <c:pt idx="551">
                  <c:v>2.8437999999999999</c:v>
                </c:pt>
                <c:pt idx="552">
                  <c:v>2.7984</c:v>
                </c:pt>
                <c:pt idx="553">
                  <c:v>2.8702999999999999</c:v>
                </c:pt>
                <c:pt idx="554">
                  <c:v>2.7227999999999999</c:v>
                </c:pt>
                <c:pt idx="555">
                  <c:v>2.6775000000000002</c:v>
                </c:pt>
                <c:pt idx="556">
                  <c:v>2.6959999999999997</c:v>
                </c:pt>
              </c:numCache>
            </c:numRef>
          </c:val>
        </c:ser>
        <c:marker val="1"/>
        <c:axId val="131642880"/>
        <c:axId val="131636608"/>
      </c:lineChart>
      <c:catAx>
        <c:axId val="131633152"/>
        <c:scaling>
          <c:orientation val="minMax"/>
        </c:scaling>
        <c:axPos val="b"/>
        <c:numFmt formatCode="[$-409]mmm\-yy;@" sourceLinked="0"/>
        <c:majorTickMark val="none"/>
        <c:tickLblPos val="nextTo"/>
        <c:spPr>
          <a:ln>
            <a:noFill/>
          </a:ln>
        </c:spPr>
        <c:crossAx val="131634688"/>
        <c:crosses val="autoZero"/>
        <c:auto val="1"/>
        <c:lblAlgn val="ctr"/>
        <c:lblOffset val="100"/>
        <c:tickLblSkip val="60"/>
      </c:catAx>
      <c:valAx>
        <c:axId val="131634688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$</a:t>
                </a:r>
              </a:p>
            </c:rich>
          </c:tx>
          <c:layout>
            <c:manualLayout>
              <c:xMode val="edge"/>
              <c:yMode val="edge"/>
              <c:x val="5.7225799574175056E-2"/>
              <c:y val="1.6538580159494451E-3"/>
            </c:manualLayout>
          </c:layout>
        </c:title>
        <c:numFmt formatCode="General" sourceLinked="1"/>
        <c:tickLblPos val="nextTo"/>
        <c:crossAx val="131633152"/>
        <c:crosses val="autoZero"/>
        <c:crossBetween val="between"/>
      </c:valAx>
      <c:valAx>
        <c:axId val="131636608"/>
        <c:scaling>
          <c:orientation val="minMax"/>
        </c:scaling>
        <c:axPos val="r"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$/mcf</a:t>
                </a:r>
              </a:p>
            </c:rich>
          </c:tx>
          <c:layout>
            <c:manualLayout>
              <c:xMode val="edge"/>
              <c:yMode val="edge"/>
              <c:x val="0.90371020856201978"/>
              <c:y val="1.6538580159494451E-3"/>
            </c:manualLayout>
          </c:layout>
        </c:title>
        <c:numFmt formatCode="General" sourceLinked="1"/>
        <c:tickLblPos val="nextTo"/>
        <c:crossAx val="131642880"/>
        <c:crosses val="max"/>
        <c:crossBetween val="between"/>
      </c:valAx>
      <c:catAx>
        <c:axId val="131642880"/>
        <c:scaling>
          <c:orientation val="minMax"/>
        </c:scaling>
        <c:delete val="1"/>
        <c:axPos val="b"/>
        <c:numFmt formatCode="dd\.mm\.yyyy" sourceLinked="1"/>
        <c:tickLblPos val="none"/>
        <c:crossAx val="131636608"/>
        <c:crosses val="autoZero"/>
        <c:auto val="1"/>
        <c:lblAlgn val="ctr"/>
        <c:lblOffset val="100"/>
      </c:cat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7.4569493302909101E-3"/>
          <c:y val="0.88342780893395456"/>
          <c:w val="0.9916494152141726"/>
          <c:h val="0.11657219106604499"/>
        </c:manualLayout>
      </c:layout>
    </c:legend>
    <c:plotVisOnly val="1"/>
    <c:dispBlanksAs val="zero"/>
  </c:chart>
  <c:spPr>
    <a:noFill/>
    <a:ln>
      <a:noFill/>
    </a:ln>
  </c:spPr>
  <c:txPr>
    <a:bodyPr/>
    <a:lstStyle/>
    <a:p>
      <a:pPr>
        <a:defRPr sz="1400"/>
      </a:pPr>
      <a:endParaRPr lang="ru-RU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Переменная </a:t>
            </a:r>
            <a:r>
              <a:rPr lang="en-US"/>
              <a:t>X 2 </a:t>
            </a:r>
            <a:r>
              <a:rPr lang="ru-RU"/>
              <a:t>График подбора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Лист1!$L$58:$L$67</c:f>
              <c:numCache>
                <c:formatCode>General</c:formatCode>
                <c:ptCount val="10"/>
                <c:pt idx="0">
                  <c:v>8.68</c:v>
                </c:pt>
                <c:pt idx="1">
                  <c:v>6.7083000000000004</c:v>
                </c:pt>
                <c:pt idx="2">
                  <c:v>6.9615</c:v>
                </c:pt>
                <c:pt idx="3">
                  <c:v>8.9181000000000008</c:v>
                </c:pt>
                <c:pt idx="4">
                  <c:v>3.9689000000000001</c:v>
                </c:pt>
                <c:pt idx="5">
                  <c:v>4.3742000000000001</c:v>
                </c:pt>
                <c:pt idx="6">
                  <c:v>3.9881000000000002</c:v>
                </c:pt>
                <c:pt idx="7">
                  <c:v>2.7545999999999999</c:v>
                </c:pt>
                <c:pt idx="8">
                  <c:v>3.7326000000000001</c:v>
                </c:pt>
                <c:pt idx="9" formatCode="_-* #,##0.00_р_._-;\-* #,##0.00_р_._-;_-* &quot;-&quot;??_р_._-;_-@_-">
                  <c:v>4.3422000000000001</c:v>
                </c:pt>
              </c:numCache>
            </c:numRef>
          </c:xVal>
          <c:yVal>
            <c:numRef>
              <c:f>Лист1!$F$58:$F$67</c:f>
              <c:numCache>
                <c:formatCode>_-* #,##0.0_р_._-;\-* #,##0.0_р_._-;_-* "-"??_р_._-;_-@_-</c:formatCode>
                <c:ptCount val="10"/>
                <c:pt idx="0">
                  <c:v>4.0585745127113757</c:v>
                </c:pt>
                <c:pt idx="1">
                  <c:v>5.0779748227373398</c:v>
                </c:pt>
                <c:pt idx="2">
                  <c:v>5.3763488056825448</c:v>
                </c:pt>
                <c:pt idx="3">
                  <c:v>6.346717840202639</c:v>
                </c:pt>
                <c:pt idx="4">
                  <c:v>5.8038866694396356</c:v>
                </c:pt>
                <c:pt idx="5">
                  <c:v>5.1753271153738831</c:v>
                </c:pt>
                <c:pt idx="6">
                  <c:v>5.3928715872411486</c:v>
                </c:pt>
                <c:pt idx="7">
                  <c:v>5.5161130558758495</c:v>
                </c:pt>
                <c:pt idx="8">
                  <c:v>4.7422190680168832</c:v>
                </c:pt>
                <c:pt idx="9">
                  <c:v>4.6858027480844449</c:v>
                </c:pt>
              </c:numCache>
            </c:numRef>
          </c:yVal>
        </c:ser>
        <c:ser>
          <c:idx val="1"/>
          <c:order val="1"/>
          <c:tx>
            <c:v>Предсказанное Y</c:v>
          </c:tx>
          <c:spPr>
            <a:ln w="28575">
              <a:noFill/>
            </a:ln>
          </c:spPr>
          <c:xVal>
            <c:numRef>
              <c:f>Лист1!$L$58:$L$67</c:f>
              <c:numCache>
                <c:formatCode>General</c:formatCode>
                <c:ptCount val="10"/>
                <c:pt idx="0">
                  <c:v>8.68</c:v>
                </c:pt>
                <c:pt idx="1">
                  <c:v>6.7083000000000004</c:v>
                </c:pt>
                <c:pt idx="2">
                  <c:v>6.9615</c:v>
                </c:pt>
                <c:pt idx="3">
                  <c:v>8.9181000000000008</c:v>
                </c:pt>
                <c:pt idx="4">
                  <c:v>3.9689000000000001</c:v>
                </c:pt>
                <c:pt idx="5">
                  <c:v>4.3742000000000001</c:v>
                </c:pt>
                <c:pt idx="6">
                  <c:v>3.9881000000000002</c:v>
                </c:pt>
                <c:pt idx="7">
                  <c:v>2.7545999999999999</c:v>
                </c:pt>
                <c:pt idx="8">
                  <c:v>3.7326000000000001</c:v>
                </c:pt>
                <c:pt idx="9" formatCode="_-* #,##0.00_р_._-;\-* #,##0.00_р_._-;_-* &quot;-&quot;??_р_._-;_-@_-">
                  <c:v>4.3422000000000001</c:v>
                </c:pt>
              </c:numCache>
            </c:numRef>
          </c:xVal>
          <c:yVal>
            <c:numRef>
              <c:f>pe!$B$27:$B$36</c:f>
              <c:numCache>
                <c:formatCode>General</c:formatCode>
                <c:ptCount val="10"/>
                <c:pt idx="0">
                  <c:v>4.5771027061223686</c:v>
                </c:pt>
                <c:pt idx="1">
                  <c:v>5.0797882636354341</c:v>
                </c:pt>
                <c:pt idx="2">
                  <c:v>5.3246363202426776</c:v>
                </c:pt>
                <c:pt idx="3">
                  <c:v>5.8921468027025892</c:v>
                </c:pt>
                <c:pt idx="4">
                  <c:v>5.2728594381234597</c:v>
                </c:pt>
                <c:pt idx="5">
                  <c:v>5.4666727397402264</c:v>
                </c:pt>
                <c:pt idx="6">
                  <c:v>5.8455992097929315</c:v>
                </c:pt>
                <c:pt idx="7">
                  <c:v>5.4928448009728523</c:v>
                </c:pt>
                <c:pt idx="8">
                  <c:v>4.9427204001142027</c:v>
                </c:pt>
                <c:pt idx="9">
                  <c:v>4.2814655439190012</c:v>
                </c:pt>
              </c:numCache>
            </c:numRef>
          </c:yVal>
        </c:ser>
        <c:axId val="100960896"/>
        <c:axId val="100979456"/>
      </c:scatterChart>
      <c:valAx>
        <c:axId val="1009608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Переменная </a:t>
                </a:r>
                <a:r>
                  <a:rPr lang="en-US"/>
                  <a:t>X 2</a:t>
                </a:r>
              </a:p>
            </c:rich>
          </c:tx>
          <c:layout/>
        </c:title>
        <c:numFmt formatCode="General" sourceLinked="1"/>
        <c:tickLblPos val="nextTo"/>
        <c:crossAx val="100979456"/>
        <c:crosses val="autoZero"/>
        <c:crossBetween val="midCat"/>
      </c:valAx>
      <c:valAx>
        <c:axId val="10097945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_-* #,##0.0_р_._-;\-* #,##0.0_р_._-;_-* &quot;-&quot;??_р_._-;_-@_-" sourceLinked="1"/>
        <c:tickLblPos val="nextTo"/>
        <c:crossAx val="1009608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Переменная </a:t>
            </a:r>
            <a:r>
              <a:rPr lang="en-US"/>
              <a:t>X 3 </a:t>
            </a:r>
            <a:r>
              <a:rPr lang="ru-RU"/>
              <a:t>График подбора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Лист1!$M$58:$M$67</c:f>
              <c:numCache>
                <c:formatCode>0%</c:formatCode>
                <c:ptCount val="10"/>
                <c:pt idx="0">
                  <c:v>9.8569826135726304E-2</c:v>
                </c:pt>
                <c:pt idx="1">
                  <c:v>8.9738735327527436E-2</c:v>
                </c:pt>
                <c:pt idx="2">
                  <c:v>8.3002004987479172E-2</c:v>
                </c:pt>
                <c:pt idx="3">
                  <c:v>8.0102147175317912E-2</c:v>
                </c:pt>
                <c:pt idx="4">
                  <c:v>7.8180288066241693E-2</c:v>
                </c:pt>
                <c:pt idx="5">
                  <c:v>0.106634051017233</c:v>
                </c:pt>
                <c:pt idx="6">
                  <c:v>0.15919626250175881</c:v>
                </c:pt>
                <c:pt idx="7">
                  <c:v>0.20620173925878854</c:v>
                </c:pt>
                <c:pt idx="8">
                  <c:v>0.2536776236204244</c:v>
                </c:pt>
                <c:pt idx="9">
                  <c:v>0.29247471405266934</c:v>
                </c:pt>
              </c:numCache>
            </c:numRef>
          </c:xVal>
          <c:yVal>
            <c:numRef>
              <c:f>Лист1!$F$58:$F$67</c:f>
              <c:numCache>
                <c:formatCode>_-* #,##0.0_р_._-;\-* #,##0.0_р_._-;_-* "-"??_р_._-;_-@_-</c:formatCode>
                <c:ptCount val="10"/>
                <c:pt idx="0">
                  <c:v>4.0585745127113757</c:v>
                </c:pt>
                <c:pt idx="1">
                  <c:v>5.0779748227373398</c:v>
                </c:pt>
                <c:pt idx="2">
                  <c:v>5.3763488056825448</c:v>
                </c:pt>
                <c:pt idx="3">
                  <c:v>6.346717840202639</c:v>
                </c:pt>
                <c:pt idx="4">
                  <c:v>5.8038866694396356</c:v>
                </c:pt>
                <c:pt idx="5">
                  <c:v>5.1753271153738831</c:v>
                </c:pt>
                <c:pt idx="6">
                  <c:v>5.3928715872411486</c:v>
                </c:pt>
                <c:pt idx="7">
                  <c:v>5.5161130558758495</c:v>
                </c:pt>
                <c:pt idx="8">
                  <c:v>4.7422190680168832</c:v>
                </c:pt>
                <c:pt idx="9">
                  <c:v>4.6858027480844449</c:v>
                </c:pt>
              </c:numCache>
            </c:numRef>
          </c:yVal>
        </c:ser>
        <c:ser>
          <c:idx val="1"/>
          <c:order val="1"/>
          <c:tx>
            <c:v>Предсказанное Y</c:v>
          </c:tx>
          <c:spPr>
            <a:ln w="28575">
              <a:noFill/>
            </a:ln>
          </c:spPr>
          <c:xVal>
            <c:numRef>
              <c:f>Лист1!$M$58:$M$67</c:f>
              <c:numCache>
                <c:formatCode>0%</c:formatCode>
                <c:ptCount val="10"/>
                <c:pt idx="0">
                  <c:v>9.8569826135726304E-2</c:v>
                </c:pt>
                <c:pt idx="1">
                  <c:v>8.9738735327527436E-2</c:v>
                </c:pt>
                <c:pt idx="2">
                  <c:v>8.3002004987479172E-2</c:v>
                </c:pt>
                <c:pt idx="3">
                  <c:v>8.0102147175317912E-2</c:v>
                </c:pt>
                <c:pt idx="4">
                  <c:v>7.8180288066241693E-2</c:v>
                </c:pt>
                <c:pt idx="5">
                  <c:v>0.106634051017233</c:v>
                </c:pt>
                <c:pt idx="6">
                  <c:v>0.15919626250175881</c:v>
                </c:pt>
                <c:pt idx="7">
                  <c:v>0.20620173925878854</c:v>
                </c:pt>
                <c:pt idx="8">
                  <c:v>0.2536776236204244</c:v>
                </c:pt>
                <c:pt idx="9">
                  <c:v>0.29247471405266934</c:v>
                </c:pt>
              </c:numCache>
            </c:numRef>
          </c:xVal>
          <c:yVal>
            <c:numRef>
              <c:f>pe!$B$27:$B$36</c:f>
              <c:numCache>
                <c:formatCode>General</c:formatCode>
                <c:ptCount val="10"/>
                <c:pt idx="0">
                  <c:v>4.5771027061223686</c:v>
                </c:pt>
                <c:pt idx="1">
                  <c:v>5.0797882636354341</c:v>
                </c:pt>
                <c:pt idx="2">
                  <c:v>5.3246363202426776</c:v>
                </c:pt>
                <c:pt idx="3">
                  <c:v>5.8921468027025892</c:v>
                </c:pt>
                <c:pt idx="4">
                  <c:v>5.2728594381234597</c:v>
                </c:pt>
                <c:pt idx="5">
                  <c:v>5.4666727397402264</c:v>
                </c:pt>
                <c:pt idx="6">
                  <c:v>5.8455992097929315</c:v>
                </c:pt>
                <c:pt idx="7">
                  <c:v>5.4928448009728523</c:v>
                </c:pt>
                <c:pt idx="8">
                  <c:v>4.9427204001142027</c:v>
                </c:pt>
                <c:pt idx="9">
                  <c:v>4.2814655439190012</c:v>
                </c:pt>
              </c:numCache>
            </c:numRef>
          </c:yVal>
        </c:ser>
        <c:axId val="100873728"/>
        <c:axId val="100875648"/>
      </c:scatterChart>
      <c:valAx>
        <c:axId val="100873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Переменная </a:t>
                </a:r>
                <a:r>
                  <a:rPr lang="en-US"/>
                  <a:t>X 3</a:t>
                </a:r>
              </a:p>
            </c:rich>
          </c:tx>
          <c:layout/>
        </c:title>
        <c:numFmt formatCode="0%" sourceLinked="1"/>
        <c:tickLblPos val="nextTo"/>
        <c:crossAx val="100875648"/>
        <c:crosses val="autoZero"/>
        <c:crossBetween val="midCat"/>
      </c:valAx>
      <c:valAx>
        <c:axId val="1008756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_-* #,##0.0_р_._-;\-* #,##0.0_р_._-;_-* &quot;-&quot;??_р_._-;_-@_-" sourceLinked="1"/>
        <c:tickLblPos val="nextTo"/>
        <c:crossAx val="1008737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Переменная </a:t>
            </a:r>
            <a:r>
              <a:rPr lang="en-US"/>
              <a:t>X 1 </a:t>
            </a:r>
            <a:r>
              <a:rPr lang="ru-RU"/>
              <a:t>График подбора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Лист1!$K$58:$K$67</c:f>
              <c:numCache>
                <c:formatCode>_-* #,##0_р_._-;\-* #,##0_р_._-;_-* "-"??_р_._-;_-@_-</c:formatCode>
                <c:ptCount val="10"/>
                <c:pt idx="0">
                  <c:v>54.484999999999999</c:v>
                </c:pt>
                <c:pt idx="1">
                  <c:v>65.472499999999997</c:v>
                </c:pt>
                <c:pt idx="2">
                  <c:v>72.935000000000002</c:v>
                </c:pt>
                <c:pt idx="3">
                  <c:v>97.882500000000007</c:v>
                </c:pt>
                <c:pt idx="4">
                  <c:v>62.107500000000002</c:v>
                </c:pt>
                <c:pt idx="5">
                  <c:v>80.022500000000008</c:v>
                </c:pt>
                <c:pt idx="6">
                  <c:v>111.14749999999999</c:v>
                </c:pt>
                <c:pt idx="7">
                  <c:v>111</c:v>
                </c:pt>
                <c:pt idx="8">
                  <c:v>109</c:v>
                </c:pt>
                <c:pt idx="9">
                  <c:v>99</c:v>
                </c:pt>
              </c:numCache>
            </c:numRef>
          </c:xVal>
          <c:yVal>
            <c:numRef>
              <c:f>Лист1!$G$58:$G$67</c:f>
              <c:numCache>
                <c:formatCode>_-* #,##0.0_р_._-;\-* #,##0.0_р_._-;_-* "-"??_р_._-;_-@_-</c:formatCode>
                <c:ptCount val="10"/>
                <c:pt idx="0">
                  <c:v>2.6621030175913045</c:v>
                </c:pt>
                <c:pt idx="1">
                  <c:v>1.8303569112986464</c:v>
                </c:pt>
                <c:pt idx="2">
                  <c:v>1.8145177219178588</c:v>
                </c:pt>
                <c:pt idx="3">
                  <c:v>2.0275229095810454</c:v>
                </c:pt>
                <c:pt idx="4">
                  <c:v>0.70892223017127964</c:v>
                </c:pt>
                <c:pt idx="5">
                  <c:v>0.90988393853717775</c:v>
                </c:pt>
                <c:pt idx="6">
                  <c:v>0.96498727376542448</c:v>
                </c:pt>
                <c:pt idx="7">
                  <c:v>0.79526783320909489</c:v>
                </c:pt>
                <c:pt idx="8">
                  <c:v>0.93698720153224002</c:v>
                </c:pt>
                <c:pt idx="9">
                  <c:v>0.89992238208244302</c:v>
                </c:pt>
              </c:numCache>
            </c:numRef>
          </c:yVal>
        </c:ser>
        <c:ser>
          <c:idx val="1"/>
          <c:order val="1"/>
          <c:tx>
            <c:v>Предсказанное Y</c:v>
          </c:tx>
          <c:spPr>
            <a:ln w="28575">
              <a:noFill/>
            </a:ln>
          </c:spPr>
          <c:xVal>
            <c:numRef>
              <c:f>Лист1!$K$58:$K$67</c:f>
              <c:numCache>
                <c:formatCode>_-* #,##0_р_._-;\-* #,##0_р_._-;_-* "-"??_р_._-;_-@_-</c:formatCode>
                <c:ptCount val="10"/>
                <c:pt idx="0">
                  <c:v>54.484999999999999</c:v>
                </c:pt>
                <c:pt idx="1">
                  <c:v>65.472499999999997</c:v>
                </c:pt>
                <c:pt idx="2">
                  <c:v>72.935000000000002</c:v>
                </c:pt>
                <c:pt idx="3">
                  <c:v>97.882500000000007</c:v>
                </c:pt>
                <c:pt idx="4">
                  <c:v>62.107500000000002</c:v>
                </c:pt>
                <c:pt idx="5">
                  <c:v>80.022500000000008</c:v>
                </c:pt>
                <c:pt idx="6">
                  <c:v>111.14749999999999</c:v>
                </c:pt>
                <c:pt idx="7">
                  <c:v>111</c:v>
                </c:pt>
                <c:pt idx="8">
                  <c:v>109</c:v>
                </c:pt>
                <c:pt idx="9">
                  <c:v>99</c:v>
                </c:pt>
              </c:numCache>
            </c:numRef>
          </c:xVal>
          <c:yVal>
            <c:numRef>
              <c:f>pt!$B$27:$B$36</c:f>
              <c:numCache>
                <c:formatCode>General</c:formatCode>
                <c:ptCount val="10"/>
                <c:pt idx="0">
                  <c:v>2.3876341209041088</c:v>
                </c:pt>
                <c:pt idx="1">
                  <c:v>1.7476177355363687</c:v>
                </c:pt>
                <c:pt idx="2">
                  <c:v>1.7839767565276294</c:v>
                </c:pt>
                <c:pt idx="3">
                  <c:v>2.2586041507073711</c:v>
                </c:pt>
                <c:pt idx="4">
                  <c:v>0.93524929979999605</c:v>
                </c:pt>
                <c:pt idx="5">
                  <c:v>1.0171890478481866</c:v>
                </c:pt>
                <c:pt idx="6">
                  <c:v>0.84024201676716526</c:v>
                </c:pt>
                <c:pt idx="7">
                  <c:v>0.53285095273615335</c:v>
                </c:pt>
                <c:pt idx="8">
                  <c:v>0.88905340912731678</c:v>
                </c:pt>
                <c:pt idx="9">
                  <c:v>1.158053929732219</c:v>
                </c:pt>
              </c:numCache>
            </c:numRef>
          </c:yVal>
        </c:ser>
        <c:axId val="101081856"/>
        <c:axId val="101083776"/>
      </c:scatterChart>
      <c:valAx>
        <c:axId val="101081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Переменная </a:t>
                </a:r>
                <a:r>
                  <a:rPr lang="en-US"/>
                  <a:t>X 1</a:t>
                </a:r>
              </a:p>
            </c:rich>
          </c:tx>
          <c:layout/>
        </c:title>
        <c:numFmt formatCode="_-* #,##0_р_._-;\-* #,##0_р_._-;_-* &quot;-&quot;??_р_._-;_-@_-" sourceLinked="1"/>
        <c:tickLblPos val="nextTo"/>
        <c:crossAx val="101083776"/>
        <c:crosses val="autoZero"/>
        <c:crossBetween val="midCat"/>
      </c:valAx>
      <c:valAx>
        <c:axId val="10108377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_-* #,##0.0_р_._-;\-* #,##0.0_р_._-;_-* &quot;-&quot;??_р_._-;_-@_-" sourceLinked="1"/>
        <c:tickLblPos val="nextTo"/>
        <c:crossAx val="1010818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Переменная </a:t>
            </a:r>
            <a:r>
              <a:rPr lang="en-US"/>
              <a:t>X 2 </a:t>
            </a:r>
            <a:r>
              <a:rPr lang="ru-RU"/>
              <a:t>График подбора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Лист1!$L$58:$L$67</c:f>
              <c:numCache>
                <c:formatCode>General</c:formatCode>
                <c:ptCount val="10"/>
                <c:pt idx="0">
                  <c:v>8.68</c:v>
                </c:pt>
                <c:pt idx="1">
                  <c:v>6.7083000000000004</c:v>
                </c:pt>
                <c:pt idx="2">
                  <c:v>6.9615</c:v>
                </c:pt>
                <c:pt idx="3">
                  <c:v>8.9181000000000008</c:v>
                </c:pt>
                <c:pt idx="4">
                  <c:v>3.9689000000000001</c:v>
                </c:pt>
                <c:pt idx="5">
                  <c:v>4.3742000000000001</c:v>
                </c:pt>
                <c:pt idx="6">
                  <c:v>3.9881000000000002</c:v>
                </c:pt>
                <c:pt idx="7">
                  <c:v>2.7545999999999999</c:v>
                </c:pt>
                <c:pt idx="8">
                  <c:v>3.7326000000000001</c:v>
                </c:pt>
                <c:pt idx="9" formatCode="_-* #,##0.00_р_._-;\-* #,##0.00_р_._-;_-* &quot;-&quot;??_р_._-;_-@_-">
                  <c:v>4.3422000000000001</c:v>
                </c:pt>
              </c:numCache>
            </c:numRef>
          </c:xVal>
          <c:yVal>
            <c:numRef>
              <c:f>Лист1!$G$58:$G$67</c:f>
              <c:numCache>
                <c:formatCode>_-* #,##0.0_р_._-;\-* #,##0.0_р_._-;_-* "-"??_р_._-;_-@_-</c:formatCode>
                <c:ptCount val="10"/>
                <c:pt idx="0">
                  <c:v>2.6621030175913045</c:v>
                </c:pt>
                <c:pt idx="1">
                  <c:v>1.8303569112986464</c:v>
                </c:pt>
                <c:pt idx="2">
                  <c:v>1.8145177219178588</c:v>
                </c:pt>
                <c:pt idx="3">
                  <c:v>2.0275229095810454</c:v>
                </c:pt>
                <c:pt idx="4">
                  <c:v>0.70892223017127964</c:v>
                </c:pt>
                <c:pt idx="5">
                  <c:v>0.90988393853717775</c:v>
                </c:pt>
                <c:pt idx="6">
                  <c:v>0.96498727376542448</c:v>
                </c:pt>
                <c:pt idx="7">
                  <c:v>0.79526783320909489</c:v>
                </c:pt>
                <c:pt idx="8">
                  <c:v>0.93698720153224002</c:v>
                </c:pt>
                <c:pt idx="9">
                  <c:v>0.89992238208244302</c:v>
                </c:pt>
              </c:numCache>
            </c:numRef>
          </c:yVal>
        </c:ser>
        <c:ser>
          <c:idx val="1"/>
          <c:order val="1"/>
          <c:tx>
            <c:v>Предсказанное Y</c:v>
          </c:tx>
          <c:spPr>
            <a:ln w="28575">
              <a:noFill/>
            </a:ln>
          </c:spPr>
          <c:xVal>
            <c:numRef>
              <c:f>Лист1!$L$58:$L$67</c:f>
              <c:numCache>
                <c:formatCode>General</c:formatCode>
                <c:ptCount val="10"/>
                <c:pt idx="0">
                  <c:v>8.68</c:v>
                </c:pt>
                <c:pt idx="1">
                  <c:v>6.7083000000000004</c:v>
                </c:pt>
                <c:pt idx="2">
                  <c:v>6.9615</c:v>
                </c:pt>
                <c:pt idx="3">
                  <c:v>8.9181000000000008</c:v>
                </c:pt>
                <c:pt idx="4">
                  <c:v>3.9689000000000001</c:v>
                </c:pt>
                <c:pt idx="5">
                  <c:v>4.3742000000000001</c:v>
                </c:pt>
                <c:pt idx="6">
                  <c:v>3.9881000000000002</c:v>
                </c:pt>
                <c:pt idx="7">
                  <c:v>2.7545999999999999</c:v>
                </c:pt>
                <c:pt idx="8">
                  <c:v>3.7326000000000001</c:v>
                </c:pt>
                <c:pt idx="9" formatCode="_-* #,##0.00_р_._-;\-* #,##0.00_р_._-;_-* &quot;-&quot;??_р_._-;_-@_-">
                  <c:v>4.3422000000000001</c:v>
                </c:pt>
              </c:numCache>
            </c:numRef>
          </c:xVal>
          <c:yVal>
            <c:numRef>
              <c:f>pt!$B$27:$B$36</c:f>
              <c:numCache>
                <c:formatCode>General</c:formatCode>
                <c:ptCount val="10"/>
                <c:pt idx="0">
                  <c:v>2.3876341209041088</c:v>
                </c:pt>
                <c:pt idx="1">
                  <c:v>1.7476177355363687</c:v>
                </c:pt>
                <c:pt idx="2">
                  <c:v>1.7839767565276294</c:v>
                </c:pt>
                <c:pt idx="3">
                  <c:v>2.2586041507073711</c:v>
                </c:pt>
                <c:pt idx="4">
                  <c:v>0.93524929979999605</c:v>
                </c:pt>
                <c:pt idx="5">
                  <c:v>1.0171890478481866</c:v>
                </c:pt>
                <c:pt idx="6">
                  <c:v>0.84024201676716526</c:v>
                </c:pt>
                <c:pt idx="7">
                  <c:v>0.53285095273615335</c:v>
                </c:pt>
                <c:pt idx="8">
                  <c:v>0.88905340912731678</c:v>
                </c:pt>
                <c:pt idx="9">
                  <c:v>1.158053929732219</c:v>
                </c:pt>
              </c:numCache>
            </c:numRef>
          </c:yVal>
        </c:ser>
        <c:axId val="101117312"/>
        <c:axId val="101127680"/>
      </c:scatterChart>
      <c:valAx>
        <c:axId val="101117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Переменная </a:t>
                </a:r>
                <a:r>
                  <a:rPr lang="en-US"/>
                  <a:t>X 2</a:t>
                </a:r>
              </a:p>
            </c:rich>
          </c:tx>
          <c:layout/>
        </c:title>
        <c:numFmt formatCode="General" sourceLinked="1"/>
        <c:tickLblPos val="nextTo"/>
        <c:crossAx val="101127680"/>
        <c:crosses val="autoZero"/>
        <c:crossBetween val="midCat"/>
      </c:valAx>
      <c:valAx>
        <c:axId val="10112768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_-* #,##0.0_р_._-;\-* #,##0.0_р_._-;_-* &quot;-&quot;??_р_._-;_-@_-" sourceLinked="1"/>
        <c:tickLblPos val="nextTo"/>
        <c:crossAx val="1011173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Переменная </a:t>
            </a:r>
            <a:r>
              <a:rPr lang="en-US"/>
              <a:t>X 3 </a:t>
            </a:r>
            <a:r>
              <a:rPr lang="ru-RU"/>
              <a:t>График подбора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Лист1!$M$58:$M$67</c:f>
              <c:numCache>
                <c:formatCode>0%</c:formatCode>
                <c:ptCount val="10"/>
                <c:pt idx="0">
                  <c:v>9.8569826135726304E-2</c:v>
                </c:pt>
                <c:pt idx="1">
                  <c:v>8.9738735327527436E-2</c:v>
                </c:pt>
                <c:pt idx="2">
                  <c:v>8.3002004987479172E-2</c:v>
                </c:pt>
                <c:pt idx="3">
                  <c:v>8.0102147175317912E-2</c:v>
                </c:pt>
                <c:pt idx="4">
                  <c:v>7.8180288066241693E-2</c:v>
                </c:pt>
                <c:pt idx="5">
                  <c:v>0.106634051017233</c:v>
                </c:pt>
                <c:pt idx="6">
                  <c:v>0.15919626250175881</c:v>
                </c:pt>
                <c:pt idx="7">
                  <c:v>0.20620173925878854</c:v>
                </c:pt>
                <c:pt idx="8">
                  <c:v>0.2536776236204244</c:v>
                </c:pt>
                <c:pt idx="9">
                  <c:v>0.29247471405266934</c:v>
                </c:pt>
              </c:numCache>
            </c:numRef>
          </c:xVal>
          <c:yVal>
            <c:numRef>
              <c:f>Лист1!$G$58:$G$67</c:f>
              <c:numCache>
                <c:formatCode>_-* #,##0.0_р_._-;\-* #,##0.0_р_._-;_-* "-"??_р_._-;_-@_-</c:formatCode>
                <c:ptCount val="10"/>
                <c:pt idx="0">
                  <c:v>2.6621030175913045</c:v>
                </c:pt>
                <c:pt idx="1">
                  <c:v>1.8303569112986464</c:v>
                </c:pt>
                <c:pt idx="2">
                  <c:v>1.8145177219178588</c:v>
                </c:pt>
                <c:pt idx="3">
                  <c:v>2.0275229095810454</c:v>
                </c:pt>
                <c:pt idx="4">
                  <c:v>0.70892223017127964</c:v>
                </c:pt>
                <c:pt idx="5">
                  <c:v>0.90988393853717775</c:v>
                </c:pt>
                <c:pt idx="6">
                  <c:v>0.96498727376542448</c:v>
                </c:pt>
                <c:pt idx="7">
                  <c:v>0.79526783320909489</c:v>
                </c:pt>
                <c:pt idx="8">
                  <c:v>0.93698720153224002</c:v>
                </c:pt>
                <c:pt idx="9">
                  <c:v>0.89992238208244302</c:v>
                </c:pt>
              </c:numCache>
            </c:numRef>
          </c:yVal>
        </c:ser>
        <c:ser>
          <c:idx val="1"/>
          <c:order val="1"/>
          <c:tx>
            <c:v>Предсказанное Y</c:v>
          </c:tx>
          <c:spPr>
            <a:ln w="28575">
              <a:noFill/>
            </a:ln>
          </c:spPr>
          <c:xVal>
            <c:numRef>
              <c:f>Лист1!$M$58:$M$67</c:f>
              <c:numCache>
                <c:formatCode>0%</c:formatCode>
                <c:ptCount val="10"/>
                <c:pt idx="0">
                  <c:v>9.8569826135726304E-2</c:v>
                </c:pt>
                <c:pt idx="1">
                  <c:v>8.9738735327527436E-2</c:v>
                </c:pt>
                <c:pt idx="2">
                  <c:v>8.3002004987479172E-2</c:v>
                </c:pt>
                <c:pt idx="3">
                  <c:v>8.0102147175317912E-2</c:v>
                </c:pt>
                <c:pt idx="4">
                  <c:v>7.8180288066241693E-2</c:v>
                </c:pt>
                <c:pt idx="5">
                  <c:v>0.106634051017233</c:v>
                </c:pt>
                <c:pt idx="6">
                  <c:v>0.15919626250175881</c:v>
                </c:pt>
                <c:pt idx="7">
                  <c:v>0.20620173925878854</c:v>
                </c:pt>
                <c:pt idx="8">
                  <c:v>0.2536776236204244</c:v>
                </c:pt>
                <c:pt idx="9">
                  <c:v>0.29247471405266934</c:v>
                </c:pt>
              </c:numCache>
            </c:numRef>
          </c:xVal>
          <c:yVal>
            <c:numRef>
              <c:f>pt!$B$27:$B$36</c:f>
              <c:numCache>
                <c:formatCode>General</c:formatCode>
                <c:ptCount val="10"/>
                <c:pt idx="0">
                  <c:v>2.3876341209041088</c:v>
                </c:pt>
                <c:pt idx="1">
                  <c:v>1.7476177355363687</c:v>
                </c:pt>
                <c:pt idx="2">
                  <c:v>1.7839767565276294</c:v>
                </c:pt>
                <c:pt idx="3">
                  <c:v>2.2586041507073711</c:v>
                </c:pt>
                <c:pt idx="4">
                  <c:v>0.93524929979999605</c:v>
                </c:pt>
                <c:pt idx="5">
                  <c:v>1.0171890478481866</c:v>
                </c:pt>
                <c:pt idx="6">
                  <c:v>0.84024201676716526</c:v>
                </c:pt>
                <c:pt idx="7">
                  <c:v>0.53285095273615335</c:v>
                </c:pt>
                <c:pt idx="8">
                  <c:v>0.88905340912731678</c:v>
                </c:pt>
                <c:pt idx="9">
                  <c:v>1.158053929732219</c:v>
                </c:pt>
              </c:numCache>
            </c:numRef>
          </c:yVal>
        </c:ser>
        <c:axId val="101161216"/>
        <c:axId val="101167488"/>
      </c:scatterChart>
      <c:valAx>
        <c:axId val="101161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Переменная </a:t>
                </a:r>
                <a:r>
                  <a:rPr lang="en-US"/>
                  <a:t>X 3</a:t>
                </a:r>
              </a:p>
            </c:rich>
          </c:tx>
          <c:layout/>
        </c:title>
        <c:numFmt formatCode="0%" sourceLinked="1"/>
        <c:tickLblPos val="nextTo"/>
        <c:crossAx val="101167488"/>
        <c:crosses val="autoZero"/>
        <c:crossBetween val="midCat"/>
      </c:valAx>
      <c:valAx>
        <c:axId val="1011674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_-* #,##0.0_р_._-;\-* #,##0.0_р_._-;_-* &quot;-&quot;??_р_._-;_-@_-" sourceLinked="1"/>
        <c:tickLblPos val="nextTo"/>
        <c:crossAx val="1011612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Переменная </a:t>
            </a:r>
            <a:r>
              <a:rPr lang="en-US"/>
              <a:t>X 1 </a:t>
            </a:r>
            <a:r>
              <a:rPr lang="ru-RU"/>
              <a:t>График подбора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Лист1!$K$59:$K$67</c:f>
              <c:numCache>
                <c:formatCode>_-* #,##0_р_._-;\-* #,##0_р_._-;_-* "-"??_р_._-;_-@_-</c:formatCode>
                <c:ptCount val="9"/>
                <c:pt idx="0">
                  <c:v>65.472499999999997</c:v>
                </c:pt>
                <c:pt idx="1">
                  <c:v>72.935000000000002</c:v>
                </c:pt>
                <c:pt idx="2">
                  <c:v>97.882500000000007</c:v>
                </c:pt>
                <c:pt idx="3">
                  <c:v>62.107500000000002</c:v>
                </c:pt>
                <c:pt idx="4">
                  <c:v>80.022500000000008</c:v>
                </c:pt>
                <c:pt idx="5">
                  <c:v>111.14749999999999</c:v>
                </c:pt>
                <c:pt idx="6">
                  <c:v>111</c:v>
                </c:pt>
                <c:pt idx="7">
                  <c:v>109</c:v>
                </c:pt>
                <c:pt idx="8">
                  <c:v>99</c:v>
                </c:pt>
              </c:numCache>
            </c:numRef>
          </c:xVal>
          <c:yVal>
            <c:numRef>
              <c:f>Лист1!$H$59:$H$67</c:f>
              <c:numCache>
                <c:formatCode>_-* #,##0.0_р_._-;\-* #,##0.0_р_._-;_-* "-"??_р_._-;_-@_-</c:formatCode>
                <c:ptCount val="9"/>
                <c:pt idx="0">
                  <c:v>0.70461064457734446</c:v>
                </c:pt>
                <c:pt idx="1">
                  <c:v>0.78965123083462374</c:v>
                </c:pt>
                <c:pt idx="2">
                  <c:v>1.0209006199651038</c:v>
                </c:pt>
                <c:pt idx="3">
                  <c:v>1.2058303354315223</c:v>
                </c:pt>
                <c:pt idx="4">
                  <c:v>1.2054513325842864</c:v>
                </c:pt>
                <c:pt idx="5">
                  <c:v>2.0204421044463574</c:v>
                </c:pt>
                <c:pt idx="6">
                  <c:v>1.9670188427778146</c:v>
                </c:pt>
                <c:pt idx="7">
                  <c:v>3.01145231584161</c:v>
                </c:pt>
                <c:pt idx="8">
                  <c:v>1.6718385632652282</c:v>
                </c:pt>
              </c:numCache>
            </c:numRef>
          </c:yVal>
        </c:ser>
        <c:ser>
          <c:idx val="1"/>
          <c:order val="1"/>
          <c:tx>
            <c:v>Предсказанное Y</c:v>
          </c:tx>
          <c:spPr>
            <a:ln w="28575">
              <a:noFill/>
            </a:ln>
          </c:spPr>
          <c:xVal>
            <c:numRef>
              <c:f>Лист1!$K$59:$K$67</c:f>
              <c:numCache>
                <c:formatCode>_-* #,##0_р_._-;\-* #,##0_р_._-;_-* "-"??_р_._-;_-@_-</c:formatCode>
                <c:ptCount val="9"/>
                <c:pt idx="0">
                  <c:v>65.472499999999997</c:v>
                </c:pt>
                <c:pt idx="1">
                  <c:v>72.935000000000002</c:v>
                </c:pt>
                <c:pt idx="2">
                  <c:v>97.882500000000007</c:v>
                </c:pt>
                <c:pt idx="3">
                  <c:v>62.107500000000002</c:v>
                </c:pt>
                <c:pt idx="4">
                  <c:v>80.022500000000008</c:v>
                </c:pt>
                <c:pt idx="5">
                  <c:v>111.14749999999999</c:v>
                </c:pt>
                <c:pt idx="6">
                  <c:v>111</c:v>
                </c:pt>
                <c:pt idx="7">
                  <c:v>109</c:v>
                </c:pt>
                <c:pt idx="8">
                  <c:v>99</c:v>
                </c:pt>
              </c:numCache>
            </c:numRef>
          </c:xVal>
          <c:yVal>
            <c:numRef>
              <c:f>m!$B$27:$B$35</c:f>
              <c:numCache>
                <c:formatCode>General</c:formatCode>
                <c:ptCount val="9"/>
                <c:pt idx="0">
                  <c:v>0.72720023912683662</c:v>
                </c:pt>
                <c:pt idx="1">
                  <c:v>0.81710628005328467</c:v>
                </c:pt>
                <c:pt idx="2">
                  <c:v>1.0026601581790324</c:v>
                </c:pt>
                <c:pt idx="3">
                  <c:v>1.018426761835626</c:v>
                </c:pt>
                <c:pt idx="4">
                  <c:v>1.3458913788395082</c:v>
                </c:pt>
                <c:pt idx="5">
                  <c:v>2.0698810418790039</c:v>
                </c:pt>
                <c:pt idx="6">
                  <c:v>2.3243386166980411</c:v>
                </c:pt>
                <c:pt idx="7">
                  <c:v>2.2430145790928719</c:v>
                </c:pt>
                <c:pt idx="8">
                  <c:v>2.048676934019686</c:v>
                </c:pt>
              </c:numCache>
            </c:numRef>
          </c:yVal>
        </c:ser>
        <c:axId val="101209600"/>
        <c:axId val="101211520"/>
      </c:scatterChart>
      <c:valAx>
        <c:axId val="101209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Переменная </a:t>
                </a:r>
                <a:r>
                  <a:rPr lang="en-US"/>
                  <a:t>X 1</a:t>
                </a:r>
              </a:p>
            </c:rich>
          </c:tx>
          <c:layout/>
        </c:title>
        <c:numFmt formatCode="_-* #,##0_р_._-;\-* #,##0_р_._-;_-* &quot;-&quot;??_р_._-;_-@_-" sourceLinked="1"/>
        <c:tickLblPos val="nextTo"/>
        <c:crossAx val="101211520"/>
        <c:crosses val="autoZero"/>
        <c:crossBetween val="midCat"/>
      </c:valAx>
      <c:valAx>
        <c:axId val="10121152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_-* #,##0.0_р_._-;\-* #,##0.0_р_._-;_-* &quot;-&quot;??_р_._-;_-@_-" sourceLinked="1"/>
        <c:tickLblPos val="nextTo"/>
        <c:crossAx val="1012096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Переменная </a:t>
            </a:r>
            <a:r>
              <a:rPr lang="en-US"/>
              <a:t>X 2 </a:t>
            </a:r>
            <a:r>
              <a:rPr lang="ru-RU"/>
              <a:t>График подбора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Лист1!$L$59:$L$67</c:f>
              <c:numCache>
                <c:formatCode>General</c:formatCode>
                <c:ptCount val="9"/>
                <c:pt idx="0">
                  <c:v>6.7083000000000004</c:v>
                </c:pt>
                <c:pt idx="1">
                  <c:v>6.9615</c:v>
                </c:pt>
                <c:pt idx="2">
                  <c:v>8.9181000000000008</c:v>
                </c:pt>
                <c:pt idx="3">
                  <c:v>3.9689000000000001</c:v>
                </c:pt>
                <c:pt idx="4">
                  <c:v>4.3742000000000001</c:v>
                </c:pt>
                <c:pt idx="5">
                  <c:v>3.9881000000000002</c:v>
                </c:pt>
                <c:pt idx="6">
                  <c:v>2.7545999999999999</c:v>
                </c:pt>
                <c:pt idx="7">
                  <c:v>3.7326000000000001</c:v>
                </c:pt>
                <c:pt idx="8" formatCode="_-* #,##0.00_р_._-;\-* #,##0.00_р_._-;_-* &quot;-&quot;??_р_._-;_-@_-">
                  <c:v>4.3422000000000001</c:v>
                </c:pt>
              </c:numCache>
            </c:numRef>
          </c:xVal>
          <c:yVal>
            <c:numRef>
              <c:f>Лист1!$H$59:$H$67</c:f>
              <c:numCache>
                <c:formatCode>_-* #,##0.0_р_._-;\-* #,##0.0_р_._-;_-* "-"??_р_._-;_-@_-</c:formatCode>
                <c:ptCount val="9"/>
                <c:pt idx="0">
                  <c:v>0.70461064457734446</c:v>
                </c:pt>
                <c:pt idx="1">
                  <c:v>0.78965123083462374</c:v>
                </c:pt>
                <c:pt idx="2">
                  <c:v>1.0209006199651038</c:v>
                </c:pt>
                <c:pt idx="3">
                  <c:v>1.2058303354315223</c:v>
                </c:pt>
                <c:pt idx="4">
                  <c:v>1.2054513325842864</c:v>
                </c:pt>
                <c:pt idx="5">
                  <c:v>2.0204421044463574</c:v>
                </c:pt>
                <c:pt idx="6">
                  <c:v>1.9670188427778146</c:v>
                </c:pt>
                <c:pt idx="7">
                  <c:v>3.01145231584161</c:v>
                </c:pt>
                <c:pt idx="8">
                  <c:v>1.6718385632652282</c:v>
                </c:pt>
              </c:numCache>
            </c:numRef>
          </c:yVal>
        </c:ser>
        <c:ser>
          <c:idx val="1"/>
          <c:order val="1"/>
          <c:tx>
            <c:v>Предсказанное Y</c:v>
          </c:tx>
          <c:spPr>
            <a:ln w="28575">
              <a:noFill/>
            </a:ln>
          </c:spPr>
          <c:xVal>
            <c:numRef>
              <c:f>Лист1!$L$59:$L$67</c:f>
              <c:numCache>
                <c:formatCode>General</c:formatCode>
                <c:ptCount val="9"/>
                <c:pt idx="0">
                  <c:v>6.7083000000000004</c:v>
                </c:pt>
                <c:pt idx="1">
                  <c:v>6.9615</c:v>
                </c:pt>
                <c:pt idx="2">
                  <c:v>8.9181000000000008</c:v>
                </c:pt>
                <c:pt idx="3">
                  <c:v>3.9689000000000001</c:v>
                </c:pt>
                <c:pt idx="4">
                  <c:v>4.3742000000000001</c:v>
                </c:pt>
                <c:pt idx="5">
                  <c:v>3.9881000000000002</c:v>
                </c:pt>
                <c:pt idx="6">
                  <c:v>2.7545999999999999</c:v>
                </c:pt>
                <c:pt idx="7">
                  <c:v>3.7326000000000001</c:v>
                </c:pt>
                <c:pt idx="8" formatCode="_-* #,##0.00_р_._-;\-* #,##0.00_р_._-;_-* &quot;-&quot;??_р_._-;_-@_-">
                  <c:v>4.3422000000000001</c:v>
                </c:pt>
              </c:numCache>
            </c:numRef>
          </c:xVal>
          <c:yVal>
            <c:numRef>
              <c:f>m!$B$27:$B$35</c:f>
              <c:numCache>
                <c:formatCode>General</c:formatCode>
                <c:ptCount val="9"/>
                <c:pt idx="0">
                  <c:v>0.72720023912683662</c:v>
                </c:pt>
                <c:pt idx="1">
                  <c:v>0.81710628005328467</c:v>
                </c:pt>
                <c:pt idx="2">
                  <c:v>1.0026601581790324</c:v>
                </c:pt>
                <c:pt idx="3">
                  <c:v>1.018426761835626</c:v>
                </c:pt>
                <c:pt idx="4">
                  <c:v>1.3458913788395082</c:v>
                </c:pt>
                <c:pt idx="5">
                  <c:v>2.0698810418790039</c:v>
                </c:pt>
                <c:pt idx="6">
                  <c:v>2.3243386166980411</c:v>
                </c:pt>
                <c:pt idx="7">
                  <c:v>2.2430145790928719</c:v>
                </c:pt>
                <c:pt idx="8">
                  <c:v>2.048676934019686</c:v>
                </c:pt>
              </c:numCache>
            </c:numRef>
          </c:yVal>
        </c:ser>
        <c:axId val="101331328"/>
        <c:axId val="101333248"/>
      </c:scatterChart>
      <c:valAx>
        <c:axId val="101331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Переменная </a:t>
                </a:r>
                <a:r>
                  <a:rPr lang="en-US"/>
                  <a:t>X 2</a:t>
                </a:r>
              </a:p>
            </c:rich>
          </c:tx>
          <c:layout/>
        </c:title>
        <c:numFmt formatCode="General" sourceLinked="1"/>
        <c:tickLblPos val="nextTo"/>
        <c:crossAx val="101333248"/>
        <c:crosses val="autoZero"/>
        <c:crossBetween val="midCat"/>
      </c:valAx>
      <c:valAx>
        <c:axId val="1013332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_-* #,##0.0_р_._-;\-* #,##0.0_р_._-;_-* &quot;-&quot;??_р_._-;_-@_-" sourceLinked="1"/>
        <c:tickLblPos val="nextTo"/>
        <c:crossAx val="1013313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Переменная </a:t>
            </a:r>
            <a:r>
              <a:rPr lang="en-US"/>
              <a:t>X 3 </a:t>
            </a:r>
            <a:r>
              <a:rPr lang="ru-RU"/>
              <a:t>График подбора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Лист1!$M$59:$M$67</c:f>
              <c:numCache>
                <c:formatCode>0%</c:formatCode>
                <c:ptCount val="9"/>
                <c:pt idx="0">
                  <c:v>8.9738735327527436E-2</c:v>
                </c:pt>
                <c:pt idx="1">
                  <c:v>8.3002004987479172E-2</c:v>
                </c:pt>
                <c:pt idx="2">
                  <c:v>8.0102147175317912E-2</c:v>
                </c:pt>
                <c:pt idx="3">
                  <c:v>7.8180288066241693E-2</c:v>
                </c:pt>
                <c:pt idx="4">
                  <c:v>0.106634051017233</c:v>
                </c:pt>
                <c:pt idx="5">
                  <c:v>0.15919626250175881</c:v>
                </c:pt>
                <c:pt idx="6">
                  <c:v>0.20620173925878854</c:v>
                </c:pt>
                <c:pt idx="7">
                  <c:v>0.2536776236204244</c:v>
                </c:pt>
                <c:pt idx="8">
                  <c:v>0.29247471405266934</c:v>
                </c:pt>
              </c:numCache>
            </c:numRef>
          </c:xVal>
          <c:yVal>
            <c:numRef>
              <c:f>Лист1!$H$59:$H$67</c:f>
              <c:numCache>
                <c:formatCode>_-* #,##0.0_р_._-;\-* #,##0.0_р_._-;_-* "-"??_р_._-;_-@_-</c:formatCode>
                <c:ptCount val="9"/>
                <c:pt idx="0">
                  <c:v>0.70461064457734446</c:v>
                </c:pt>
                <c:pt idx="1">
                  <c:v>0.78965123083462374</c:v>
                </c:pt>
                <c:pt idx="2">
                  <c:v>1.0209006199651038</c:v>
                </c:pt>
                <c:pt idx="3">
                  <c:v>1.2058303354315223</c:v>
                </c:pt>
                <c:pt idx="4">
                  <c:v>1.2054513325842864</c:v>
                </c:pt>
                <c:pt idx="5">
                  <c:v>2.0204421044463574</c:v>
                </c:pt>
                <c:pt idx="6">
                  <c:v>1.9670188427778146</c:v>
                </c:pt>
                <c:pt idx="7">
                  <c:v>3.01145231584161</c:v>
                </c:pt>
                <c:pt idx="8">
                  <c:v>1.6718385632652282</c:v>
                </c:pt>
              </c:numCache>
            </c:numRef>
          </c:yVal>
        </c:ser>
        <c:ser>
          <c:idx val="1"/>
          <c:order val="1"/>
          <c:tx>
            <c:v>Предсказанное Y</c:v>
          </c:tx>
          <c:spPr>
            <a:ln w="28575">
              <a:noFill/>
            </a:ln>
          </c:spPr>
          <c:xVal>
            <c:numRef>
              <c:f>Лист1!$M$59:$M$67</c:f>
              <c:numCache>
                <c:formatCode>0%</c:formatCode>
                <c:ptCount val="9"/>
                <c:pt idx="0">
                  <c:v>8.9738735327527436E-2</c:v>
                </c:pt>
                <c:pt idx="1">
                  <c:v>8.3002004987479172E-2</c:v>
                </c:pt>
                <c:pt idx="2">
                  <c:v>8.0102147175317912E-2</c:v>
                </c:pt>
                <c:pt idx="3">
                  <c:v>7.8180288066241693E-2</c:v>
                </c:pt>
                <c:pt idx="4">
                  <c:v>0.106634051017233</c:v>
                </c:pt>
                <c:pt idx="5">
                  <c:v>0.15919626250175881</c:v>
                </c:pt>
                <c:pt idx="6">
                  <c:v>0.20620173925878854</c:v>
                </c:pt>
                <c:pt idx="7">
                  <c:v>0.2536776236204244</c:v>
                </c:pt>
                <c:pt idx="8">
                  <c:v>0.29247471405266934</c:v>
                </c:pt>
              </c:numCache>
            </c:numRef>
          </c:xVal>
          <c:yVal>
            <c:numRef>
              <c:f>m!$B$27:$B$35</c:f>
              <c:numCache>
                <c:formatCode>General</c:formatCode>
                <c:ptCount val="9"/>
                <c:pt idx="0">
                  <c:v>0.72720023912683662</c:v>
                </c:pt>
                <c:pt idx="1">
                  <c:v>0.81710628005328467</c:v>
                </c:pt>
                <c:pt idx="2">
                  <c:v>1.0026601581790324</c:v>
                </c:pt>
                <c:pt idx="3">
                  <c:v>1.018426761835626</c:v>
                </c:pt>
                <c:pt idx="4">
                  <c:v>1.3458913788395082</c:v>
                </c:pt>
                <c:pt idx="5">
                  <c:v>2.0698810418790039</c:v>
                </c:pt>
                <c:pt idx="6">
                  <c:v>2.3243386166980411</c:v>
                </c:pt>
                <c:pt idx="7">
                  <c:v>2.2430145790928719</c:v>
                </c:pt>
                <c:pt idx="8">
                  <c:v>2.048676934019686</c:v>
                </c:pt>
              </c:numCache>
            </c:numRef>
          </c:yVal>
        </c:ser>
        <c:axId val="101370880"/>
        <c:axId val="101381248"/>
      </c:scatterChart>
      <c:valAx>
        <c:axId val="1013708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Переменная </a:t>
                </a:r>
                <a:r>
                  <a:rPr lang="en-US"/>
                  <a:t>X 3</a:t>
                </a:r>
              </a:p>
            </c:rich>
          </c:tx>
          <c:layout/>
        </c:title>
        <c:numFmt formatCode="0%" sourceLinked="1"/>
        <c:tickLblPos val="nextTo"/>
        <c:crossAx val="101381248"/>
        <c:crosses val="autoZero"/>
        <c:crossBetween val="midCat"/>
      </c:valAx>
      <c:valAx>
        <c:axId val="1013812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_-* #,##0.0_р_._-;\-* #,##0.0_р_._-;_-* &quot;-&quot;??_р_._-;_-@_-" sourceLinked="1"/>
        <c:tickLblPos val="nextTo"/>
        <c:crossAx val="10137088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17</xdr:row>
      <xdr:rowOff>9525</xdr:rowOff>
    </xdr:from>
    <xdr:to>
      <xdr:col>10</xdr:col>
      <xdr:colOff>409575</xdr:colOff>
      <xdr:row>46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3248025"/>
          <a:ext cx="6619875" cy="4772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15</xdr:col>
      <xdr:colOff>0</xdr:colOff>
      <xdr:row>10</xdr:row>
      <xdr:rowOff>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16</xdr:col>
      <xdr:colOff>0</xdr:colOff>
      <xdr:row>12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4</xdr:row>
      <xdr:rowOff>1</xdr:rowOff>
    </xdr:from>
    <xdr:to>
      <xdr:col>17</xdr:col>
      <xdr:colOff>0</xdr:colOff>
      <xdr:row>14</xdr:row>
      <xdr:rowOff>1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15</xdr:col>
      <xdr:colOff>0</xdr:colOff>
      <xdr:row>10</xdr:row>
      <xdr:rowOff>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16</xdr:col>
      <xdr:colOff>0</xdr:colOff>
      <xdr:row>12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4</xdr:row>
      <xdr:rowOff>1</xdr:rowOff>
    </xdr:from>
    <xdr:to>
      <xdr:col>17</xdr:col>
      <xdr:colOff>0</xdr:colOff>
      <xdr:row>14</xdr:row>
      <xdr:rowOff>1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15</xdr:col>
      <xdr:colOff>0</xdr:colOff>
      <xdr:row>10</xdr:row>
      <xdr:rowOff>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16</xdr:col>
      <xdr:colOff>0</xdr:colOff>
      <xdr:row>12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4</xdr:row>
      <xdr:rowOff>1</xdr:rowOff>
    </xdr:from>
    <xdr:to>
      <xdr:col>17</xdr:col>
      <xdr:colOff>0</xdr:colOff>
      <xdr:row>14</xdr:row>
      <xdr:rowOff>1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573405</xdr:colOff>
      <xdr:row>73</xdr:row>
      <xdr:rowOff>175260</xdr:rowOff>
    </xdr:from>
    <xdr:to>
      <xdr:col>14</xdr:col>
      <xdr:colOff>640080</xdr:colOff>
      <xdr:row>99</xdr:row>
      <xdr:rowOff>49530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571499</xdr:colOff>
      <xdr:row>7</xdr:row>
      <xdr:rowOff>28575</xdr:rowOff>
    </xdr:from>
    <xdr:to>
      <xdr:col>24</xdr:col>
      <xdr:colOff>104774</xdr:colOff>
      <xdr:row>30</xdr:row>
      <xdr:rowOff>66675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390524</xdr:colOff>
      <xdr:row>34</xdr:row>
      <xdr:rowOff>76199</xdr:rowOff>
    </xdr:from>
    <xdr:to>
      <xdr:col>25</xdr:col>
      <xdr:colOff>533399</xdr:colOff>
      <xdr:row>57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60</xdr:row>
      <xdr:rowOff>0</xdr:rowOff>
    </xdr:from>
    <xdr:to>
      <xdr:col>26</xdr:col>
      <xdr:colOff>219075</xdr:colOff>
      <xdr:row>83</xdr:row>
      <xdr:rowOff>95251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76199</xdr:colOff>
      <xdr:row>7</xdr:row>
      <xdr:rowOff>38100</xdr:rowOff>
    </xdr:from>
    <xdr:to>
      <xdr:col>34</xdr:col>
      <xdr:colOff>219074</xdr:colOff>
      <xdr:row>28</xdr:row>
      <xdr:rowOff>9525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302888</xdr:colOff>
      <xdr:row>17</xdr:row>
      <xdr:rowOff>48986</xdr:rowOff>
    </xdr:from>
    <xdr:to>
      <xdr:col>32</xdr:col>
      <xdr:colOff>133350</xdr:colOff>
      <xdr:row>19</xdr:row>
      <xdr:rowOff>57149</xdr:rowOff>
    </xdr:to>
    <xdr:sp macro="" textlink="">
      <xdr:nvSpPr>
        <xdr:cNvPr id="3" name="TextBox 1"/>
        <xdr:cNvSpPr txBox="1"/>
      </xdr:nvSpPr>
      <xdr:spPr>
        <a:xfrm>
          <a:off x="19219538" y="3287486"/>
          <a:ext cx="1049662" cy="38916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solidFill>
                <a:srgbClr val="00B050"/>
              </a:solidFill>
            </a:rPr>
            <a:t>Base: TP $19</a:t>
          </a:r>
          <a:endParaRPr lang="ru-RU" sz="1100">
            <a:solidFill>
              <a:srgbClr val="00B050"/>
            </a:solidFill>
          </a:endParaRP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0.72739</cdr:x>
      <cdr:y>0.3913</cdr:y>
    </cdr:from>
    <cdr:to>
      <cdr:x>0.85369</cdr:x>
      <cdr:y>0.47071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311763" y="1554208"/>
          <a:ext cx="1095940" cy="3154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00B050"/>
              </a:solidFill>
            </a:rPr>
            <a:t>Bullish: TP $</a:t>
          </a:r>
          <a:r>
            <a:rPr lang="ru-RU" sz="1100">
              <a:solidFill>
                <a:srgbClr val="00B050"/>
              </a:solidFill>
            </a:rPr>
            <a:t>29</a:t>
          </a:r>
        </a:p>
      </cdr:txBody>
    </cdr:sp>
  </cdr:relSizeAnchor>
  <cdr:relSizeAnchor xmlns:cdr="http://schemas.openxmlformats.org/drawingml/2006/chartDrawing">
    <cdr:from>
      <cdr:x>0.72801</cdr:x>
      <cdr:y>0.66866</cdr:y>
    </cdr:from>
    <cdr:to>
      <cdr:x>0.8762</cdr:x>
      <cdr:y>0.76698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317143" y="2655873"/>
          <a:ext cx="1285885" cy="3905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>
              <a:solidFill>
                <a:srgbClr val="00B050"/>
              </a:solidFill>
            </a:rPr>
            <a:t>Bearish: </a:t>
          </a:r>
          <a:r>
            <a:rPr lang="en-US" sz="1100" baseline="0">
              <a:solidFill>
                <a:srgbClr val="00B050"/>
              </a:solidFill>
            </a:rPr>
            <a:t>TP </a:t>
          </a:r>
          <a:r>
            <a:rPr lang="en-US" sz="1100">
              <a:solidFill>
                <a:srgbClr val="00B050"/>
              </a:solidFill>
            </a:rPr>
            <a:t>$</a:t>
          </a:r>
          <a:r>
            <a:rPr lang="ru-RU" sz="1100">
              <a:solidFill>
                <a:srgbClr val="00B050"/>
              </a:solidFill>
            </a:rPr>
            <a:t>7.4</a:t>
          </a:r>
        </a:p>
      </cdr:txBody>
    </cdr:sp>
  </cdr:relSizeAnchor>
  <cdr:relSizeAnchor xmlns:cdr="http://schemas.openxmlformats.org/drawingml/2006/chartDrawing">
    <cdr:from>
      <cdr:x>0.8493</cdr:x>
      <cdr:y>0.50702</cdr:y>
    </cdr:from>
    <cdr:to>
      <cdr:x>0.96597</cdr:x>
      <cdr:y>0.67831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7369630" y="2013856"/>
          <a:ext cx="1012371" cy="680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u="none">
              <a:solidFill>
                <a:schemeClr val="tx2">
                  <a:lumMod val="60000"/>
                  <a:lumOff val="40000"/>
                </a:schemeClr>
              </a:solidFill>
            </a:rPr>
            <a:t>Bullish:</a:t>
          </a:r>
          <a:r>
            <a:rPr lang="ru-RU" sz="1100" u="none" baseline="0">
              <a:solidFill>
                <a:schemeClr val="tx2">
                  <a:lumMod val="60000"/>
                  <a:lumOff val="40000"/>
                </a:schemeClr>
              </a:solidFill>
            </a:rPr>
            <a:t> </a:t>
          </a:r>
          <a:r>
            <a:rPr lang="en-US" sz="1100" u="none" baseline="0">
              <a:solidFill>
                <a:schemeClr val="tx2">
                  <a:lumMod val="60000"/>
                  <a:lumOff val="40000"/>
                </a:schemeClr>
              </a:solidFill>
            </a:rPr>
            <a:t>$4.3</a:t>
          </a:r>
        </a:p>
        <a:p xmlns:a="http://schemas.openxmlformats.org/drawingml/2006/main">
          <a:r>
            <a:rPr lang="en-US" sz="1100" u="none" baseline="0">
              <a:solidFill>
                <a:schemeClr val="tx2">
                  <a:lumMod val="60000"/>
                  <a:lumOff val="40000"/>
                </a:schemeClr>
              </a:solidFill>
            </a:rPr>
            <a:t>Base: $3.75</a:t>
          </a:r>
        </a:p>
        <a:p xmlns:a="http://schemas.openxmlformats.org/drawingml/2006/main">
          <a:r>
            <a:rPr lang="en-US" sz="1100" u="none" baseline="0">
              <a:solidFill>
                <a:schemeClr val="tx2">
                  <a:lumMod val="60000"/>
                  <a:lumOff val="40000"/>
                </a:schemeClr>
              </a:solidFill>
            </a:rPr>
            <a:t>Bearish: $3.25   </a:t>
          </a:r>
          <a:endParaRPr lang="ru-RU" sz="1100" u="none">
            <a:solidFill>
              <a:schemeClr val="tx2">
                <a:lumMod val="60000"/>
                <a:lumOff val="4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0.84428</cdr:x>
      <cdr:y>0.50976</cdr:y>
    </cdr:from>
    <cdr:to>
      <cdr:x>0.85997</cdr:x>
      <cdr:y>0.65502</cdr:y>
    </cdr:to>
    <cdr:sp macro="" textlink="">
      <cdr:nvSpPr>
        <cdr:cNvPr id="8" name="Левая фигурная скобка 7"/>
        <cdr:cNvSpPr/>
      </cdr:nvSpPr>
      <cdr:spPr>
        <a:xfrm xmlns:a="http://schemas.openxmlformats.org/drawingml/2006/main">
          <a:off x="7326087" y="2024743"/>
          <a:ext cx="136071" cy="576943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0.8573</cdr:x>
      <cdr:y>0.40014</cdr:y>
    </cdr:from>
    <cdr:to>
      <cdr:x>0.99641</cdr:x>
      <cdr:y>0.56115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7439062" y="1589314"/>
          <a:ext cx="1207094" cy="639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u="sng">
              <a:solidFill>
                <a:schemeClr val="tx2">
                  <a:lumMod val="60000"/>
                  <a:lumOff val="40000"/>
                </a:schemeClr>
              </a:solidFill>
            </a:rPr>
            <a:t> </a:t>
          </a:r>
        </a:p>
        <a:p xmlns:a="http://schemas.openxmlformats.org/drawingml/2006/main">
          <a:r>
            <a:rPr lang="en-US" sz="1100" u="sng">
              <a:solidFill>
                <a:schemeClr val="tx2">
                  <a:lumMod val="60000"/>
                  <a:lumOff val="40000"/>
                </a:schemeClr>
              </a:solidFill>
            </a:rPr>
            <a:t>NG </a:t>
          </a:r>
          <a:r>
            <a:rPr lang="en-US" sz="1100" u="sng" baseline="0">
              <a:solidFill>
                <a:schemeClr val="tx2">
                  <a:lumMod val="60000"/>
                  <a:lumOff val="40000"/>
                </a:schemeClr>
              </a:solidFill>
            </a:rPr>
            <a:t>price </a:t>
          </a:r>
          <a:endParaRPr lang="ru-RU" sz="1100" u="sng">
            <a:solidFill>
              <a:schemeClr val="tx2">
                <a:lumMod val="60000"/>
                <a:lumOff val="40000"/>
              </a:scheme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opLeftCell="G1" workbookViewId="0">
      <selection activeCell="O12" sqref="O12"/>
    </sheetView>
  </sheetViews>
  <sheetFormatPr defaultColWidth="9.140625" defaultRowHeight="12.75"/>
  <cols>
    <col min="1" max="1" width="22.5703125" style="10" bestFit="1" customWidth="1"/>
    <col min="2" max="2" width="6.85546875" style="10" bestFit="1" customWidth="1"/>
    <col min="3" max="3" width="8.140625" style="10" bestFit="1" customWidth="1"/>
    <col min="4" max="4" width="10.7109375" style="10" bestFit="1" customWidth="1"/>
    <col min="5" max="5" width="4.85546875" style="10" bestFit="1" customWidth="1"/>
    <col min="6" max="6" width="14.28515625" style="10" bestFit="1" customWidth="1"/>
    <col min="7" max="7" width="5.42578125" style="10" bestFit="1" customWidth="1"/>
    <col min="8" max="8" width="13.7109375" style="10" bestFit="1" customWidth="1"/>
    <col min="9" max="9" width="8.85546875" style="10" bestFit="1" customWidth="1"/>
    <col min="10" max="11" width="8.140625" style="10" bestFit="1" customWidth="1"/>
    <col min="12" max="12" width="6.28515625" style="10" bestFit="1" customWidth="1"/>
    <col min="13" max="13" width="6" style="10" bestFit="1" customWidth="1"/>
    <col min="14" max="14" width="9.85546875" style="10" bestFit="1" customWidth="1"/>
    <col min="15" max="15" width="14.85546875" style="10" bestFit="1" customWidth="1"/>
    <col min="16" max="16" width="13.85546875" style="10" bestFit="1" customWidth="1"/>
    <col min="17" max="17" width="15.85546875" style="10" bestFit="1" customWidth="1"/>
    <col min="18" max="18" width="11.85546875" style="10" bestFit="1" customWidth="1"/>
    <col min="19" max="16384" width="9.140625" style="10"/>
  </cols>
  <sheetData>
    <row r="1" spans="1:32" ht="15">
      <c r="A1" s="10" t="s">
        <v>36</v>
      </c>
      <c r="B1" s="10" t="s">
        <v>37</v>
      </c>
      <c r="C1" s="10" t="s">
        <v>38</v>
      </c>
      <c r="D1" s="10" t="s">
        <v>39</v>
      </c>
      <c r="E1" s="10" t="s">
        <v>40</v>
      </c>
      <c r="F1" s="10" t="s">
        <v>41</v>
      </c>
      <c r="G1" s="10" t="s">
        <v>42</v>
      </c>
      <c r="H1" s="10" t="s">
        <v>43</v>
      </c>
      <c r="I1" s="10" t="s">
        <v>44</v>
      </c>
      <c r="J1" s="10" t="s">
        <v>45</v>
      </c>
      <c r="K1" s="10" t="s">
        <v>46</v>
      </c>
      <c r="L1" s="10" t="s">
        <v>47</v>
      </c>
      <c r="M1" s="10" t="s">
        <v>48</v>
      </c>
      <c r="N1" s="10" t="s">
        <v>49</v>
      </c>
      <c r="O1" s="10" t="s">
        <v>50</v>
      </c>
      <c r="P1" s="10" t="s">
        <v>51</v>
      </c>
      <c r="Q1" s="10" t="s">
        <v>52</v>
      </c>
      <c r="R1" s="10" t="s">
        <v>53</v>
      </c>
      <c r="X1" s="75" t="s">
        <v>36</v>
      </c>
      <c r="Y1" s="75" t="s">
        <v>37</v>
      </c>
      <c r="Z1" s="75" t="s">
        <v>38</v>
      </c>
      <c r="AA1" s="75" t="s">
        <v>39</v>
      </c>
      <c r="AB1" s="75" t="s">
        <v>40</v>
      </c>
      <c r="AC1" s="75" t="s">
        <v>41</v>
      </c>
      <c r="AD1" s="75" t="s">
        <v>50</v>
      </c>
      <c r="AE1" s="75" t="s">
        <v>51</v>
      </c>
      <c r="AF1" s="75" t="s">
        <v>290</v>
      </c>
    </row>
    <row r="2" spans="1:32" ht="15">
      <c r="A2" s="10" t="s">
        <v>93</v>
      </c>
      <c r="B2" s="10">
        <v>3.25</v>
      </c>
      <c r="C2" s="12" t="s">
        <v>131</v>
      </c>
      <c r="D2" s="11">
        <v>500000</v>
      </c>
      <c r="E2" s="10" t="s">
        <v>54</v>
      </c>
      <c r="F2" s="10" t="s">
        <v>63</v>
      </c>
      <c r="G2" s="10" t="s">
        <v>90</v>
      </c>
      <c r="H2" s="10" t="s">
        <v>56</v>
      </c>
      <c r="I2" s="10" t="s">
        <v>57</v>
      </c>
      <c r="M2" s="10" t="s">
        <v>88</v>
      </c>
      <c r="N2" s="12" t="s">
        <v>102</v>
      </c>
      <c r="O2" s="11">
        <v>0</v>
      </c>
      <c r="P2" s="11">
        <v>8125</v>
      </c>
      <c r="Q2" s="10" t="s">
        <v>58</v>
      </c>
      <c r="R2" s="10" t="s">
        <v>130</v>
      </c>
      <c r="T2" s="11">
        <f>O2*B2/100*1000</f>
        <v>0</v>
      </c>
      <c r="X2" t="s">
        <v>93</v>
      </c>
      <c r="Y2">
        <v>3.25</v>
      </c>
      <c r="Z2" t="s">
        <v>291</v>
      </c>
      <c r="AA2">
        <v>500000</v>
      </c>
      <c r="AB2" t="s">
        <v>54</v>
      </c>
      <c r="AC2" t="s">
        <v>63</v>
      </c>
      <c r="AD2">
        <v>500000</v>
      </c>
      <c r="AE2">
        <v>8125</v>
      </c>
      <c r="AF2" t="s">
        <v>292</v>
      </c>
    </row>
    <row r="3" spans="1:32" ht="15">
      <c r="A3" s="10" t="s">
        <v>93</v>
      </c>
      <c r="B3" s="10">
        <v>6.25</v>
      </c>
      <c r="C3" s="12" t="s">
        <v>129</v>
      </c>
      <c r="D3" s="11">
        <v>344165</v>
      </c>
      <c r="E3" s="10" t="s">
        <v>62</v>
      </c>
      <c r="F3" s="10" t="s">
        <v>55</v>
      </c>
      <c r="G3" s="10" t="s">
        <v>90</v>
      </c>
      <c r="H3" s="10" t="s">
        <v>56</v>
      </c>
      <c r="I3" s="10" t="s">
        <v>57</v>
      </c>
      <c r="M3" s="10" t="s">
        <v>88</v>
      </c>
      <c r="N3" s="12" t="s">
        <v>128</v>
      </c>
      <c r="O3" s="11">
        <v>344.16500000000002</v>
      </c>
      <c r="P3" s="11">
        <v>10755</v>
      </c>
      <c r="Q3" s="10" t="s">
        <v>58</v>
      </c>
      <c r="R3" s="10" t="s">
        <v>127</v>
      </c>
      <c r="T3" s="11">
        <f t="shared" ref="T3:T16" si="0">O3*B3/100*1000</f>
        <v>21510.3125</v>
      </c>
      <c r="X3" t="s">
        <v>93</v>
      </c>
      <c r="Y3">
        <v>6.25</v>
      </c>
      <c r="Z3" t="s">
        <v>293</v>
      </c>
      <c r="AA3">
        <v>302108</v>
      </c>
      <c r="AB3" t="s">
        <v>62</v>
      </c>
      <c r="AC3" t="s">
        <v>294</v>
      </c>
      <c r="AD3">
        <v>302108</v>
      </c>
      <c r="AE3">
        <v>9440.875</v>
      </c>
      <c r="AF3" t="s">
        <v>295</v>
      </c>
    </row>
    <row r="4" spans="1:32" ht="15">
      <c r="A4" s="10" t="s">
        <v>93</v>
      </c>
      <c r="B4" s="10">
        <v>6.5</v>
      </c>
      <c r="C4" s="12" t="s">
        <v>126</v>
      </c>
      <c r="D4" s="11">
        <v>660386</v>
      </c>
      <c r="E4" s="10" t="s">
        <v>54</v>
      </c>
      <c r="F4" s="10" t="s">
        <v>55</v>
      </c>
      <c r="G4" s="10" t="s">
        <v>90</v>
      </c>
      <c r="H4" s="10" t="s">
        <v>56</v>
      </c>
      <c r="I4" s="10" t="s">
        <v>57</v>
      </c>
      <c r="M4" s="10" t="s">
        <v>88</v>
      </c>
      <c r="N4" s="12" t="s">
        <v>125</v>
      </c>
      <c r="O4" s="11">
        <v>315</v>
      </c>
      <c r="P4" s="11">
        <v>21463</v>
      </c>
      <c r="Q4" s="10" t="s">
        <v>58</v>
      </c>
      <c r="R4" s="10" t="s">
        <v>124</v>
      </c>
      <c r="T4" s="11">
        <f t="shared" si="0"/>
        <v>20475</v>
      </c>
      <c r="X4" t="s">
        <v>93</v>
      </c>
      <c r="Y4">
        <v>6.5</v>
      </c>
      <c r="Z4" t="s">
        <v>296</v>
      </c>
      <c r="AA4">
        <v>453069</v>
      </c>
      <c r="AB4" t="s">
        <v>54</v>
      </c>
      <c r="AC4" t="s">
        <v>294</v>
      </c>
      <c r="AD4">
        <v>453069</v>
      </c>
      <c r="AE4">
        <v>14724.7425</v>
      </c>
      <c r="AF4" t="s">
        <v>297</v>
      </c>
    </row>
    <row r="5" spans="1:32" ht="15">
      <c r="A5" s="10" t="s">
        <v>93</v>
      </c>
      <c r="B5" s="10">
        <v>7.25</v>
      </c>
      <c r="C5" s="12" t="s">
        <v>89</v>
      </c>
      <c r="D5" s="11">
        <v>668584</v>
      </c>
      <c r="E5" s="10" t="s">
        <v>54</v>
      </c>
      <c r="F5" s="10" t="s">
        <v>55</v>
      </c>
      <c r="G5" s="10" t="s">
        <v>90</v>
      </c>
      <c r="H5" s="10" t="s">
        <v>56</v>
      </c>
      <c r="I5" s="10" t="s">
        <v>57</v>
      </c>
      <c r="M5" s="10" t="s">
        <v>88</v>
      </c>
      <c r="N5" s="12" t="s">
        <v>87</v>
      </c>
      <c r="O5" s="11">
        <f>538-6.5</f>
        <v>531.5</v>
      </c>
      <c r="P5" s="11">
        <v>24236</v>
      </c>
      <c r="Q5" s="10" t="s">
        <v>58</v>
      </c>
      <c r="R5" s="10" t="s">
        <v>123</v>
      </c>
      <c r="T5" s="11">
        <f t="shared" si="0"/>
        <v>38533.75</v>
      </c>
      <c r="X5" t="s">
        <v>93</v>
      </c>
      <c r="Y5">
        <v>7.25</v>
      </c>
      <c r="Z5" t="s">
        <v>298</v>
      </c>
      <c r="AA5">
        <v>537633</v>
      </c>
      <c r="AB5" t="s">
        <v>54</v>
      </c>
      <c r="AC5" t="s">
        <v>294</v>
      </c>
      <c r="AD5">
        <v>537633</v>
      </c>
      <c r="AE5">
        <v>19489.196250000001</v>
      </c>
      <c r="AF5" t="s">
        <v>299</v>
      </c>
    </row>
    <row r="6" spans="1:32" ht="15">
      <c r="A6" s="10" t="s">
        <v>93</v>
      </c>
      <c r="B6" s="10" t="s">
        <v>59</v>
      </c>
      <c r="C6" s="12" t="s">
        <v>122</v>
      </c>
      <c r="D6" s="11">
        <v>1500000</v>
      </c>
      <c r="E6" s="10" t="s">
        <v>54</v>
      </c>
      <c r="F6" s="10" t="s">
        <v>63</v>
      </c>
      <c r="G6" s="10" t="s">
        <v>90</v>
      </c>
      <c r="H6" s="10" t="s">
        <v>60</v>
      </c>
      <c r="I6" s="10" t="s">
        <v>59</v>
      </c>
      <c r="J6" s="12" t="s">
        <v>121</v>
      </c>
      <c r="M6" s="10" t="s">
        <v>88</v>
      </c>
      <c r="N6" s="12" t="s">
        <v>105</v>
      </c>
      <c r="O6" s="11">
        <f>1039-76.3</f>
        <v>962.7</v>
      </c>
      <c r="P6" s="11">
        <v>13198</v>
      </c>
      <c r="Q6" s="10" t="s">
        <v>58</v>
      </c>
      <c r="R6" s="10" t="s">
        <v>120</v>
      </c>
      <c r="T6" s="11">
        <f>O6*3.5/100*1000</f>
        <v>33694.500000000007</v>
      </c>
      <c r="X6" t="s">
        <v>93</v>
      </c>
      <c r="Y6" t="s">
        <v>300</v>
      </c>
      <c r="Z6" t="s">
        <v>301</v>
      </c>
      <c r="AA6">
        <v>1104251</v>
      </c>
      <c r="AB6" t="s">
        <v>54</v>
      </c>
      <c r="AC6" t="s">
        <v>63</v>
      </c>
      <c r="AD6">
        <v>1104251</v>
      </c>
      <c r="AE6">
        <v>10687.217241</v>
      </c>
      <c r="AF6" t="s">
        <v>302</v>
      </c>
    </row>
    <row r="7" spans="1:32" ht="15">
      <c r="A7" s="10" t="s">
        <v>93</v>
      </c>
      <c r="B7" s="10">
        <v>6.625</v>
      </c>
      <c r="C7" s="12" t="s">
        <v>119</v>
      </c>
      <c r="D7" s="11">
        <v>1300000</v>
      </c>
      <c r="E7" s="10" t="s">
        <v>54</v>
      </c>
      <c r="F7" s="10" t="s">
        <v>55</v>
      </c>
      <c r="G7" s="10" t="s">
        <v>90</v>
      </c>
      <c r="H7" s="10" t="s">
        <v>56</v>
      </c>
      <c r="I7" s="10" t="s">
        <v>57</v>
      </c>
      <c r="M7" s="10" t="s">
        <v>88</v>
      </c>
      <c r="N7" s="12" t="s">
        <v>118</v>
      </c>
      <c r="O7" s="11">
        <v>822</v>
      </c>
      <c r="P7" s="11">
        <v>43063</v>
      </c>
      <c r="Q7" s="10" t="s">
        <v>58</v>
      </c>
      <c r="R7" s="10" t="s">
        <v>117</v>
      </c>
      <c r="T7" s="11">
        <f t="shared" si="0"/>
        <v>54457.5</v>
      </c>
      <c r="X7" t="s">
        <v>93</v>
      </c>
      <c r="Y7">
        <v>6.625</v>
      </c>
      <c r="Z7" t="s">
        <v>303</v>
      </c>
      <c r="AA7">
        <v>822087</v>
      </c>
      <c r="AB7" t="s">
        <v>54</v>
      </c>
      <c r="AC7" t="s">
        <v>294</v>
      </c>
      <c r="AD7">
        <v>822087</v>
      </c>
      <c r="AE7">
        <v>27231.631874999999</v>
      </c>
      <c r="AF7" t="s">
        <v>304</v>
      </c>
    </row>
    <row r="8" spans="1:32" ht="15">
      <c r="A8" s="10" t="s">
        <v>93</v>
      </c>
      <c r="B8" s="10">
        <v>6.875</v>
      </c>
      <c r="C8" s="12" t="s">
        <v>116</v>
      </c>
      <c r="D8" s="11">
        <v>498995</v>
      </c>
      <c r="E8" s="10" t="s">
        <v>54</v>
      </c>
      <c r="F8" s="10" t="s">
        <v>55</v>
      </c>
      <c r="G8" s="10" t="s">
        <v>90</v>
      </c>
      <c r="H8" s="10" t="s">
        <v>56</v>
      </c>
      <c r="I8" s="10" t="s">
        <v>57</v>
      </c>
      <c r="M8" s="10" t="s">
        <v>88</v>
      </c>
      <c r="N8" s="12" t="s">
        <v>115</v>
      </c>
      <c r="O8" s="11">
        <v>304</v>
      </c>
      <c r="P8" s="11">
        <v>17153</v>
      </c>
      <c r="Q8" s="10" t="s">
        <v>58</v>
      </c>
      <c r="R8" s="10" t="s">
        <v>114</v>
      </c>
      <c r="T8" s="11">
        <f t="shared" si="0"/>
        <v>20900</v>
      </c>
      <c r="X8" t="s">
        <v>93</v>
      </c>
      <c r="Y8">
        <v>6.875</v>
      </c>
      <c r="Z8" t="s">
        <v>305</v>
      </c>
      <c r="AA8">
        <v>1005</v>
      </c>
      <c r="AB8" t="s">
        <v>54</v>
      </c>
      <c r="AC8" t="s">
        <v>294</v>
      </c>
      <c r="AD8">
        <v>1005</v>
      </c>
      <c r="AE8">
        <v>34.546875</v>
      </c>
      <c r="AF8" t="s">
        <v>306</v>
      </c>
    </row>
    <row r="9" spans="1:32" ht="15">
      <c r="A9" s="10" t="s">
        <v>93</v>
      </c>
      <c r="B9" s="10">
        <v>6.125</v>
      </c>
      <c r="C9" s="12" t="s">
        <v>113</v>
      </c>
      <c r="D9" s="11">
        <v>1000000</v>
      </c>
      <c r="E9" s="10" t="s">
        <v>54</v>
      </c>
      <c r="F9" s="10" t="s">
        <v>55</v>
      </c>
      <c r="G9" s="10" t="s">
        <v>90</v>
      </c>
      <c r="H9" s="10" t="s">
        <v>56</v>
      </c>
      <c r="I9" s="10" t="s">
        <v>57</v>
      </c>
      <c r="M9" s="10" t="s">
        <v>88</v>
      </c>
      <c r="N9" s="12" t="s">
        <v>112</v>
      </c>
      <c r="O9" s="11">
        <f>589-5</f>
        <v>584</v>
      </c>
      <c r="P9" s="11">
        <v>30625</v>
      </c>
      <c r="Q9" s="10" t="s">
        <v>58</v>
      </c>
      <c r="R9" s="10" t="s">
        <v>111</v>
      </c>
      <c r="T9" s="11">
        <f t="shared" si="0"/>
        <v>35770</v>
      </c>
      <c r="X9" t="s">
        <v>93</v>
      </c>
      <c r="Y9">
        <v>6.875</v>
      </c>
      <c r="Z9" t="s">
        <v>305</v>
      </c>
      <c r="AA9">
        <v>303158</v>
      </c>
      <c r="AB9" t="s">
        <v>54</v>
      </c>
      <c r="AC9" t="s">
        <v>294</v>
      </c>
      <c r="AD9">
        <v>303158</v>
      </c>
      <c r="AE9">
        <v>10421.05625</v>
      </c>
      <c r="AF9" t="s">
        <v>307</v>
      </c>
    </row>
    <row r="10" spans="1:32" ht="15">
      <c r="A10" s="10" t="s">
        <v>93</v>
      </c>
      <c r="B10" s="10">
        <v>5.375</v>
      </c>
      <c r="C10" s="12" t="s">
        <v>110</v>
      </c>
      <c r="D10" s="11">
        <v>700000</v>
      </c>
      <c r="E10" s="10" t="s">
        <v>54</v>
      </c>
      <c r="F10" s="10" t="s">
        <v>63</v>
      </c>
      <c r="G10" s="10" t="s">
        <v>90</v>
      </c>
      <c r="H10" s="10" t="s">
        <v>56</v>
      </c>
      <c r="I10" s="10" t="s">
        <v>57</v>
      </c>
      <c r="J10" s="12" t="s">
        <v>109</v>
      </c>
      <c r="M10" s="10" t="s">
        <v>88</v>
      </c>
      <c r="N10" s="12" t="s">
        <v>102</v>
      </c>
      <c r="O10" s="11">
        <f>286-10</f>
        <v>276</v>
      </c>
      <c r="P10" s="11">
        <v>18813</v>
      </c>
      <c r="Q10" s="10" t="s">
        <v>58</v>
      </c>
      <c r="R10" s="10" t="s">
        <v>108</v>
      </c>
      <c r="T10" s="11">
        <f t="shared" si="0"/>
        <v>14835</v>
      </c>
      <c r="X10" t="s">
        <v>93</v>
      </c>
      <c r="Y10">
        <v>6.125</v>
      </c>
      <c r="Z10" t="s">
        <v>308</v>
      </c>
      <c r="AA10">
        <v>589343</v>
      </c>
      <c r="AB10" t="s">
        <v>54</v>
      </c>
      <c r="AC10" t="s">
        <v>294</v>
      </c>
      <c r="AD10">
        <v>589343</v>
      </c>
      <c r="AE10">
        <v>18048.629375</v>
      </c>
      <c r="AF10" t="s">
        <v>309</v>
      </c>
    </row>
    <row r="11" spans="1:32" ht="15">
      <c r="A11" s="10" t="s">
        <v>93</v>
      </c>
      <c r="B11" s="10">
        <v>4.875</v>
      </c>
      <c r="C11" s="12" t="s">
        <v>107</v>
      </c>
      <c r="D11" s="11">
        <v>1500000</v>
      </c>
      <c r="E11" s="10" t="s">
        <v>54</v>
      </c>
      <c r="F11" s="10" t="s">
        <v>63</v>
      </c>
      <c r="G11" s="10" t="s">
        <v>90</v>
      </c>
      <c r="H11" s="10" t="s">
        <v>56</v>
      </c>
      <c r="I11" s="10" t="s">
        <v>57</v>
      </c>
      <c r="J11" s="12" t="s">
        <v>106</v>
      </c>
      <c r="M11" s="10" t="s">
        <v>88</v>
      </c>
      <c r="N11" s="12" t="s">
        <v>105</v>
      </c>
      <c r="O11" s="11">
        <f>639-20</f>
        <v>619</v>
      </c>
      <c r="P11" s="11">
        <v>36563</v>
      </c>
      <c r="Q11" s="10" t="s">
        <v>58</v>
      </c>
      <c r="R11" s="10" t="s">
        <v>104</v>
      </c>
      <c r="T11" s="11">
        <f t="shared" si="0"/>
        <v>30176.25</v>
      </c>
      <c r="X11" t="s">
        <v>93</v>
      </c>
      <c r="Y11">
        <v>5.375</v>
      </c>
      <c r="Z11" t="s">
        <v>310</v>
      </c>
      <c r="AA11">
        <v>286171</v>
      </c>
      <c r="AB11" t="s">
        <v>54</v>
      </c>
      <c r="AC11" t="s">
        <v>63</v>
      </c>
      <c r="AD11">
        <v>286171</v>
      </c>
      <c r="AE11">
        <v>7690.8456249999999</v>
      </c>
      <c r="AF11" t="s">
        <v>311</v>
      </c>
    </row>
    <row r="12" spans="1:32" ht="15">
      <c r="B12" s="10">
        <v>8</v>
      </c>
      <c r="C12" s="81" t="s">
        <v>325</v>
      </c>
      <c r="D12" s="11">
        <v>2425000</v>
      </c>
      <c r="J12" s="12"/>
      <c r="N12" s="12"/>
      <c r="O12" s="11">
        <v>2425</v>
      </c>
      <c r="P12" s="11"/>
      <c r="T12" s="11">
        <f t="shared" si="0"/>
        <v>194000</v>
      </c>
      <c r="X12"/>
      <c r="Y12"/>
      <c r="Z12"/>
      <c r="AA12"/>
      <c r="AB12"/>
      <c r="AC12"/>
      <c r="AD12"/>
      <c r="AE12"/>
      <c r="AF12"/>
    </row>
    <row r="13" spans="1:32" ht="15">
      <c r="A13" s="10" t="s">
        <v>93</v>
      </c>
      <c r="B13" s="10">
        <v>5.75</v>
      </c>
      <c r="C13" s="12" t="s">
        <v>103</v>
      </c>
      <c r="D13" s="11">
        <v>1100000</v>
      </c>
      <c r="E13" s="10" t="s">
        <v>54</v>
      </c>
      <c r="F13" s="10" t="s">
        <v>55</v>
      </c>
      <c r="G13" s="10" t="s">
        <v>90</v>
      </c>
      <c r="H13" s="10" t="s">
        <v>56</v>
      </c>
      <c r="I13" s="10" t="s">
        <v>57</v>
      </c>
      <c r="M13" s="10" t="s">
        <v>88</v>
      </c>
      <c r="N13" s="12" t="s">
        <v>102</v>
      </c>
      <c r="O13" s="11">
        <v>384</v>
      </c>
      <c r="P13" s="11">
        <v>31625</v>
      </c>
      <c r="Q13" s="10" t="s">
        <v>58</v>
      </c>
      <c r="R13" s="10" t="s">
        <v>101</v>
      </c>
      <c r="T13" s="11">
        <f t="shared" si="0"/>
        <v>22080</v>
      </c>
      <c r="X13" t="s">
        <v>93</v>
      </c>
      <c r="Y13">
        <v>4.875</v>
      </c>
      <c r="Z13" t="s">
        <v>312</v>
      </c>
      <c r="AA13">
        <v>639176</v>
      </c>
      <c r="AB13" t="s">
        <v>54</v>
      </c>
      <c r="AC13" t="s">
        <v>63</v>
      </c>
      <c r="AD13">
        <v>639176</v>
      </c>
      <c r="AE13">
        <v>15579.915000000001</v>
      </c>
      <c r="AF13" t="s">
        <v>313</v>
      </c>
    </row>
    <row r="14" spans="1:32" ht="15">
      <c r="A14" s="10" t="s">
        <v>93</v>
      </c>
      <c r="B14" s="10">
        <v>2.75</v>
      </c>
      <c r="C14" s="12" t="s">
        <v>100</v>
      </c>
      <c r="D14" s="11">
        <v>395801</v>
      </c>
      <c r="E14" s="10" t="s">
        <v>54</v>
      </c>
      <c r="F14" s="12" t="s">
        <v>91</v>
      </c>
      <c r="G14" s="10" t="s">
        <v>90</v>
      </c>
      <c r="H14" s="10" t="s">
        <v>56</v>
      </c>
      <c r="I14" s="10" t="s">
        <v>57</v>
      </c>
      <c r="J14" s="12" t="s">
        <v>99</v>
      </c>
      <c r="K14" s="12" t="s">
        <v>99</v>
      </c>
      <c r="M14" s="10" t="s">
        <v>88</v>
      </c>
      <c r="N14" s="12" t="s">
        <v>98</v>
      </c>
      <c r="O14" s="11">
        <v>2</v>
      </c>
      <c r="P14" s="11">
        <v>5442</v>
      </c>
      <c r="Q14" s="10" t="s">
        <v>58</v>
      </c>
      <c r="R14" s="10" t="s">
        <v>97</v>
      </c>
      <c r="T14" s="11">
        <f t="shared" si="0"/>
        <v>55</v>
      </c>
      <c r="X14" t="s">
        <v>93</v>
      </c>
      <c r="Y14">
        <v>8</v>
      </c>
      <c r="Z14" t="s">
        <v>314</v>
      </c>
      <c r="AA14">
        <v>2425206</v>
      </c>
      <c r="AB14" t="s">
        <v>54</v>
      </c>
      <c r="AC14" t="s">
        <v>63</v>
      </c>
      <c r="AD14">
        <v>2425206</v>
      </c>
      <c r="AE14">
        <v>97008.24</v>
      </c>
      <c r="AF14" t="s">
        <v>315</v>
      </c>
    </row>
    <row r="15" spans="1:32" ht="15">
      <c r="A15" s="10" t="s">
        <v>93</v>
      </c>
      <c r="B15" s="10">
        <v>2.5</v>
      </c>
      <c r="C15" s="12" t="s">
        <v>96</v>
      </c>
      <c r="D15" s="11">
        <v>1167861</v>
      </c>
      <c r="E15" s="10" t="s">
        <v>54</v>
      </c>
      <c r="F15" s="12" t="s">
        <v>91</v>
      </c>
      <c r="G15" s="10" t="s">
        <v>90</v>
      </c>
      <c r="H15" s="10" t="s">
        <v>56</v>
      </c>
      <c r="I15" s="10" t="s">
        <v>57</v>
      </c>
      <c r="J15" s="12" t="s">
        <v>61</v>
      </c>
      <c r="K15" s="12" t="s">
        <v>61</v>
      </c>
      <c r="M15" s="10" t="s">
        <v>88</v>
      </c>
      <c r="N15" s="12" t="s">
        <v>95</v>
      </c>
      <c r="O15" s="11">
        <v>731</v>
      </c>
      <c r="P15" s="11">
        <v>14598</v>
      </c>
      <c r="Q15" s="10" t="s">
        <v>58</v>
      </c>
      <c r="R15" s="10" t="s">
        <v>94</v>
      </c>
      <c r="T15" s="11">
        <f t="shared" si="0"/>
        <v>18275</v>
      </c>
      <c r="X15" t="s">
        <v>93</v>
      </c>
      <c r="Y15">
        <v>5.75</v>
      </c>
      <c r="Z15" t="s">
        <v>316</v>
      </c>
      <c r="AA15">
        <v>384387</v>
      </c>
      <c r="AB15" t="s">
        <v>54</v>
      </c>
      <c r="AC15" t="s">
        <v>294</v>
      </c>
      <c r="AD15">
        <v>384387</v>
      </c>
      <c r="AE15">
        <v>11051.126249999999</v>
      </c>
      <c r="AF15" t="s">
        <v>317</v>
      </c>
    </row>
    <row r="16" spans="1:32" ht="15">
      <c r="A16" s="10" t="s">
        <v>93</v>
      </c>
      <c r="B16" s="10">
        <v>2.25</v>
      </c>
      <c r="C16" s="12" t="s">
        <v>92</v>
      </c>
      <c r="D16" s="11">
        <v>346612</v>
      </c>
      <c r="E16" s="10" t="s">
        <v>54</v>
      </c>
      <c r="F16" s="12" t="s">
        <v>91</v>
      </c>
      <c r="G16" s="10" t="s">
        <v>90</v>
      </c>
      <c r="H16" s="10" t="s">
        <v>56</v>
      </c>
      <c r="I16" s="10" t="s">
        <v>57</v>
      </c>
      <c r="J16" s="12" t="s">
        <v>89</v>
      </c>
      <c r="K16" s="12" t="s">
        <v>89</v>
      </c>
      <c r="M16" s="10" t="s">
        <v>88</v>
      </c>
      <c r="N16" s="12" t="s">
        <v>87</v>
      </c>
      <c r="O16" s="11">
        <f>323-7.5</f>
        <v>315.5</v>
      </c>
      <c r="P16" s="11">
        <v>3899</v>
      </c>
      <c r="Q16" s="10" t="s">
        <v>58</v>
      </c>
      <c r="R16" s="10" t="s">
        <v>86</v>
      </c>
      <c r="T16" s="11">
        <f t="shared" si="0"/>
        <v>7098.75</v>
      </c>
      <c r="X16" t="s">
        <v>93</v>
      </c>
      <c r="Y16">
        <v>2.75</v>
      </c>
      <c r="Z16" t="s">
        <v>318</v>
      </c>
      <c r="AA16">
        <v>2044</v>
      </c>
      <c r="AB16" t="s">
        <v>54</v>
      </c>
      <c r="AC16" t="s">
        <v>319</v>
      </c>
      <c r="AD16">
        <v>2044</v>
      </c>
      <c r="AE16">
        <v>28.105</v>
      </c>
      <c r="AF16" t="s">
        <v>320</v>
      </c>
    </row>
    <row r="17" spans="16:32" ht="15">
      <c r="T17" s="11">
        <f>AD18*Y18/100</f>
        <v>7652.52</v>
      </c>
      <c r="X17" t="s">
        <v>93</v>
      </c>
      <c r="Y17">
        <v>2.5</v>
      </c>
      <c r="Z17" t="s">
        <v>321</v>
      </c>
      <c r="AA17">
        <v>1109861</v>
      </c>
      <c r="AB17" t="s">
        <v>54</v>
      </c>
      <c r="AC17" t="s">
        <v>319</v>
      </c>
      <c r="AD17">
        <v>1109861</v>
      </c>
      <c r="AE17">
        <v>13873.262500000001</v>
      </c>
      <c r="AF17" t="s">
        <v>322</v>
      </c>
    </row>
    <row r="18" spans="16:32" ht="15">
      <c r="X18" t="s">
        <v>93</v>
      </c>
      <c r="Y18">
        <v>2.25</v>
      </c>
      <c r="Z18" t="s">
        <v>323</v>
      </c>
      <c r="AA18">
        <v>340112</v>
      </c>
      <c r="AB18" t="s">
        <v>54</v>
      </c>
      <c r="AC18" t="s">
        <v>319</v>
      </c>
      <c r="AD18">
        <v>340112</v>
      </c>
      <c r="AE18">
        <v>3826.26</v>
      </c>
      <c r="AF18" t="s">
        <v>324</v>
      </c>
    </row>
    <row r="20" spans="16:32">
      <c r="P20" s="11">
        <f>SUM(P2:P16)</f>
        <v>279558</v>
      </c>
      <c r="T20" s="11">
        <f>SUM(T2:T16)</f>
        <v>511861.0625</v>
      </c>
    </row>
  </sheetData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F9:K21"/>
  <sheetViews>
    <sheetView workbookViewId="0">
      <selection activeCell="F9" sqref="F9:K19"/>
    </sheetView>
  </sheetViews>
  <sheetFormatPr defaultRowHeight="15"/>
  <cols>
    <col min="6" max="6" width="22.42578125" customWidth="1"/>
    <col min="7" max="7" width="10.28515625" customWidth="1"/>
    <col min="8" max="8" width="14.140625" customWidth="1"/>
    <col min="9" max="9" width="12.5703125" bestFit="1" customWidth="1"/>
    <col min="10" max="10" width="16.85546875" hidden="1" customWidth="1"/>
    <col min="11" max="11" width="13.140625" bestFit="1" customWidth="1"/>
  </cols>
  <sheetData>
    <row r="9" spans="6:11" ht="15.75" thickBot="1">
      <c r="F9" s="50"/>
      <c r="G9" s="60" t="s">
        <v>268</v>
      </c>
      <c r="H9" s="61" t="s">
        <v>271</v>
      </c>
      <c r="I9" s="60" t="s">
        <v>269</v>
      </c>
      <c r="J9" s="61" t="s">
        <v>277</v>
      </c>
      <c r="K9" s="76" t="s">
        <v>270</v>
      </c>
    </row>
    <row r="10" spans="6:11">
      <c r="F10" s="36" t="s">
        <v>326</v>
      </c>
      <c r="G10" s="55">
        <v>3.75</v>
      </c>
      <c r="H10" s="57">
        <v>3.75</v>
      </c>
      <c r="I10" s="55">
        <v>3</v>
      </c>
      <c r="J10" s="59">
        <v>3</v>
      </c>
      <c r="K10" s="77">
        <v>5</v>
      </c>
    </row>
    <row r="11" spans="6:11">
      <c r="F11" s="45" t="s">
        <v>327</v>
      </c>
      <c r="G11" s="56">
        <v>50</v>
      </c>
      <c r="H11" s="58">
        <v>65</v>
      </c>
      <c r="I11" s="56">
        <v>50</v>
      </c>
      <c r="J11" s="58">
        <v>50</v>
      </c>
      <c r="K11" s="78">
        <v>50</v>
      </c>
    </row>
    <row r="12" spans="6:11">
      <c r="F12" s="52" t="s">
        <v>273</v>
      </c>
      <c r="G12" s="85">
        <v>0.04</v>
      </c>
      <c r="H12" s="86"/>
      <c r="I12" s="86"/>
      <c r="J12" s="86"/>
      <c r="K12" s="86"/>
    </row>
    <row r="13" spans="6:11">
      <c r="F13" s="52" t="s">
        <v>276</v>
      </c>
      <c r="G13" s="85">
        <f>Лист1!F80</f>
        <v>0.08</v>
      </c>
      <c r="H13" s="86"/>
      <c r="I13" s="86"/>
      <c r="J13" s="86"/>
      <c r="K13" s="86"/>
    </row>
    <row r="14" spans="6:11">
      <c r="F14" s="51" t="s">
        <v>281</v>
      </c>
      <c r="G14" s="53">
        <v>1842.7878189924936</v>
      </c>
      <c r="H14" s="53">
        <v>2124.4880100767346</v>
      </c>
      <c r="I14" s="53">
        <v>1378.1439721383599</v>
      </c>
      <c r="J14" s="53">
        <f>Лист1!$F81</f>
        <v>2124.4880100767346</v>
      </c>
      <c r="K14" s="53">
        <v>2465.2152452354894</v>
      </c>
    </row>
    <row r="15" spans="6:11">
      <c r="F15" s="51" t="s">
        <v>282</v>
      </c>
      <c r="G15" s="53">
        <v>29453.876219972462</v>
      </c>
      <c r="H15" s="53">
        <v>37059.781379246961</v>
      </c>
      <c r="I15" s="53">
        <v>16908.49235491085</v>
      </c>
      <c r="J15" s="53">
        <f>Лист1!$F82</f>
        <v>37059.781379246961</v>
      </c>
      <c r="K15" s="53">
        <v>46259.416728533346</v>
      </c>
    </row>
    <row r="16" spans="6:11">
      <c r="F16" s="52" t="s">
        <v>280</v>
      </c>
      <c r="G16" s="84">
        <f>Лист1!F84</f>
        <v>11574.7</v>
      </c>
      <c r="H16" s="84"/>
      <c r="I16" s="84"/>
      <c r="J16" s="84"/>
      <c r="K16" s="84"/>
    </row>
    <row r="17" spans="6:11">
      <c r="F17" s="51" t="s">
        <v>278</v>
      </c>
      <c r="G17" s="53">
        <f>G14+G15-$G$16</f>
        <v>19721.964038964954</v>
      </c>
      <c r="H17" s="79">
        <f>H14+H15-$G$16</f>
        <v>27609.569389323693</v>
      </c>
      <c r="I17" s="79">
        <f>I14+I15-$G$16</f>
        <v>6711.9363270492104</v>
      </c>
      <c r="J17" s="53">
        <f>J14+J15-$G$16</f>
        <v>27609.569389323693</v>
      </c>
      <c r="K17" s="79">
        <f>K14+K15-$G$16</f>
        <v>37149.931973768835</v>
      </c>
    </row>
    <row r="18" spans="6:11">
      <c r="F18" s="52" t="s">
        <v>279</v>
      </c>
      <c r="G18" s="83">
        <f>Лист1!F86</f>
        <v>922.03345300000001</v>
      </c>
      <c r="H18" s="83"/>
      <c r="I18" s="83"/>
      <c r="J18" s="83"/>
      <c r="K18" s="83"/>
    </row>
    <row r="19" spans="6:11">
      <c r="F19" s="54" t="s">
        <v>274</v>
      </c>
      <c r="G19" s="67">
        <f>G17/$G$18</f>
        <v>21.389640446120509</v>
      </c>
      <c r="H19" s="68">
        <f t="shared" ref="H19:K19" si="0">H17/$G$18</f>
        <v>29.944216556884182</v>
      </c>
      <c r="I19" s="65">
        <f t="shared" si="0"/>
        <v>7.2794932821696765</v>
      </c>
      <c r="J19" s="66">
        <f t="shared" si="0"/>
        <v>29.944216556884182</v>
      </c>
      <c r="K19" s="80">
        <f t="shared" si="0"/>
        <v>40.291305974739764</v>
      </c>
    </row>
    <row r="20" spans="6:11" ht="11.25" customHeight="1">
      <c r="F20" s="63" t="s">
        <v>272</v>
      </c>
      <c r="G20" s="64">
        <v>0.6</v>
      </c>
      <c r="H20" s="64">
        <v>0.25</v>
      </c>
      <c r="I20" s="64">
        <v>0.05</v>
      </c>
      <c r="J20" s="64">
        <v>0.05</v>
      </c>
      <c r="K20" s="64">
        <f>1-SUM(G20:J20)</f>
        <v>4.9999999999999933E-2</v>
      </c>
    </row>
    <row r="21" spans="6:11">
      <c r="F21" s="62" t="s">
        <v>275</v>
      </c>
      <c r="G21" s="82">
        <f>G19*G20+H19*H20+I19*I20+J19*J20+K19*K20</f>
        <v>24.195589197583029</v>
      </c>
      <c r="H21" s="82"/>
      <c r="I21" s="82"/>
      <c r="J21" s="82"/>
      <c r="K21" s="82"/>
    </row>
  </sheetData>
  <mergeCells count="5">
    <mergeCell ref="G21:K21"/>
    <mergeCell ref="G18:K18"/>
    <mergeCell ref="G16:K16"/>
    <mergeCell ref="G12:K12"/>
    <mergeCell ref="G13:K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C3:K15"/>
  <sheetViews>
    <sheetView workbookViewId="0">
      <selection activeCell="E22" sqref="E22"/>
    </sheetView>
  </sheetViews>
  <sheetFormatPr defaultRowHeight="15"/>
  <cols>
    <col min="3" max="3" width="16.85546875" bestFit="1" customWidth="1"/>
    <col min="4" max="4" width="16.85546875" customWidth="1"/>
    <col min="5" max="5" width="11.28515625" bestFit="1" customWidth="1"/>
    <col min="11" max="11" width="9.7109375" bestFit="1" customWidth="1"/>
  </cols>
  <sheetData>
    <row r="3" spans="3:11">
      <c r="C3" s="69" t="s">
        <v>286</v>
      </c>
      <c r="D3" s="74">
        <f>Лист1!N52</f>
        <v>4.3422000000000001</v>
      </c>
      <c r="E3" s="74">
        <f>Лист1!O52</f>
        <v>2.8</v>
      </c>
      <c r="F3" s="74">
        <f>Лист1!P52</f>
        <v>2.5</v>
      </c>
      <c r="G3" s="74">
        <f>Лист1!Q52</f>
        <v>3</v>
      </c>
      <c r="H3" s="74">
        <f>Лист1!R52</f>
        <v>3</v>
      </c>
      <c r="I3" s="74">
        <f>Лист1!S52</f>
        <v>3</v>
      </c>
      <c r="J3" s="74">
        <f>Лист1!T52</f>
        <v>3.75</v>
      </c>
    </row>
    <row r="4" spans="3:11">
      <c r="C4" s="69" t="s">
        <v>287</v>
      </c>
      <c r="D4" s="70">
        <f>Лист1!N51</f>
        <v>99</v>
      </c>
      <c r="E4" s="70">
        <f>Лист1!O51</f>
        <v>45</v>
      </c>
      <c r="F4" s="70">
        <f>Лист1!P51</f>
        <v>45</v>
      </c>
      <c r="G4" s="70">
        <f>Лист1!Q51</f>
        <v>50</v>
      </c>
      <c r="H4" s="70">
        <f>Лист1!R51</f>
        <v>50</v>
      </c>
      <c r="I4" s="70">
        <f>Лист1!S51</f>
        <v>50</v>
      </c>
      <c r="J4" s="70">
        <f>Лист1!T51</f>
        <v>65</v>
      </c>
    </row>
    <row r="5" spans="3:11">
      <c r="C5" s="69" t="s">
        <v>288</v>
      </c>
      <c r="D5" s="70">
        <f>Лист1!N53</f>
        <v>26.879000000000001</v>
      </c>
      <c r="E5" s="70">
        <f>Лист1!O53</f>
        <v>18</v>
      </c>
      <c r="F5" s="70">
        <f>Лист1!P53</f>
        <v>15.5625</v>
      </c>
      <c r="G5" s="70">
        <f>Лист1!Q53</f>
        <v>18.675000000000001</v>
      </c>
      <c r="H5" s="70">
        <f>Лист1!R53</f>
        <v>18.675000000000001</v>
      </c>
      <c r="I5" s="70">
        <f>Лист1!S53</f>
        <v>18.675000000000001</v>
      </c>
      <c r="J5" s="70">
        <f>Лист1!T53</f>
        <v>23.343749999999996</v>
      </c>
    </row>
    <row r="6" spans="3:11">
      <c r="C6" s="69"/>
      <c r="D6" s="71">
        <v>2014</v>
      </c>
      <c r="E6" s="71">
        <v>2015</v>
      </c>
      <c r="F6" s="71">
        <f>E6+1</f>
        <v>2016</v>
      </c>
      <c r="G6" s="71">
        <f t="shared" ref="G6:J6" si="0">F6+1</f>
        <v>2017</v>
      </c>
      <c r="H6" s="71">
        <f t="shared" si="0"/>
        <v>2018</v>
      </c>
      <c r="I6" s="71">
        <f t="shared" si="0"/>
        <v>2019</v>
      </c>
      <c r="J6" s="71">
        <f t="shared" si="0"/>
        <v>2020</v>
      </c>
    </row>
    <row r="7" spans="3:11">
      <c r="C7" s="69" t="s">
        <v>26</v>
      </c>
      <c r="D7" s="70">
        <f>Лист1!N18</f>
        <v>4634</v>
      </c>
      <c r="E7" s="70">
        <f>Лист1!O18</f>
        <v>1347.9047526142567</v>
      </c>
      <c r="F7" s="70">
        <f>Лист1!P18</f>
        <v>970.75640269255518</v>
      </c>
      <c r="G7" s="70">
        <f>Лист1!Q18</f>
        <v>1823.0197630977541</v>
      </c>
      <c r="H7" s="70">
        <f>Лист1!R18</f>
        <v>2317.4847164702878</v>
      </c>
      <c r="I7" s="70">
        <f>Лист1!S18</f>
        <v>2610.0547955154325</v>
      </c>
      <c r="J7" s="70">
        <f>Лист1!T18</f>
        <v>4016.7769370591636</v>
      </c>
    </row>
    <row r="8" spans="3:11">
      <c r="C8" s="69" t="s">
        <v>25</v>
      </c>
      <c r="D8" s="70">
        <f>Лист1!N17</f>
        <v>-6618</v>
      </c>
      <c r="E8" s="70">
        <f>Лист1!O17</f>
        <v>-3725</v>
      </c>
      <c r="F8" s="70">
        <f>Лист1!P17</f>
        <v>-1300</v>
      </c>
      <c r="G8" s="70">
        <f>Лист1!Q17</f>
        <v>-1500</v>
      </c>
      <c r="H8" s="70">
        <f>Лист1!R17</f>
        <v>-1900</v>
      </c>
      <c r="I8" s="70">
        <f>Лист1!S17</f>
        <v>-2000</v>
      </c>
      <c r="J8" s="70">
        <f>Лист1!T17</f>
        <v>-2000</v>
      </c>
    </row>
    <row r="9" spans="3:11">
      <c r="C9" s="72" t="s">
        <v>30</v>
      </c>
      <c r="D9" s="73">
        <f>Лист1!N30</f>
        <v>-1984.0000000000002</v>
      </c>
      <c r="E9" s="73">
        <f>Лист1!O30</f>
        <v>-2377.0952473857433</v>
      </c>
      <c r="F9" s="73">
        <f>Лист1!P30</f>
        <v>-329.24359730744482</v>
      </c>
      <c r="G9" s="73">
        <f>Лист1!Q30</f>
        <v>323.01976309775409</v>
      </c>
      <c r="H9" s="73">
        <f>Лист1!R30</f>
        <v>417.48471647028782</v>
      </c>
      <c r="I9" s="73">
        <f>Лист1!S30</f>
        <v>610.05479551543249</v>
      </c>
      <c r="J9" s="73">
        <f>Лист1!T30</f>
        <v>2016.7769370591636</v>
      </c>
    </row>
    <row r="10" spans="3:11">
      <c r="C10" t="s">
        <v>283</v>
      </c>
      <c r="D10" s="2">
        <f>Лист1!N32</f>
        <v>0</v>
      </c>
      <c r="E10" s="2">
        <f>Лист1!O32</f>
        <v>-175</v>
      </c>
      <c r="F10" s="2">
        <f>Лист1!P32</f>
        <v>0</v>
      </c>
      <c r="G10" s="2">
        <f>Лист1!Q32</f>
        <v>0</v>
      </c>
      <c r="H10" s="2">
        <f>Лист1!R32</f>
        <v>0</v>
      </c>
      <c r="I10" s="2">
        <f>Лист1!S32</f>
        <v>0</v>
      </c>
      <c r="J10" s="2">
        <f>Лист1!T32</f>
        <v>-875</v>
      </c>
    </row>
    <row r="11" spans="3:11">
      <c r="C11" t="s">
        <v>284</v>
      </c>
      <c r="D11" s="2">
        <f>Лист1!N31</f>
        <v>0</v>
      </c>
      <c r="E11" s="2">
        <f>Лист1!O31</f>
        <v>-500</v>
      </c>
      <c r="F11" s="2">
        <f>Лист1!P31</f>
        <v>-490</v>
      </c>
      <c r="G11" s="2">
        <f>Лист1!Q31</f>
        <v>-440</v>
      </c>
      <c r="H11" s="2">
        <f>Лист1!R31</f>
        <v>-430</v>
      </c>
      <c r="I11" s="2">
        <f>Лист1!S31</f>
        <v>-370</v>
      </c>
      <c r="J11" s="2">
        <f>Лист1!T31</f>
        <v>-340</v>
      </c>
    </row>
    <row r="12" spans="3:11">
      <c r="C12" t="s">
        <v>285</v>
      </c>
      <c r="D12" s="2">
        <f>Лист1!N33</f>
        <v>0</v>
      </c>
      <c r="E12" s="2">
        <f>Лист1!O33</f>
        <v>0</v>
      </c>
      <c r="F12" s="2">
        <f>Лист1!P33</f>
        <v>-500</v>
      </c>
      <c r="G12" s="2">
        <f>Лист1!Q33</f>
        <v>-1829</v>
      </c>
      <c r="H12" s="2">
        <f>Лист1!R33</f>
        <v>-878</v>
      </c>
      <c r="I12" s="2">
        <f>Лист1!S33</f>
        <v>-1104</v>
      </c>
      <c r="J12" s="2">
        <f>Лист1!T33</f>
        <v>-1126</v>
      </c>
    </row>
    <row r="13" spans="3:11">
      <c r="C13" t="s">
        <v>289</v>
      </c>
      <c r="D13" s="5">
        <f>SUM(D9:D12)</f>
        <v>-1984.0000000000002</v>
      </c>
      <c r="E13" s="5">
        <f>SUM(E9:E12)</f>
        <v>-3052.0952473857433</v>
      </c>
      <c r="F13" s="5">
        <f t="shared" ref="F13:J13" si="1">SUM(F9:F12)</f>
        <v>-1319.2435973074448</v>
      </c>
      <c r="G13" s="5">
        <f t="shared" si="1"/>
        <v>-1945.9802369022459</v>
      </c>
      <c r="H13" s="5">
        <f t="shared" si="1"/>
        <v>-890.51528352971218</v>
      </c>
      <c r="I13" s="5">
        <f t="shared" si="1"/>
        <v>-863.94520448456751</v>
      </c>
      <c r="J13" s="5">
        <f t="shared" si="1"/>
        <v>-324.22306294083637</v>
      </c>
      <c r="K13" s="5">
        <f>SUM(E13:J13)</f>
        <v>-8396.0026325505496</v>
      </c>
    </row>
    <row r="15" spans="3:11">
      <c r="H15" s="5">
        <f>SUM(E13:H13)</f>
        <v>-7207.8343651251453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"/>
  <sheetViews>
    <sheetView workbookViewId="0">
      <selection activeCell="K12" sqref="K12"/>
    </sheetView>
  </sheetViews>
  <sheetFormatPr defaultColWidth="9.140625" defaultRowHeight="12.75"/>
  <cols>
    <col min="1" max="1" width="22.5703125" style="10" bestFit="1" customWidth="1"/>
    <col min="2" max="2" width="14.5703125" style="10" bestFit="1" customWidth="1"/>
    <col min="3" max="3" width="7.5703125" style="10" bestFit="1" customWidth="1"/>
    <col min="4" max="4" width="11.140625" style="10" bestFit="1" customWidth="1"/>
    <col min="5" max="5" width="8.140625" style="10" bestFit="1" customWidth="1"/>
    <col min="6" max="6" width="11.140625" style="10" bestFit="1" customWidth="1"/>
    <col min="7" max="7" width="10.28515625" style="10" bestFit="1" customWidth="1"/>
    <col min="8" max="8" width="15.28515625" style="10" bestFit="1" customWidth="1"/>
    <col min="9" max="9" width="10.140625" style="10" bestFit="1" customWidth="1"/>
    <col min="10" max="10" width="11.7109375" style="10" bestFit="1" customWidth="1"/>
    <col min="11" max="11" width="9.7109375" style="10" bestFit="1" customWidth="1"/>
    <col min="12" max="12" width="11" style="10" bestFit="1" customWidth="1"/>
    <col min="13" max="13" width="14.42578125" style="10" bestFit="1" customWidth="1"/>
    <col min="14" max="14" width="8.42578125" style="10" bestFit="1" customWidth="1"/>
    <col min="15" max="15" width="7.42578125" style="10" bestFit="1" customWidth="1"/>
    <col min="16" max="16" width="9.85546875" style="10" bestFit="1" customWidth="1"/>
    <col min="17" max="17" width="10.7109375" style="10" bestFit="1" customWidth="1"/>
    <col min="18" max="18" width="14.85546875" style="10" bestFit="1" customWidth="1"/>
    <col min="19" max="19" width="11.85546875" style="10" bestFit="1" customWidth="1"/>
    <col min="20" max="16384" width="9.140625" style="10"/>
  </cols>
  <sheetData>
    <row r="1" spans="1:19">
      <c r="A1" s="10" t="s">
        <v>36</v>
      </c>
      <c r="B1" s="10" t="s">
        <v>52</v>
      </c>
      <c r="C1" s="10" t="s">
        <v>64</v>
      </c>
      <c r="D1" s="10" t="s">
        <v>65</v>
      </c>
      <c r="E1" s="10" t="s">
        <v>38</v>
      </c>
      <c r="F1" s="10" t="s">
        <v>66</v>
      </c>
      <c r="G1" s="10" t="s">
        <v>67</v>
      </c>
      <c r="H1" s="10" t="s">
        <v>68</v>
      </c>
      <c r="I1" s="10" t="s">
        <v>69</v>
      </c>
      <c r="J1" s="10" t="s">
        <v>70</v>
      </c>
      <c r="K1" s="10" t="s">
        <v>71</v>
      </c>
      <c r="L1" s="10" t="s">
        <v>72</v>
      </c>
      <c r="M1" s="10" t="s">
        <v>73</v>
      </c>
      <c r="N1" s="10" t="s">
        <v>74</v>
      </c>
      <c r="O1" s="10" t="s">
        <v>75</v>
      </c>
      <c r="P1" s="10" t="s">
        <v>49</v>
      </c>
      <c r="Q1" s="10" t="s">
        <v>39</v>
      </c>
      <c r="R1" s="10" t="s">
        <v>50</v>
      </c>
      <c r="S1" s="10" t="s">
        <v>53</v>
      </c>
    </row>
    <row r="2" spans="1:19">
      <c r="A2" s="10" t="s">
        <v>93</v>
      </c>
      <c r="B2" s="10" t="s">
        <v>76</v>
      </c>
      <c r="C2" s="10">
        <v>1</v>
      </c>
      <c r="D2" s="11">
        <v>4000000</v>
      </c>
      <c r="E2" s="12" t="s">
        <v>134</v>
      </c>
      <c r="F2" s="10" t="s">
        <v>80</v>
      </c>
      <c r="G2" s="12" t="s">
        <v>133</v>
      </c>
      <c r="H2" s="11">
        <v>4000</v>
      </c>
      <c r="I2" s="10">
        <v>25</v>
      </c>
      <c r="J2" s="10" t="s">
        <v>77</v>
      </c>
      <c r="K2" s="10" t="s">
        <v>78</v>
      </c>
      <c r="L2" s="10" t="s">
        <v>79</v>
      </c>
      <c r="M2" s="10">
        <v>162.5</v>
      </c>
      <c r="N2" s="10" t="s">
        <v>54</v>
      </c>
      <c r="O2" s="10" t="s">
        <v>90</v>
      </c>
      <c r="P2" s="12" t="s">
        <v>133</v>
      </c>
      <c r="Q2" s="10">
        <v>0</v>
      </c>
      <c r="S2" s="10" t="s">
        <v>132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sqref="A1:I36"/>
    </sheetView>
  </sheetViews>
  <sheetFormatPr defaultRowHeight="15"/>
  <sheetData>
    <row r="1" spans="1:9">
      <c r="A1" t="s">
        <v>138</v>
      </c>
    </row>
    <row r="2" spans="1:9" ht="15.75" thickBot="1"/>
    <row r="3" spans="1:9">
      <c r="A3" s="16" t="s">
        <v>139</v>
      </c>
      <c r="B3" s="16"/>
    </row>
    <row r="4" spans="1:9">
      <c r="A4" s="13" t="s">
        <v>140</v>
      </c>
      <c r="B4" s="13">
        <v>0.80941350211090501</v>
      </c>
    </row>
    <row r="5" spans="1:9">
      <c r="A5" s="13" t="s">
        <v>141</v>
      </c>
      <c r="B5" s="13">
        <v>0.65515021739944002</v>
      </c>
    </row>
    <row r="6" spans="1:9">
      <c r="A6" s="13" t="s">
        <v>142</v>
      </c>
      <c r="B6" s="13">
        <v>0.48272532609915997</v>
      </c>
    </row>
    <row r="7" spans="1:9">
      <c r="A7" s="13" t="s">
        <v>143</v>
      </c>
      <c r="B7" s="13">
        <v>0.45721057315050584</v>
      </c>
    </row>
    <row r="8" spans="1:9" ht="15.75" thickBot="1">
      <c r="A8" s="14" t="s">
        <v>144</v>
      </c>
      <c r="B8" s="14">
        <v>10</v>
      </c>
    </row>
    <row r="10" spans="1:9" ht="15.75" thickBot="1">
      <c r="A10" t="s">
        <v>145</v>
      </c>
    </row>
    <row r="11" spans="1:9">
      <c r="A11" s="15"/>
      <c r="B11" s="15" t="s">
        <v>150</v>
      </c>
      <c r="C11" s="15" t="s">
        <v>151</v>
      </c>
      <c r="D11" s="15" t="s">
        <v>152</v>
      </c>
      <c r="E11" s="15" t="s">
        <v>153</v>
      </c>
      <c r="F11" s="15" t="s">
        <v>154</v>
      </c>
    </row>
    <row r="12" spans="1:9">
      <c r="A12" s="13" t="s">
        <v>146</v>
      </c>
      <c r="B12" s="13">
        <v>3</v>
      </c>
      <c r="C12" s="13">
        <v>2.3828390757915479</v>
      </c>
      <c r="D12" s="13">
        <v>0.79427969193051595</v>
      </c>
      <c r="E12" s="13">
        <v>3.7996266806889736</v>
      </c>
      <c r="F12" s="13">
        <v>7.7166105000250368E-2</v>
      </c>
    </row>
    <row r="13" spans="1:9">
      <c r="A13" s="13" t="s">
        <v>147</v>
      </c>
      <c r="B13" s="13">
        <v>6</v>
      </c>
      <c r="C13" s="13">
        <v>1.2542490492036842</v>
      </c>
      <c r="D13" s="13">
        <v>0.20904150820061404</v>
      </c>
      <c r="E13" s="13"/>
      <c r="F13" s="13"/>
    </row>
    <row r="14" spans="1:9" ht="15.75" thickBot="1">
      <c r="A14" s="14" t="s">
        <v>148</v>
      </c>
      <c r="B14" s="14">
        <v>9</v>
      </c>
      <c r="C14" s="14">
        <v>3.6370881249952323</v>
      </c>
      <c r="D14" s="14"/>
      <c r="E14" s="14"/>
      <c r="F14" s="14"/>
    </row>
    <row r="15" spans="1:9" ht="15.75" thickBot="1"/>
    <row r="16" spans="1:9">
      <c r="A16" s="15"/>
      <c r="B16" s="15" t="s">
        <v>155</v>
      </c>
      <c r="C16" s="15" t="s">
        <v>143</v>
      </c>
      <c r="D16" s="15" t="s">
        <v>156</v>
      </c>
      <c r="E16" s="15" t="s">
        <v>157</v>
      </c>
      <c r="F16" s="15" t="s">
        <v>158</v>
      </c>
      <c r="G16" s="15" t="s">
        <v>159</v>
      </c>
      <c r="H16" s="15" t="s">
        <v>160</v>
      </c>
      <c r="I16" s="15" t="s">
        <v>161</v>
      </c>
    </row>
    <row r="17" spans="1:9">
      <c r="A17" s="13" t="s">
        <v>149</v>
      </c>
      <c r="B17" s="13">
        <v>4.5806000678776231</v>
      </c>
      <c r="C17" s="13">
        <v>1.0244288382433981</v>
      </c>
      <c r="D17" s="13">
        <v>4.4713697007320095</v>
      </c>
      <c r="E17" s="13">
        <v>4.2312308890548236E-3</v>
      </c>
      <c r="F17" s="13">
        <v>2.0739130077525822</v>
      </c>
      <c r="G17" s="13">
        <v>7.0872871280026644</v>
      </c>
      <c r="H17" s="13">
        <v>2.0739130077525822</v>
      </c>
      <c r="I17" s="13">
        <v>7.0872871280026644</v>
      </c>
    </row>
    <row r="18" spans="1:9">
      <c r="A18" s="13" t="s">
        <v>162</v>
      </c>
      <c r="B18" s="13">
        <v>2.677598282311127E-2</v>
      </c>
      <c r="C18" s="13">
        <v>9.8139743374264423E-3</v>
      </c>
      <c r="D18" s="13">
        <v>2.7283526431283538</v>
      </c>
      <c r="E18" s="13">
        <v>3.4260816612548824E-2</v>
      </c>
      <c r="F18" s="13">
        <v>2.7620527562761746E-3</v>
      </c>
      <c r="G18" s="13">
        <v>5.0789912889946366E-2</v>
      </c>
      <c r="H18" s="13">
        <v>2.7620527562761746E-3</v>
      </c>
      <c r="I18" s="13">
        <v>5.0789912889946366E-2</v>
      </c>
    </row>
    <row r="19" spans="1:9">
      <c r="A19" s="13" t="s">
        <v>163</v>
      </c>
      <c r="B19" s="13">
        <v>-6.4877212298903156E-2</v>
      </c>
      <c r="C19" s="13">
        <v>8.8029730620736241E-2</v>
      </c>
      <c r="D19" s="13">
        <v>-0.73699205758583464</v>
      </c>
      <c r="E19" s="13">
        <v>0.48893209825902662</v>
      </c>
      <c r="F19" s="13">
        <v>-0.2802782029930605</v>
      </c>
      <c r="G19" s="13">
        <v>0.15052377839525416</v>
      </c>
      <c r="H19" s="13">
        <v>-0.2802782029930605</v>
      </c>
      <c r="I19" s="13">
        <v>0.15052377839525416</v>
      </c>
    </row>
    <row r="20" spans="1:9" ht="15.75" thickBot="1">
      <c r="A20" s="14" t="s">
        <v>164</v>
      </c>
      <c r="B20" s="14">
        <v>-9.1230006014189549</v>
      </c>
      <c r="C20" s="14">
        <v>2.8784923700807927</v>
      </c>
      <c r="D20" s="14">
        <v>-3.1693676510120099</v>
      </c>
      <c r="E20" s="14">
        <v>1.9334233057846657E-2</v>
      </c>
      <c r="F20" s="14">
        <v>-16.166417681635735</v>
      </c>
      <c r="G20" s="14">
        <v>-2.0795835212021743</v>
      </c>
      <c r="H20" s="14">
        <v>-16.166417681635735</v>
      </c>
      <c r="I20" s="14">
        <v>-2.0795835212021743</v>
      </c>
    </row>
    <row r="24" spans="1:9">
      <c r="A24" t="s">
        <v>165</v>
      </c>
    </row>
    <row r="25" spans="1:9" ht="15.75" thickBot="1"/>
    <row r="26" spans="1:9">
      <c r="A26" s="15" t="s">
        <v>166</v>
      </c>
      <c r="B26" s="15" t="s">
        <v>167</v>
      </c>
      <c r="C26" s="15" t="s">
        <v>168</v>
      </c>
    </row>
    <row r="27" spans="1:9">
      <c r="A27" s="13">
        <v>1</v>
      </c>
      <c r="B27" s="13">
        <v>4.5771027061223686</v>
      </c>
      <c r="C27" s="13">
        <v>-0.51852819341099288</v>
      </c>
    </row>
    <row r="28" spans="1:9">
      <c r="A28" s="13">
        <v>2</v>
      </c>
      <c r="B28" s="13">
        <v>5.0797882636354341</v>
      </c>
      <c r="C28" s="13">
        <v>-1.8134408980943206E-3</v>
      </c>
    </row>
    <row r="29" spans="1:9">
      <c r="A29" s="13">
        <v>3</v>
      </c>
      <c r="B29" s="13">
        <v>5.3246363202426776</v>
      </c>
      <c r="C29" s="13">
        <v>5.1712485439867173E-2</v>
      </c>
    </row>
    <row r="30" spans="1:9">
      <c r="A30" s="13">
        <v>4</v>
      </c>
      <c r="B30" s="13">
        <v>5.8921468027025892</v>
      </c>
      <c r="C30" s="13">
        <v>0.45457103750004979</v>
      </c>
    </row>
    <row r="31" spans="1:9">
      <c r="A31" s="13">
        <v>5</v>
      </c>
      <c r="B31" s="13">
        <v>5.2728594381234597</v>
      </c>
      <c r="C31" s="13">
        <v>0.53102723131617591</v>
      </c>
    </row>
    <row r="32" spans="1:9">
      <c r="A32" s="13">
        <v>6</v>
      </c>
      <c r="B32" s="13">
        <v>5.4666727397402264</v>
      </c>
      <c r="C32" s="13">
        <v>-0.29134562436634326</v>
      </c>
    </row>
    <row r="33" spans="1:3">
      <c r="A33" s="13">
        <v>7</v>
      </c>
      <c r="B33" s="13">
        <v>5.8455992097929315</v>
      </c>
      <c r="C33" s="13">
        <v>-0.45272762255178289</v>
      </c>
    </row>
    <row r="34" spans="1:3">
      <c r="A34" s="13">
        <v>8</v>
      </c>
      <c r="B34" s="13">
        <v>5.4928448009728523</v>
      </c>
      <c r="C34" s="13">
        <v>2.3268254902997221E-2</v>
      </c>
    </row>
    <row r="35" spans="1:3">
      <c r="A35" s="13">
        <v>9</v>
      </c>
      <c r="B35" s="13">
        <v>4.9427204001142027</v>
      </c>
      <c r="C35" s="13">
        <v>-0.20050133209731946</v>
      </c>
    </row>
    <row r="36" spans="1:3" ht="15.75" thickBot="1">
      <c r="A36" s="14">
        <v>10</v>
      </c>
      <c r="B36" s="14">
        <v>4.2814655439190012</v>
      </c>
      <c r="C36" s="14">
        <v>0.40433720416544361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sqref="A1:I36"/>
    </sheetView>
  </sheetViews>
  <sheetFormatPr defaultRowHeight="15"/>
  <sheetData>
    <row r="1" spans="1:9">
      <c r="A1" t="s">
        <v>138</v>
      </c>
    </row>
    <row r="2" spans="1:9" ht="15.75" thickBot="1"/>
    <row r="3" spans="1:9">
      <c r="A3" s="16" t="s">
        <v>139</v>
      </c>
      <c r="B3" s="16"/>
    </row>
    <row r="4" spans="1:9">
      <c r="A4" s="13" t="s">
        <v>140</v>
      </c>
      <c r="B4" s="13">
        <v>0.95559792864769522</v>
      </c>
    </row>
    <row r="5" spans="1:9">
      <c r="A5" s="13" t="s">
        <v>141</v>
      </c>
      <c r="B5" s="13">
        <v>0.91316740123576556</v>
      </c>
    </row>
    <row r="6" spans="1:9">
      <c r="A6" s="13" t="s">
        <v>142</v>
      </c>
      <c r="B6" s="13">
        <v>0.86975110185364846</v>
      </c>
    </row>
    <row r="7" spans="1:9">
      <c r="A7" s="13" t="s">
        <v>143</v>
      </c>
      <c r="B7" s="13">
        <v>0.24241909598875322</v>
      </c>
    </row>
    <row r="8" spans="1:9" ht="15.75" thickBot="1">
      <c r="A8" s="14" t="s">
        <v>144</v>
      </c>
      <c r="B8" s="14">
        <v>10</v>
      </c>
    </row>
    <row r="10" spans="1:9" ht="15.75" thickBot="1">
      <c r="A10" t="s">
        <v>145</v>
      </c>
    </row>
    <row r="11" spans="1:9">
      <c r="A11" s="15"/>
      <c r="B11" s="15" t="s">
        <v>150</v>
      </c>
      <c r="C11" s="15" t="s">
        <v>151</v>
      </c>
      <c r="D11" s="15" t="s">
        <v>152</v>
      </c>
      <c r="E11" s="15" t="s">
        <v>153</v>
      </c>
      <c r="F11" s="15" t="s">
        <v>154</v>
      </c>
    </row>
    <row r="12" spans="1:9">
      <c r="A12" s="13" t="s">
        <v>146</v>
      </c>
      <c r="B12" s="13">
        <v>3</v>
      </c>
      <c r="C12" s="13">
        <v>3.7081091175767007</v>
      </c>
      <c r="D12" s="13">
        <v>1.236036372525567</v>
      </c>
      <c r="E12" s="13">
        <v>21.032824405386592</v>
      </c>
      <c r="F12" s="13">
        <v>1.3847007503669467E-3</v>
      </c>
    </row>
    <row r="13" spans="1:9">
      <c r="A13" s="13" t="s">
        <v>147</v>
      </c>
      <c r="B13" s="13">
        <v>6</v>
      </c>
      <c r="C13" s="13">
        <v>0.35260210860002605</v>
      </c>
      <c r="D13" s="13">
        <v>5.8767018100004342E-2</v>
      </c>
      <c r="E13" s="13"/>
      <c r="F13" s="13"/>
    </row>
    <row r="14" spans="1:9" ht="15.75" thickBot="1">
      <c r="A14" s="14" t="s">
        <v>148</v>
      </c>
      <c r="B14" s="14">
        <v>9</v>
      </c>
      <c r="C14" s="14">
        <v>4.0607112261767266</v>
      </c>
      <c r="D14" s="14"/>
      <c r="E14" s="14"/>
      <c r="F14" s="14"/>
    </row>
    <row r="15" spans="1:9" ht="15.75" thickBot="1"/>
    <row r="16" spans="1:9">
      <c r="A16" s="15"/>
      <c r="B16" s="15" t="s">
        <v>155</v>
      </c>
      <c r="C16" s="15" t="s">
        <v>143</v>
      </c>
      <c r="D16" s="15" t="s">
        <v>156</v>
      </c>
      <c r="E16" s="15" t="s">
        <v>157</v>
      </c>
      <c r="F16" s="15" t="s">
        <v>158</v>
      </c>
      <c r="G16" s="15" t="s">
        <v>159</v>
      </c>
      <c r="H16" s="15" t="s">
        <v>160</v>
      </c>
      <c r="I16" s="15" t="s">
        <v>161</v>
      </c>
    </row>
    <row r="17" spans="1:9">
      <c r="A17" s="13" t="s">
        <v>149</v>
      </c>
      <c r="B17" s="13">
        <v>-8.3626048828348482E-2</v>
      </c>
      <c r="C17" s="13">
        <v>0.54316572593789003</v>
      </c>
      <c r="D17" s="13">
        <v>-0.15396046700838956</v>
      </c>
      <c r="E17" s="13">
        <v>0.8826888715321185</v>
      </c>
      <c r="F17" s="13">
        <v>-1.4127046982019791</v>
      </c>
      <c r="G17" s="13">
        <v>1.2454526005452822</v>
      </c>
      <c r="H17" s="13">
        <v>-1.4127046982019791</v>
      </c>
      <c r="I17" s="13">
        <v>1.2454526005452822</v>
      </c>
    </row>
    <row r="18" spans="1:9">
      <c r="A18" s="13" t="s">
        <v>162</v>
      </c>
      <c r="B18" s="13">
        <v>-4.0778609294218997E-3</v>
      </c>
      <c r="C18" s="13">
        <v>5.2034990585237062E-3</v>
      </c>
      <c r="D18" s="13">
        <v>-0.78367669207935564</v>
      </c>
      <c r="E18" s="13">
        <v>0.46303407429817789</v>
      </c>
      <c r="F18" s="13">
        <v>-1.6810364418624865E-2</v>
      </c>
      <c r="G18" s="13">
        <v>8.6546425597810658E-3</v>
      </c>
      <c r="H18" s="13">
        <v>-1.6810364418624865E-2</v>
      </c>
      <c r="I18" s="13">
        <v>8.6546425597810658E-3</v>
      </c>
    </row>
    <row r="19" spans="1:9">
      <c r="A19" s="13" t="s">
        <v>163</v>
      </c>
      <c r="B19" s="13">
        <v>0.29638834542776482</v>
      </c>
      <c r="C19" s="13">
        <v>4.6674528041125499E-2</v>
      </c>
      <c r="D19" s="13">
        <v>6.3501091037624082</v>
      </c>
      <c r="E19" s="13">
        <v>7.1482956889091023E-4</v>
      </c>
      <c r="F19" s="13">
        <v>0.18217988983728042</v>
      </c>
      <c r="G19" s="13">
        <v>0.41059680101824925</v>
      </c>
      <c r="H19" s="13">
        <v>0.18217988983728042</v>
      </c>
      <c r="I19" s="13">
        <v>0.41059680101824925</v>
      </c>
    </row>
    <row r="20" spans="1:9" ht="15.75" thickBot="1">
      <c r="A20" s="14" t="s">
        <v>164</v>
      </c>
      <c r="B20" s="14">
        <v>1.2254417897895682</v>
      </c>
      <c r="C20" s="14">
        <v>1.5262147446791552</v>
      </c>
      <c r="D20" s="14">
        <v>0.80292881068134603</v>
      </c>
      <c r="E20" s="14">
        <v>0.45263992483995363</v>
      </c>
      <c r="F20" s="14">
        <v>-2.509071149166088</v>
      </c>
      <c r="G20" s="14">
        <v>4.9599547287452248</v>
      </c>
      <c r="H20" s="14">
        <v>-2.509071149166088</v>
      </c>
      <c r="I20" s="14">
        <v>4.9599547287452248</v>
      </c>
    </row>
    <row r="24" spans="1:9">
      <c r="A24" t="s">
        <v>165</v>
      </c>
    </row>
    <row r="25" spans="1:9" ht="15.75" thickBot="1"/>
    <row r="26" spans="1:9">
      <c r="A26" s="15" t="s">
        <v>166</v>
      </c>
      <c r="B26" s="15" t="s">
        <v>167</v>
      </c>
      <c r="C26" s="15" t="s">
        <v>168</v>
      </c>
    </row>
    <row r="27" spans="1:9">
      <c r="A27" s="13">
        <v>1</v>
      </c>
      <c r="B27" s="13">
        <v>2.3876341209041088</v>
      </c>
      <c r="C27" s="13">
        <v>0.27446889668719576</v>
      </c>
    </row>
    <row r="28" spans="1:9">
      <c r="A28" s="13">
        <v>2</v>
      </c>
      <c r="B28" s="13">
        <v>1.7476177355363687</v>
      </c>
      <c r="C28" s="13">
        <v>8.2739175762277739E-2</v>
      </c>
    </row>
    <row r="29" spans="1:9">
      <c r="A29" s="13">
        <v>3</v>
      </c>
      <c r="B29" s="13">
        <v>1.7839767565276294</v>
      </c>
      <c r="C29" s="13">
        <v>3.0540965390229324E-2</v>
      </c>
    </row>
    <row r="30" spans="1:9">
      <c r="A30" s="13">
        <v>4</v>
      </c>
      <c r="B30" s="13">
        <v>2.2586041507073711</v>
      </c>
      <c r="C30" s="13">
        <v>-0.23108124112632566</v>
      </c>
    </row>
    <row r="31" spans="1:9">
      <c r="A31" s="13">
        <v>5</v>
      </c>
      <c r="B31" s="13">
        <v>0.93524929979999605</v>
      </c>
      <c r="C31" s="13">
        <v>-0.2263270696287164</v>
      </c>
    </row>
    <row r="32" spans="1:9">
      <c r="A32" s="13">
        <v>6</v>
      </c>
      <c r="B32" s="13">
        <v>1.0171890478481866</v>
      </c>
      <c r="C32" s="13">
        <v>-0.10730510931100889</v>
      </c>
    </row>
    <row r="33" spans="1:3">
      <c r="A33" s="13">
        <v>7</v>
      </c>
      <c r="B33" s="13">
        <v>0.84024201676716526</v>
      </c>
      <c r="C33" s="13">
        <v>0.12474525699825922</v>
      </c>
    </row>
    <row r="34" spans="1:3">
      <c r="A34" s="13">
        <v>8</v>
      </c>
      <c r="B34" s="13">
        <v>0.53285095273615335</v>
      </c>
      <c r="C34" s="13">
        <v>0.26241688047294154</v>
      </c>
    </row>
    <row r="35" spans="1:3">
      <c r="A35" s="13">
        <v>9</v>
      </c>
      <c r="B35" s="13">
        <v>0.88905340912731678</v>
      </c>
      <c r="C35" s="13">
        <v>4.7933792404923237E-2</v>
      </c>
    </row>
    <row r="36" spans="1:3" ht="15.75" thickBot="1">
      <c r="A36" s="14">
        <v>10</v>
      </c>
      <c r="B36" s="14">
        <v>1.158053929732219</v>
      </c>
      <c r="C36" s="14">
        <v>-0.25813154764977597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sqref="A1:I35"/>
    </sheetView>
  </sheetViews>
  <sheetFormatPr defaultRowHeight="15"/>
  <sheetData>
    <row r="1" spans="1:9">
      <c r="A1" t="s">
        <v>138</v>
      </c>
    </row>
    <row r="2" spans="1:9" ht="15.75" thickBot="1"/>
    <row r="3" spans="1:9">
      <c r="A3" s="16" t="s">
        <v>139</v>
      </c>
      <c r="B3" s="16"/>
    </row>
    <row r="4" spans="1:9">
      <c r="A4" s="13" t="s">
        <v>140</v>
      </c>
      <c r="B4" s="13">
        <v>0.8878803213124169</v>
      </c>
    </row>
    <row r="5" spans="1:9">
      <c r="A5" s="13" t="s">
        <v>141</v>
      </c>
      <c r="B5" s="13">
        <v>0.78833146497384066</v>
      </c>
    </row>
    <row r="6" spans="1:9">
      <c r="A6" s="13" t="s">
        <v>142</v>
      </c>
      <c r="B6" s="13">
        <v>0.66133034395814505</v>
      </c>
    </row>
    <row r="7" spans="1:9">
      <c r="A7" s="13" t="s">
        <v>143</v>
      </c>
      <c r="B7" s="13">
        <v>0.42873433084968304</v>
      </c>
    </row>
    <row r="8" spans="1:9" ht="15.75" thickBot="1">
      <c r="A8" s="14" t="s">
        <v>144</v>
      </c>
      <c r="B8" s="14">
        <v>9</v>
      </c>
    </row>
    <row r="10" spans="1:9" ht="15.75" thickBot="1">
      <c r="A10" t="s">
        <v>145</v>
      </c>
    </row>
    <row r="11" spans="1:9">
      <c r="A11" s="15"/>
      <c r="B11" s="15" t="s">
        <v>150</v>
      </c>
      <c r="C11" s="15" t="s">
        <v>151</v>
      </c>
      <c r="D11" s="15" t="s">
        <v>152</v>
      </c>
      <c r="E11" s="15" t="s">
        <v>153</v>
      </c>
      <c r="F11" s="15" t="s">
        <v>154</v>
      </c>
    </row>
    <row r="12" spans="1:9">
      <c r="A12" s="13" t="s">
        <v>146</v>
      </c>
      <c r="B12" s="13">
        <v>3</v>
      </c>
      <c r="C12" s="13">
        <v>3.4229383984056136</v>
      </c>
      <c r="D12" s="13">
        <v>1.1409794661352046</v>
      </c>
      <c r="E12" s="13">
        <v>6.2072795788661859</v>
      </c>
      <c r="F12" s="13">
        <v>3.867453838437547E-2</v>
      </c>
    </row>
    <row r="13" spans="1:9">
      <c r="A13" s="13" t="s">
        <v>147</v>
      </c>
      <c r="B13" s="13">
        <v>5</v>
      </c>
      <c r="C13" s="13">
        <v>0.91906563224562743</v>
      </c>
      <c r="D13" s="13">
        <v>0.18381312644912548</v>
      </c>
      <c r="E13" s="13"/>
      <c r="F13" s="13"/>
    </row>
    <row r="14" spans="1:9" ht="15.75" thickBot="1">
      <c r="A14" s="14" t="s">
        <v>148</v>
      </c>
      <c r="B14" s="14">
        <v>8</v>
      </c>
      <c r="C14" s="14">
        <v>4.3420040306512409</v>
      </c>
      <c r="D14" s="14"/>
      <c r="E14" s="14"/>
      <c r="F14" s="14"/>
    </row>
    <row r="15" spans="1:9" ht="15.75" thickBot="1"/>
    <row r="16" spans="1:9">
      <c r="A16" s="15"/>
      <c r="B16" s="15" t="s">
        <v>155</v>
      </c>
      <c r="C16" s="15" t="s">
        <v>143</v>
      </c>
      <c r="D16" s="15" t="s">
        <v>156</v>
      </c>
      <c r="E16" s="15" t="s">
        <v>157</v>
      </c>
      <c r="F16" s="15" t="s">
        <v>158</v>
      </c>
      <c r="G16" s="15" t="s">
        <v>159</v>
      </c>
      <c r="H16" s="15" t="s">
        <v>160</v>
      </c>
      <c r="I16" s="15" t="s">
        <v>161</v>
      </c>
    </row>
    <row r="17" spans="1:9">
      <c r="A17" s="13" t="s">
        <v>149</v>
      </c>
      <c r="B17" s="13">
        <v>0.27246434597265917</v>
      </c>
      <c r="C17" s="13">
        <v>0.96513945535379553</v>
      </c>
      <c r="D17" s="13">
        <v>0.282305675580096</v>
      </c>
      <c r="E17" s="13">
        <v>0.78902190148295914</v>
      </c>
      <c r="F17" s="13">
        <v>-2.2085056059096853</v>
      </c>
      <c r="G17" s="13">
        <v>2.7534342978550037</v>
      </c>
      <c r="H17" s="13">
        <v>-2.2085056059096853</v>
      </c>
      <c r="I17" s="13">
        <v>2.7534342978550037</v>
      </c>
    </row>
    <row r="18" spans="1:9">
      <c r="A18" s="13" t="s">
        <v>162</v>
      </c>
      <c r="B18" s="13">
        <v>1.838785638075217E-2</v>
      </c>
      <c r="C18" s="13">
        <v>1.0698640203739595E-2</v>
      </c>
      <c r="D18" s="13">
        <v>1.7187096706294405</v>
      </c>
      <c r="E18" s="13">
        <v>0.1463051909544795</v>
      </c>
      <c r="F18" s="13">
        <v>-9.113873782945623E-3</v>
      </c>
      <c r="G18" s="13">
        <v>4.5889586544449967E-2</v>
      </c>
      <c r="H18" s="13">
        <v>-9.113873782945623E-3</v>
      </c>
      <c r="I18" s="13">
        <v>4.5889586544449967E-2</v>
      </c>
    </row>
    <row r="19" spans="1:9">
      <c r="A19" s="13" t="s">
        <v>163</v>
      </c>
      <c r="B19" s="13">
        <v>-0.13683140600969254</v>
      </c>
      <c r="C19" s="13">
        <v>9.4697769637565224E-2</v>
      </c>
      <c r="D19" s="13">
        <v>-1.4449274416217457</v>
      </c>
      <c r="E19" s="13">
        <v>0.2080959933740143</v>
      </c>
      <c r="F19" s="13">
        <v>-0.38025977242638997</v>
      </c>
      <c r="G19" s="13">
        <v>0.10659696040700489</v>
      </c>
      <c r="H19" s="13">
        <v>-0.38025977242638997</v>
      </c>
      <c r="I19" s="13">
        <v>0.10659696040700489</v>
      </c>
    </row>
    <row r="20" spans="1:9" ht="15.75" thickBot="1">
      <c r="A20" s="14" t="s">
        <v>164</v>
      </c>
      <c r="B20" s="14">
        <v>1.880381828252033</v>
      </c>
      <c r="C20" s="14">
        <v>2.993099034836133</v>
      </c>
      <c r="D20" s="14">
        <v>0.62823909478657813</v>
      </c>
      <c r="E20" s="14">
        <v>0.55742324083877692</v>
      </c>
      <c r="F20" s="14">
        <v>-5.8136241801484703</v>
      </c>
      <c r="G20" s="14">
        <v>9.5743878366525372</v>
      </c>
      <c r="H20" s="14">
        <v>-5.8136241801484703</v>
      </c>
      <c r="I20" s="14">
        <v>9.5743878366525372</v>
      </c>
    </row>
    <row r="24" spans="1:9">
      <c r="A24" t="s">
        <v>165</v>
      </c>
    </row>
    <row r="25" spans="1:9" ht="15.75" thickBot="1"/>
    <row r="26" spans="1:9">
      <c r="A26" s="15" t="s">
        <v>166</v>
      </c>
      <c r="B26" s="15" t="s">
        <v>167</v>
      </c>
      <c r="C26" s="15" t="s">
        <v>168</v>
      </c>
    </row>
    <row r="27" spans="1:9">
      <c r="A27" s="13">
        <v>1</v>
      </c>
      <c r="B27" s="13">
        <v>0.72720023912683662</v>
      </c>
      <c r="C27" s="13">
        <v>-2.2589594549492165E-2</v>
      </c>
    </row>
    <row r="28" spans="1:9">
      <c r="A28" s="13">
        <v>2</v>
      </c>
      <c r="B28" s="13">
        <v>0.81710628005328467</v>
      </c>
      <c r="C28" s="13">
        <v>-2.7455049218660932E-2</v>
      </c>
    </row>
    <row r="29" spans="1:9">
      <c r="A29" s="13">
        <v>3</v>
      </c>
      <c r="B29" s="13">
        <v>1.0026601581790324</v>
      </c>
      <c r="C29" s="13">
        <v>1.8240461786071416E-2</v>
      </c>
    </row>
    <row r="30" spans="1:9">
      <c r="A30" s="13">
        <v>4</v>
      </c>
      <c r="B30" s="13">
        <v>1.018426761835626</v>
      </c>
      <c r="C30" s="13">
        <v>0.18740357359589632</v>
      </c>
    </row>
    <row r="31" spans="1:9">
      <c r="A31" s="13">
        <v>5</v>
      </c>
      <c r="B31" s="13">
        <v>1.3458913788395082</v>
      </c>
      <c r="C31" s="13">
        <v>-0.14044004625522177</v>
      </c>
    </row>
    <row r="32" spans="1:9">
      <c r="A32" s="13">
        <v>6</v>
      </c>
      <c r="B32" s="13">
        <v>2.0698810418790039</v>
      </c>
      <c r="C32" s="13">
        <v>-4.943893743264649E-2</v>
      </c>
    </row>
    <row r="33" spans="1:3">
      <c r="A33" s="13">
        <v>7</v>
      </c>
      <c r="B33" s="13">
        <v>2.3243386166980411</v>
      </c>
      <c r="C33" s="13">
        <v>-0.35731977392022651</v>
      </c>
    </row>
    <row r="34" spans="1:3">
      <c r="A34" s="13">
        <v>8</v>
      </c>
      <c r="B34" s="13">
        <v>2.2430145790928719</v>
      </c>
      <c r="C34" s="13">
        <v>0.76843773674873805</v>
      </c>
    </row>
    <row r="35" spans="1:3" ht="15.75" thickBot="1">
      <c r="A35" s="14">
        <v>9</v>
      </c>
      <c r="B35" s="14">
        <v>2.048676934019686</v>
      </c>
      <c r="C35" s="14">
        <v>-0.37683837075445781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7"/>
  <sheetViews>
    <sheetView tabSelected="1" topLeftCell="D61" workbookViewId="0">
      <selection activeCell="F91" sqref="F91"/>
    </sheetView>
  </sheetViews>
  <sheetFormatPr defaultRowHeight="15"/>
  <cols>
    <col min="2" max="2" width="11.28515625" bestFit="1" customWidth="1"/>
    <col min="4" max="4" width="34.85546875" bestFit="1" customWidth="1"/>
    <col min="5" max="5" width="16.42578125" customWidth="1"/>
    <col min="6" max="7" width="12.28515625" bestFit="1" customWidth="1"/>
    <col min="8" max="8" width="13.42578125" bestFit="1" customWidth="1"/>
    <col min="9" max="9" width="12.28515625" bestFit="1" customWidth="1"/>
    <col min="10" max="14" width="13.42578125" bestFit="1" customWidth="1"/>
    <col min="15" max="15" width="13.5703125" bestFit="1" customWidth="1"/>
    <col min="16" max="16" width="11.42578125" bestFit="1" customWidth="1"/>
    <col min="17" max="17" width="12.28515625" bestFit="1" customWidth="1"/>
    <col min="18" max="18" width="14.28515625" bestFit="1" customWidth="1"/>
    <col min="19" max="19" width="16.28515625" bestFit="1" customWidth="1"/>
    <col min="20" max="20" width="18.42578125" bestFit="1" customWidth="1"/>
    <col min="21" max="24" width="11.28515625" bestFit="1" customWidth="1"/>
    <col min="25" max="25" width="10.7109375" bestFit="1" customWidth="1"/>
  </cols>
  <sheetData>
    <row r="1" spans="1:25">
      <c r="N1" s="5">
        <f>-N17</f>
        <v>6618</v>
      </c>
      <c r="O1" s="5">
        <f t="shared" ref="O1:T1" si="0">-O17</f>
        <v>3725</v>
      </c>
      <c r="P1" s="5">
        <f t="shared" si="0"/>
        <v>1300</v>
      </c>
      <c r="Q1" s="5">
        <f t="shared" si="0"/>
        <v>1500</v>
      </c>
      <c r="R1" s="5">
        <f t="shared" si="0"/>
        <v>1900</v>
      </c>
      <c r="S1" s="5">
        <f t="shared" si="0"/>
        <v>2000</v>
      </c>
      <c r="T1" s="5">
        <f t="shared" si="0"/>
        <v>2000</v>
      </c>
    </row>
    <row r="3" spans="1:25">
      <c r="N3" s="4"/>
      <c r="O3" s="4"/>
      <c r="P3" s="4"/>
      <c r="Q3" s="4"/>
      <c r="R3" s="4"/>
      <c r="S3" s="4"/>
      <c r="T3" s="4"/>
    </row>
    <row r="4" spans="1:25">
      <c r="N4">
        <v>2014</v>
      </c>
      <c r="O4" s="1" t="s">
        <v>244</v>
      </c>
      <c r="P4" s="1" t="s">
        <v>245</v>
      </c>
      <c r="Q4" s="1" t="s">
        <v>246</v>
      </c>
      <c r="R4" s="1" t="s">
        <v>247</v>
      </c>
      <c r="S4" s="1" t="s">
        <v>248</v>
      </c>
      <c r="T4" s="1" t="s">
        <v>249</v>
      </c>
    </row>
    <row r="5" spans="1:25">
      <c r="D5" t="s">
        <v>81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K5" t="s">
        <v>14</v>
      </c>
      <c r="L5" t="s">
        <v>15</v>
      </c>
      <c r="M5" t="s">
        <v>16</v>
      </c>
      <c r="N5" t="s">
        <v>84</v>
      </c>
      <c r="O5">
        <v>2015</v>
      </c>
      <c r="P5">
        <f t="shared" ref="P5:T5" si="1">O5+1</f>
        <v>2016</v>
      </c>
      <c r="Q5">
        <f t="shared" si="1"/>
        <v>2017</v>
      </c>
      <c r="R5">
        <f t="shared" si="1"/>
        <v>2018</v>
      </c>
      <c r="S5">
        <f t="shared" si="1"/>
        <v>2019</v>
      </c>
      <c r="T5">
        <f t="shared" si="1"/>
        <v>2020</v>
      </c>
    </row>
    <row r="6" spans="1:25">
      <c r="A6" t="s">
        <v>4</v>
      </c>
      <c r="B6">
        <v>300</v>
      </c>
      <c r="C6" t="e">
        <f ca="1">BDH($D$5,$D6,E$5,E$5,"FX=USD","Per=fy","dtfmt=p","FILING_STATUS=MR")</f>
        <v>#NAME?</v>
      </c>
      <c r="D6" t="s">
        <v>226</v>
      </c>
      <c r="E6" s="2">
        <v>3272.585</v>
      </c>
      <c r="F6" s="2">
        <v>5618.8940000000002</v>
      </c>
      <c r="G6" s="2">
        <v>5624</v>
      </c>
      <c r="H6" s="2">
        <v>7858</v>
      </c>
      <c r="I6" s="2">
        <v>5049</v>
      </c>
      <c r="J6" s="2">
        <v>5647</v>
      </c>
      <c r="K6" s="2">
        <v>6024</v>
      </c>
      <c r="L6" s="2">
        <v>6278</v>
      </c>
      <c r="M6" s="2">
        <v>7052</v>
      </c>
      <c r="N6" s="2">
        <v>8180</v>
      </c>
      <c r="O6" s="2">
        <f>Лист2!E4*Лист2!E50*365+O23*365/1000*55+O25*365/1000*2</f>
        <v>3222.8446323819749</v>
      </c>
      <c r="P6" s="2">
        <f>Лист2!F4*Лист2!F50*365+P23*365/1000*P51+P25*365/1000*2</f>
        <v>2662.8149699999999</v>
      </c>
      <c r="Q6" s="2">
        <f>Лист2!G4*Лист2!G50*365+Q23*365/1000*Q51+Q25*365/1000*Q53/100*42</f>
        <v>3549.3521541949999</v>
      </c>
      <c r="R6" s="2">
        <f>Лист2!H4*Лист2!H50*365+R23*365/1000*R51+R25*365/1000*R53/100*42</f>
        <v>4088.0536507262404</v>
      </c>
      <c r="S6" s="2">
        <f>Лист2!I4*Лист2!I50*365+S23*365/1000*S51+S25*365/1000*S53/100*42</f>
        <v>4389.1549599851833</v>
      </c>
      <c r="T6" s="2">
        <f>Лист2!J4*Лист2!J50*365+T23*365/1000*T51+T25*365/1000*T53/100*42</f>
        <v>6243.9363869060353</v>
      </c>
      <c r="U6" s="2"/>
      <c r="V6" s="2"/>
      <c r="W6" s="2"/>
      <c r="X6" s="2"/>
      <c r="Y6" s="2"/>
    </row>
    <row r="7" spans="1:25">
      <c r="A7" t="s">
        <v>5</v>
      </c>
      <c r="B7">
        <v>3300</v>
      </c>
      <c r="D7" t="s">
        <v>227</v>
      </c>
      <c r="E7" s="2">
        <v>316.95600000000002</v>
      </c>
      <c r="F7" s="2">
        <v>489.49900000000002</v>
      </c>
      <c r="G7" s="2">
        <v>640</v>
      </c>
      <c r="H7" s="2">
        <v>889</v>
      </c>
      <c r="I7" s="2">
        <v>876</v>
      </c>
      <c r="J7" s="2">
        <v>893</v>
      </c>
      <c r="K7" s="2">
        <v>1073</v>
      </c>
      <c r="L7" s="2">
        <v>1304</v>
      </c>
      <c r="M7" s="2">
        <v>1159</v>
      </c>
      <c r="N7" s="2">
        <v>1208</v>
      </c>
      <c r="O7" s="2">
        <f>O36*(O21*365/1000)</f>
        <v>1133.6688785198276</v>
      </c>
      <c r="P7" s="2">
        <f t="shared" ref="P7:T7" si="2">P36*(P21*365/1000)</f>
        <v>1061.1793889845094</v>
      </c>
      <c r="Q7" s="2">
        <f t="shared" si="2"/>
        <v>1059.1368653184165</v>
      </c>
      <c r="R7" s="2">
        <f t="shared" si="2"/>
        <v>1101.9931392857145</v>
      </c>
      <c r="S7" s="2">
        <f t="shared" si="2"/>
        <v>1127.3900387007316</v>
      </c>
      <c r="T7" s="2">
        <f t="shared" si="2"/>
        <v>1150.7862404958887</v>
      </c>
      <c r="U7" s="2"/>
      <c r="V7" s="2"/>
      <c r="W7" s="2"/>
      <c r="X7" s="2"/>
      <c r="Y7" s="2"/>
    </row>
    <row r="8" spans="1:25">
      <c r="A8" t="s">
        <v>6</v>
      </c>
      <c r="B8">
        <v>9700</v>
      </c>
      <c r="D8" t="s">
        <v>228</v>
      </c>
      <c r="E8" s="2">
        <v>207.898</v>
      </c>
      <c r="F8" s="2">
        <v>176.44</v>
      </c>
      <c r="G8" s="2">
        <v>216</v>
      </c>
      <c r="H8" s="2">
        <v>284</v>
      </c>
      <c r="I8" s="2">
        <v>107</v>
      </c>
      <c r="J8" s="2">
        <v>157</v>
      </c>
      <c r="K8" s="2">
        <v>192</v>
      </c>
      <c r="L8" s="2">
        <v>188</v>
      </c>
      <c r="M8" s="2">
        <v>229</v>
      </c>
      <c r="N8" s="2">
        <v>232</v>
      </c>
      <c r="O8" s="2">
        <f>O37*(O21*365/1000)</f>
        <v>133.52100124789081</v>
      </c>
      <c r="P8" s="2">
        <f t="shared" ref="P8:T8" si="3">P37*(P21*365/1000)</f>
        <v>141.49058519793459</v>
      </c>
      <c r="Q8" s="2">
        <f t="shared" si="3"/>
        <v>188.29099827882965</v>
      </c>
      <c r="R8" s="2">
        <f t="shared" si="3"/>
        <v>195.90989142857146</v>
      </c>
      <c r="S8" s="2">
        <f t="shared" si="3"/>
        <v>200.42489576901895</v>
      </c>
      <c r="T8" s="2">
        <f t="shared" si="3"/>
        <v>204.58422053260244</v>
      </c>
      <c r="U8" s="2"/>
      <c r="V8" s="2"/>
      <c r="W8" s="2"/>
      <c r="X8" s="2"/>
      <c r="Y8" s="2"/>
    </row>
    <row r="9" spans="1:25">
      <c r="A9" s="19" t="s">
        <v>239</v>
      </c>
      <c r="B9">
        <f>B7+B8-B6</f>
        <v>12700</v>
      </c>
      <c r="D9" t="s">
        <v>229</v>
      </c>
      <c r="E9" s="2" t="s">
        <v>34</v>
      </c>
      <c r="F9" s="2">
        <v>67.921999999999997</v>
      </c>
      <c r="G9" s="2">
        <v>94</v>
      </c>
      <c r="H9" s="2">
        <v>143</v>
      </c>
      <c r="I9" s="2">
        <v>182</v>
      </c>
      <c r="J9" s="2">
        <v>208</v>
      </c>
      <c r="K9" s="2">
        <v>402</v>
      </c>
      <c r="L9" s="2">
        <v>465</v>
      </c>
      <c r="M9" s="2">
        <v>736</v>
      </c>
      <c r="N9" s="2">
        <v>431</v>
      </c>
      <c r="O9" s="2">
        <f>O38*(O21*365/1000)</f>
        <v>0</v>
      </c>
      <c r="P9" s="2">
        <f t="shared" ref="P9:T9" si="4">P38*(P21*365/1000)</f>
        <v>0</v>
      </c>
      <c r="Q9" s="2">
        <f t="shared" si="4"/>
        <v>0</v>
      </c>
      <c r="R9" s="2">
        <f t="shared" si="4"/>
        <v>0</v>
      </c>
      <c r="S9" s="2">
        <f t="shared" si="4"/>
        <v>0</v>
      </c>
      <c r="T9" s="2">
        <f t="shared" si="4"/>
        <v>0</v>
      </c>
      <c r="U9" s="2"/>
      <c r="V9" s="2"/>
      <c r="W9" s="2"/>
      <c r="X9" s="2"/>
      <c r="Y9" s="2"/>
    </row>
    <row r="10" spans="1:25">
      <c r="D10" t="s">
        <v>230</v>
      </c>
      <c r="E10" s="2">
        <v>64.272000000000006</v>
      </c>
      <c r="F10" s="2">
        <v>139.15199999999999</v>
      </c>
      <c r="G10" s="2">
        <v>243</v>
      </c>
      <c r="H10" s="2">
        <v>377</v>
      </c>
      <c r="I10" s="2">
        <v>349</v>
      </c>
      <c r="J10" s="2">
        <v>453</v>
      </c>
      <c r="K10" s="2">
        <v>548</v>
      </c>
      <c r="L10" s="2">
        <v>535</v>
      </c>
      <c r="M10" s="2">
        <v>457</v>
      </c>
      <c r="N10" s="2">
        <v>322</v>
      </c>
      <c r="O10" s="2">
        <v>300</v>
      </c>
      <c r="P10" s="2">
        <v>300</v>
      </c>
      <c r="Q10" s="2">
        <v>300</v>
      </c>
      <c r="R10" s="2">
        <v>300</v>
      </c>
      <c r="S10" s="2">
        <v>300</v>
      </c>
      <c r="T10" s="2">
        <v>300</v>
      </c>
      <c r="U10" s="2"/>
      <c r="V10" s="2"/>
      <c r="W10" s="2"/>
      <c r="X10" s="2"/>
      <c r="Y10" s="2"/>
    </row>
    <row r="11" spans="1:25">
      <c r="D11" t="s">
        <v>237</v>
      </c>
      <c r="E11" s="2" t="s">
        <v>34</v>
      </c>
      <c r="F11" s="2" t="s">
        <v>34</v>
      </c>
      <c r="G11" s="2" t="s">
        <v>34</v>
      </c>
      <c r="H11" s="2" t="s">
        <v>34</v>
      </c>
      <c r="I11" s="2">
        <v>1615</v>
      </c>
      <c r="J11" s="2">
        <v>1614</v>
      </c>
      <c r="K11" s="2">
        <v>1923</v>
      </c>
      <c r="L11" s="2">
        <v>2811</v>
      </c>
      <c r="M11" s="2">
        <v>2903</v>
      </c>
      <c r="N11" s="2">
        <v>2915</v>
      </c>
      <c r="O11" s="2">
        <f>O40*(O21*365/1000)</f>
        <v>2695.6126667027006</v>
      </c>
      <c r="P11" s="2">
        <f t="shared" ref="P11:T11" si="5">P40*(P21*365/1000)</f>
        <v>2593.9940619621343</v>
      </c>
      <c r="Q11" s="2">
        <f t="shared" si="5"/>
        <v>2800.8285993975906</v>
      </c>
      <c r="R11" s="2">
        <f t="shared" si="5"/>
        <v>2914.1596350000004</v>
      </c>
      <c r="S11" s="2">
        <f t="shared" si="5"/>
        <v>2981.3203245641566</v>
      </c>
      <c r="T11" s="2">
        <f t="shared" si="5"/>
        <v>3043.190280422461</v>
      </c>
      <c r="U11" s="2"/>
      <c r="V11" s="2"/>
      <c r="W11" s="2"/>
      <c r="X11" s="2"/>
      <c r="Y11" s="2"/>
    </row>
    <row r="12" spans="1:25">
      <c r="D12" t="s">
        <v>0</v>
      </c>
      <c r="E12" s="2">
        <v>219.8</v>
      </c>
      <c r="F12" s="2">
        <v>300.72199999999998</v>
      </c>
      <c r="G12" s="2">
        <v>406</v>
      </c>
      <c r="H12" s="2">
        <v>271</v>
      </c>
      <c r="I12" s="2">
        <v>113</v>
      </c>
      <c r="J12" s="2">
        <v>19</v>
      </c>
      <c r="K12" s="2">
        <v>44</v>
      </c>
      <c r="L12" s="2">
        <v>77</v>
      </c>
      <c r="M12" s="2">
        <v>227</v>
      </c>
      <c r="N12" s="2">
        <v>570</v>
      </c>
      <c r="O12" s="2">
        <v>550</v>
      </c>
      <c r="P12" s="2">
        <f>b!T20/1000</f>
        <v>511.8610625</v>
      </c>
      <c r="Q12" s="2">
        <f>P12-SUM(b!T2)/1000-b!T3/1000-b!T4*4/12/1000</f>
        <v>483.52575000000002</v>
      </c>
      <c r="R12" s="2">
        <f>P12-SUM(b!T2:T4)/1000-b!T5/1000*1/12</f>
        <v>466.66460416666666</v>
      </c>
      <c r="S12" s="2">
        <f>P12-SUM(b!T2:T5)/1000-b!T6*8/12/1000</f>
        <v>408.87899999999996</v>
      </c>
      <c r="T12" s="2">
        <f>P12-SUM(b!T2:T6)/1000-b!T7*4/12/1000</f>
        <v>379.49500000000006</v>
      </c>
    </row>
    <row r="13" spans="1:25">
      <c r="A13" t="s">
        <v>33</v>
      </c>
      <c r="B13" s="2">
        <v>665</v>
      </c>
      <c r="D13" t="s">
        <v>1</v>
      </c>
      <c r="E13" s="2">
        <v>545.09100000000001</v>
      </c>
      <c r="F13" s="2">
        <v>1252.0360000000001</v>
      </c>
      <c r="G13" s="2">
        <v>890</v>
      </c>
      <c r="H13" s="2">
        <v>387</v>
      </c>
      <c r="I13" s="2">
        <v>-3483</v>
      </c>
      <c r="J13" s="2">
        <v>1110</v>
      </c>
      <c r="K13" s="2">
        <v>1123</v>
      </c>
      <c r="L13" s="2">
        <v>-380</v>
      </c>
      <c r="M13" s="2">
        <v>548</v>
      </c>
      <c r="N13" s="2">
        <v>1144</v>
      </c>
      <c r="O13" s="5">
        <f t="shared" ref="O13:S13" si="6">(O6-O7-O8-O9-O10-O11-O12)*O42</f>
        <v>-588.28442821272426</v>
      </c>
      <c r="P13" s="5">
        <f t="shared" si="6"/>
        <v>-719.91274759849409</v>
      </c>
      <c r="Q13" s="5">
        <f t="shared" si="6"/>
        <v>-474.49912175593971</v>
      </c>
      <c r="R13" s="5">
        <f t="shared" si="6"/>
        <v>-329.54923908724356</v>
      </c>
      <c r="S13" s="5">
        <f t="shared" si="6"/>
        <v>-232.67794064802774</v>
      </c>
      <c r="T13" s="5">
        <f>(T6-T7-T8-T9-T10-T11-T12)*T42</f>
        <v>431.37583881838066</v>
      </c>
    </row>
    <row r="14" spans="1:25">
      <c r="D14" t="s">
        <v>2</v>
      </c>
      <c r="E14" s="2">
        <v>0</v>
      </c>
      <c r="F14" s="2">
        <v>0</v>
      </c>
      <c r="G14" s="2">
        <v>0</v>
      </c>
      <c r="H14" s="2">
        <v>0</v>
      </c>
      <c r="I14" s="2">
        <v>25</v>
      </c>
      <c r="J14" s="2">
        <v>0</v>
      </c>
      <c r="K14" s="2">
        <v>15</v>
      </c>
      <c r="L14" s="2">
        <v>175</v>
      </c>
      <c r="M14" s="2">
        <v>170</v>
      </c>
      <c r="N14" s="2">
        <v>139</v>
      </c>
      <c r="O14" s="5">
        <f>N14*3/4</f>
        <v>104.25</v>
      </c>
      <c r="P14" s="5">
        <v>0</v>
      </c>
      <c r="Q14" s="5">
        <f t="shared" ref="Q14:T14" si="7">P14*3/4</f>
        <v>0</v>
      </c>
      <c r="R14" s="5">
        <f t="shared" si="7"/>
        <v>0</v>
      </c>
      <c r="S14" s="5">
        <f t="shared" si="7"/>
        <v>0</v>
      </c>
      <c r="T14" s="5">
        <f t="shared" si="7"/>
        <v>0</v>
      </c>
    </row>
    <row r="15" spans="1:25">
      <c r="A15">
        <v>2015</v>
      </c>
      <c r="B15" s="5">
        <v>-551</v>
      </c>
      <c r="D15" t="s">
        <v>3</v>
      </c>
      <c r="E15" s="2">
        <v>948.30200000000002</v>
      </c>
      <c r="F15" s="2">
        <v>2003.3230000000001</v>
      </c>
      <c r="G15" s="2">
        <v>1451</v>
      </c>
      <c r="H15" s="2">
        <v>604</v>
      </c>
      <c r="I15" s="2">
        <v>-5830</v>
      </c>
      <c r="J15" s="2">
        <v>1774</v>
      </c>
      <c r="K15" s="2">
        <v>1742</v>
      </c>
      <c r="L15" s="2">
        <v>-769</v>
      </c>
      <c r="M15" s="2">
        <v>724</v>
      </c>
      <c r="N15" s="2">
        <v>1917</v>
      </c>
      <c r="O15" s="2">
        <f t="shared" ref="O15:S15" si="8">IF(O13&gt;0,O6-SUM(O7:O12,O14)-O13,O6-SUM(O7:O12,O14))</f>
        <v>-1694.2079140884439</v>
      </c>
      <c r="P15" s="2">
        <f t="shared" si="8"/>
        <v>-1945.7101286445791</v>
      </c>
      <c r="Q15" s="2">
        <f t="shared" si="8"/>
        <v>-1282.4300587998364</v>
      </c>
      <c r="R15" s="2">
        <f t="shared" si="8"/>
        <v>-890.67361915471247</v>
      </c>
      <c r="S15" s="2">
        <f t="shared" si="8"/>
        <v>-628.8592990487241</v>
      </c>
      <c r="T15" s="2">
        <f>IF(T13&gt;0,T6-SUM(T7:T12,T14)-T13,T6-SUM(T7:T12,T14))</f>
        <v>734.50480663670248</v>
      </c>
      <c r="U15" s="2"/>
      <c r="V15" s="7"/>
      <c r="W15" s="7"/>
      <c r="X15" s="2"/>
      <c r="Y15" s="2"/>
    </row>
    <row r="16" spans="1:25">
      <c r="A16">
        <v>2016</v>
      </c>
      <c r="B16" s="5">
        <f>SUM(P30:P33)</f>
        <v>-1319.2435973074448</v>
      </c>
      <c r="D16" t="s">
        <v>7</v>
      </c>
      <c r="E16" s="2">
        <v>2667.9879999999998</v>
      </c>
      <c r="F16" s="2">
        <v>4421.9189999999999</v>
      </c>
      <c r="G16" s="2">
        <v>4994</v>
      </c>
      <c r="H16" s="2">
        <v>5634</v>
      </c>
      <c r="I16" s="2">
        <v>-7330</v>
      </c>
      <c r="J16" s="2">
        <v>4419</v>
      </c>
      <c r="K16" s="2">
        <v>4844</v>
      </c>
      <c r="L16" s="2">
        <v>1117</v>
      </c>
      <c r="M16" s="2">
        <v>4972</v>
      </c>
      <c r="N16" s="2">
        <v>4998</v>
      </c>
      <c r="O16" s="5">
        <f>O15+O11+O12</f>
        <v>1551.4047526142567</v>
      </c>
      <c r="P16" s="5">
        <f t="shared" ref="P16:T16" si="9">P15+P11+P12</f>
        <v>1160.1449958175554</v>
      </c>
      <c r="Q16" s="5">
        <f t="shared" si="9"/>
        <v>2001.9242905977542</v>
      </c>
      <c r="R16" s="5">
        <f t="shared" si="9"/>
        <v>2490.1506200119547</v>
      </c>
      <c r="S16" s="5">
        <f t="shared" si="9"/>
        <v>2761.3400255154324</v>
      </c>
      <c r="T16" s="5">
        <f t="shared" si="9"/>
        <v>4157.1900870591635</v>
      </c>
      <c r="U16" s="5"/>
      <c r="V16" s="5"/>
      <c r="W16" s="2"/>
    </row>
    <row r="17" spans="1:26">
      <c r="A17">
        <v>2017</v>
      </c>
      <c r="B17" s="5">
        <f>SUM(P30:Q33)</f>
        <v>-3265.2238342096907</v>
      </c>
      <c r="D17" s="33" t="s">
        <v>18</v>
      </c>
      <c r="E17" s="9">
        <v>-6781.5550000000003</v>
      </c>
      <c r="F17" s="9">
        <v>-8725.7060000000001</v>
      </c>
      <c r="G17" s="9">
        <v>-9705</v>
      </c>
      <c r="H17" s="9">
        <v>-17770</v>
      </c>
      <c r="I17" s="9">
        <v>-7524</v>
      </c>
      <c r="J17" s="9">
        <v>-13513</v>
      </c>
      <c r="K17" s="9">
        <v>-14450</v>
      </c>
      <c r="L17" s="9">
        <v>-14742</v>
      </c>
      <c r="M17" s="9">
        <v>-7608</v>
      </c>
      <c r="N17" s="9">
        <v>-6618</v>
      </c>
      <c r="O17" s="9">
        <v>-3725</v>
      </c>
      <c r="P17" s="9">
        <v>-1300</v>
      </c>
      <c r="Q17" s="9">
        <v>-1500</v>
      </c>
      <c r="R17" s="9">
        <v>-1900</v>
      </c>
      <c r="S17" s="9">
        <v>-2000</v>
      </c>
      <c r="T17" s="9">
        <v>-2000</v>
      </c>
      <c r="U17" s="2"/>
      <c r="V17" s="2"/>
      <c r="W17" s="2"/>
      <c r="X17" s="4"/>
      <c r="Y17" s="4"/>
      <c r="Z17" s="4"/>
    </row>
    <row r="18" spans="1:26" s="33" customFormat="1">
      <c r="A18" s="34">
        <v>2018</v>
      </c>
      <c r="B18" s="35">
        <f>SUM(P30:R33)</f>
        <v>-4155.7391177394029</v>
      </c>
      <c r="D18" s="33" t="s">
        <v>19</v>
      </c>
      <c r="E18" s="9">
        <v>2406.8879999999999</v>
      </c>
      <c r="F18" s="9">
        <v>4843.4740000000002</v>
      </c>
      <c r="G18" s="9">
        <v>4932</v>
      </c>
      <c r="H18" s="9">
        <v>5357</v>
      </c>
      <c r="I18" s="9">
        <v>4356</v>
      </c>
      <c r="J18" s="9">
        <v>5117</v>
      </c>
      <c r="K18" s="9">
        <v>5903</v>
      </c>
      <c r="L18" s="9">
        <v>2837</v>
      </c>
      <c r="M18" s="9">
        <v>4614</v>
      </c>
      <c r="N18" s="9">
        <v>4634</v>
      </c>
      <c r="O18" s="9">
        <f>O15+O11+O12*(1-O42)</f>
        <v>1347.9047526142567</v>
      </c>
      <c r="P18" s="9">
        <f>P15+P11+P12*(1-P42)</f>
        <v>970.75640269255518</v>
      </c>
      <c r="Q18" s="9">
        <f t="shared" ref="Q18:T18" si="10">Q15+Q11+Q12*(1-Q42)</f>
        <v>1823.0197630977541</v>
      </c>
      <c r="R18" s="9">
        <f t="shared" si="10"/>
        <v>2317.4847164702878</v>
      </c>
      <c r="S18" s="9">
        <f t="shared" si="10"/>
        <v>2610.0547955154325</v>
      </c>
      <c r="T18" s="9">
        <f t="shared" si="10"/>
        <v>4016.7769370591636</v>
      </c>
      <c r="U18" s="9"/>
      <c r="V18" s="9"/>
      <c r="W18" s="9"/>
      <c r="X18" s="9"/>
      <c r="Y18" s="9"/>
    </row>
    <row r="19" spans="1:26">
      <c r="A19">
        <v>2019</v>
      </c>
      <c r="B19" s="5">
        <f>SUM(P30:S33)</f>
        <v>-5019.6843222239704</v>
      </c>
      <c r="D19" t="s">
        <v>35</v>
      </c>
      <c r="E19" s="2">
        <v>7.1391</v>
      </c>
      <c r="F19" s="2">
        <v>4.8132999999999999</v>
      </c>
      <c r="G19" s="2">
        <v>9.7395999999999994</v>
      </c>
      <c r="H19" s="2">
        <v>31.107099999999999</v>
      </c>
      <c r="I19" s="2" t="s">
        <v>34</v>
      </c>
      <c r="J19" s="2">
        <v>11.382999999999999</v>
      </c>
      <c r="K19" s="2">
        <v>13.6935</v>
      </c>
      <c r="L19" s="2" t="s">
        <v>34</v>
      </c>
      <c r="M19" s="2">
        <v>48.217300000000002</v>
      </c>
      <c r="N19" s="2">
        <v>18.118600000000001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/>
      <c r="V19" s="4"/>
      <c r="W19" s="4"/>
      <c r="X19" s="4"/>
      <c r="Y19" s="4"/>
    </row>
    <row r="20" spans="1:26">
      <c r="A20">
        <v>2020</v>
      </c>
      <c r="B20" s="5">
        <f>SUM(P30:T33)</f>
        <v>-5343.9073851648063</v>
      </c>
      <c r="E20" s="2"/>
    </row>
    <row r="21" spans="1:26">
      <c r="B21" s="5">
        <f>B20+B15</f>
        <v>-5894.9073851648063</v>
      </c>
      <c r="D21" t="s">
        <v>17</v>
      </c>
      <c r="E21" s="2">
        <v>213.96</v>
      </c>
      <c r="F21" s="2">
        <v>264.10000000000002</v>
      </c>
      <c r="G21" s="2">
        <v>326.13670000000002</v>
      </c>
      <c r="H21" s="2">
        <v>383.76</v>
      </c>
      <c r="I21" s="2">
        <v>413.51600000000002</v>
      </c>
      <c r="J21" s="2">
        <v>472.73829999999998</v>
      </c>
      <c r="K21" s="2">
        <v>545.11329999999998</v>
      </c>
      <c r="L21" s="2">
        <v>647.66669999999999</v>
      </c>
      <c r="M21" s="2">
        <v>669.59</v>
      </c>
      <c r="N21" s="2">
        <v>706.30139999999994</v>
      </c>
      <c r="O21" s="2">
        <f>O23+O25+Лист2!E50/5.8*1000</f>
        <v>690.20936287356312</v>
      </c>
      <c r="P21" s="2">
        <f>P23+P25+Лист2!F50/5.81*1000</f>
        <v>646.07573149741825</v>
      </c>
      <c r="Q21" s="2">
        <f>Q23+Q25+Лист2!G50/5.81*1000</f>
        <v>644.83218588640284</v>
      </c>
      <c r="R21" s="2">
        <f>R23+R25+Лист2!H50/5.81*1000</f>
        <v>670.92428571428582</v>
      </c>
      <c r="S21" s="2">
        <f>S23+S25+Лист2!I50/5.81*1000</f>
        <v>686.38662934595527</v>
      </c>
      <c r="T21" s="2">
        <f>T23+T25+Лист2!J50/5.81*1000</f>
        <v>700.63089223493978</v>
      </c>
      <c r="U21" s="2"/>
      <c r="V21" s="2"/>
      <c r="W21" s="2"/>
      <c r="X21" s="2"/>
      <c r="Y21" s="2"/>
    </row>
    <row r="22" spans="1:26" ht="14.25" customHeight="1">
      <c r="B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4">
        <f>P21/O21-1</f>
        <v>-6.3942382920455287E-2</v>
      </c>
      <c r="Q22" s="4">
        <f t="shared" ref="Q22:T22" si="11">Q21/P21-1</f>
        <v>-1.9247675626713479E-3</v>
      </c>
      <c r="R22" s="4">
        <f t="shared" si="11"/>
        <v>4.0463395591856299E-2</v>
      </c>
      <c r="S22" s="4">
        <f t="shared" si="11"/>
        <v>2.3046331696292333E-2</v>
      </c>
      <c r="T22" s="4">
        <f t="shared" si="11"/>
        <v>2.0752535495275559E-2</v>
      </c>
      <c r="U22" s="2"/>
      <c r="V22" s="2"/>
      <c r="W22" s="2"/>
      <c r="X22" s="2"/>
      <c r="Y22" s="2"/>
    </row>
    <row r="23" spans="1:26">
      <c r="D23" t="s">
        <v>82</v>
      </c>
      <c r="E23" s="2">
        <v>21.09</v>
      </c>
      <c r="F23" s="2">
        <v>23.7</v>
      </c>
      <c r="G23" s="2">
        <v>27.07</v>
      </c>
      <c r="H23" s="2">
        <v>30.74</v>
      </c>
      <c r="I23" s="2">
        <v>32.328800000000001</v>
      </c>
      <c r="J23" s="2">
        <v>50.41</v>
      </c>
      <c r="K23" s="2">
        <v>86.78</v>
      </c>
      <c r="L23" s="2">
        <v>85.42</v>
      </c>
      <c r="M23" s="2">
        <v>112.6</v>
      </c>
      <c r="N23" s="2">
        <v>115.8904</v>
      </c>
      <c r="O23" s="2">
        <v>120</v>
      </c>
      <c r="P23" s="2">
        <v>115</v>
      </c>
      <c r="Q23" s="2">
        <v>110</v>
      </c>
      <c r="R23" s="2">
        <v>120</v>
      </c>
      <c r="S23" s="2">
        <v>120</v>
      </c>
      <c r="T23" s="2">
        <v>120</v>
      </c>
      <c r="U23" s="2"/>
      <c r="V23" s="2"/>
      <c r="W23" s="2"/>
      <c r="X23" s="2"/>
      <c r="Y23" s="2"/>
    </row>
    <row r="24" spans="1:26">
      <c r="E24" s="4">
        <f>E23/E21</f>
        <v>9.8569826135726304E-2</v>
      </c>
      <c r="F24" s="4">
        <f t="shared" ref="F24:T24" si="12">F23/F21</f>
        <v>8.9738735327527436E-2</v>
      </c>
      <c r="G24" s="4">
        <f t="shared" si="12"/>
        <v>8.3002004987479172E-2</v>
      </c>
      <c r="H24" s="4">
        <f t="shared" si="12"/>
        <v>8.0102147175317912E-2</v>
      </c>
      <c r="I24" s="4">
        <f t="shared" si="12"/>
        <v>7.8180288066241693E-2</v>
      </c>
      <c r="J24" s="4">
        <f t="shared" si="12"/>
        <v>0.106634051017233</v>
      </c>
      <c r="K24" s="4">
        <f t="shared" si="12"/>
        <v>0.15919626250175881</v>
      </c>
      <c r="L24" s="4">
        <f t="shared" si="12"/>
        <v>0.13188882491565493</v>
      </c>
      <c r="M24" s="4">
        <f t="shared" si="12"/>
        <v>0.16816260696844335</v>
      </c>
      <c r="N24" s="4">
        <f t="shared" si="12"/>
        <v>0.16408066018274919</v>
      </c>
      <c r="O24" s="4">
        <f t="shared" si="12"/>
        <v>0.17386029001461453</v>
      </c>
      <c r="P24" s="4">
        <f t="shared" si="12"/>
        <v>0.17799770892719183</v>
      </c>
      <c r="Q24" s="4">
        <f t="shared" si="12"/>
        <v>0.17058701846402283</v>
      </c>
      <c r="R24" s="4">
        <f t="shared" si="12"/>
        <v>0.17885773783288297</v>
      </c>
      <c r="S24" s="4">
        <f t="shared" si="12"/>
        <v>0.17482858037946589</v>
      </c>
      <c r="T24" s="4">
        <f t="shared" si="12"/>
        <v>0.1712742063331128</v>
      </c>
      <c r="U24" s="4"/>
      <c r="V24" s="4"/>
      <c r="W24" s="4"/>
      <c r="X24" s="4"/>
      <c r="Y24" s="4"/>
    </row>
    <row r="25" spans="1:26">
      <c r="D25" t="s">
        <v>83</v>
      </c>
      <c r="E25" s="2" t="s">
        <v>34</v>
      </c>
      <c r="F25" s="2" t="s">
        <v>34</v>
      </c>
      <c r="G25" s="2" t="s">
        <v>34</v>
      </c>
      <c r="H25" s="2" t="s">
        <v>34</v>
      </c>
      <c r="I25" s="2" t="s">
        <v>34</v>
      </c>
      <c r="J25" s="2" t="s">
        <v>34</v>
      </c>
      <c r="K25" s="2" t="s">
        <v>34</v>
      </c>
      <c r="L25" s="2">
        <v>48.13</v>
      </c>
      <c r="M25" s="2">
        <v>57.26</v>
      </c>
      <c r="N25" s="2">
        <v>90.684899999999999</v>
      </c>
      <c r="O25" s="2">
        <f>N25*(1-0.08)</f>
        <v>83.430108000000004</v>
      </c>
      <c r="P25" s="2">
        <v>70</v>
      </c>
      <c r="Q25" s="2">
        <v>60</v>
      </c>
      <c r="R25" s="2">
        <v>60</v>
      </c>
      <c r="S25" s="2">
        <v>60</v>
      </c>
      <c r="T25" s="2">
        <v>60</v>
      </c>
      <c r="U25" s="2"/>
      <c r="V25" s="2"/>
      <c r="W25" s="2"/>
      <c r="X25" s="2"/>
      <c r="Y25" s="2"/>
    </row>
    <row r="26" spans="1:26">
      <c r="E26" s="2"/>
      <c r="F26" s="2"/>
      <c r="G26" s="2"/>
      <c r="H26" s="2"/>
      <c r="I26" s="2"/>
      <c r="J26" s="2"/>
      <c r="K26" s="2"/>
      <c r="L26" s="4">
        <f>L25/L21</f>
        <v>7.4312914343133599E-2</v>
      </c>
      <c r="M26" s="4">
        <f t="shared" ref="M26:T26" si="13">M25/M21</f>
        <v>8.5515016651981052E-2</v>
      </c>
      <c r="N26" s="4">
        <f t="shared" si="13"/>
        <v>0.12839405386992014</v>
      </c>
      <c r="O26" s="4">
        <f t="shared" si="13"/>
        <v>0.12087652310692176</v>
      </c>
      <c r="P26" s="4">
        <f t="shared" si="13"/>
        <v>0.10834643152089937</v>
      </c>
      <c r="Q26" s="4">
        <f t="shared" si="13"/>
        <v>9.3047464616739725E-2</v>
      </c>
      <c r="R26" s="4">
        <f t="shared" si="13"/>
        <v>8.9428868916441487E-2</v>
      </c>
      <c r="S26" s="4">
        <f t="shared" si="13"/>
        <v>8.7414290189732943E-2</v>
      </c>
      <c r="T26" s="4">
        <f t="shared" si="13"/>
        <v>8.56371031665564E-2</v>
      </c>
      <c r="U26" s="4"/>
      <c r="V26" s="4"/>
      <c r="W26" s="4"/>
      <c r="X26" s="4"/>
      <c r="Y26" s="4"/>
    </row>
    <row r="27" spans="1:26">
      <c r="D27" t="s">
        <v>219</v>
      </c>
      <c r="E27" s="2">
        <f t="shared" ref="E27:J27" si="14">E21*(1-E24)*5.8</f>
        <v>1118.646</v>
      </c>
      <c r="F27" s="2">
        <f t="shared" si="14"/>
        <v>1394.3200000000002</v>
      </c>
      <c r="G27" s="2">
        <f t="shared" si="14"/>
        <v>1734.5868600000001</v>
      </c>
      <c r="H27" s="2">
        <f t="shared" si="14"/>
        <v>2047.5159999999998</v>
      </c>
      <c r="I27" s="2">
        <f t="shared" si="14"/>
        <v>2210.8857600000001</v>
      </c>
      <c r="J27" s="2">
        <f t="shared" si="14"/>
        <v>2449.5041399999996</v>
      </c>
      <c r="K27" s="2">
        <f>K21*(1-K24)*5.8</f>
        <v>2658.3331400000002</v>
      </c>
      <c r="L27" s="2">
        <f t="shared" ref="L27:M27" si="15">L21*(1-L24-L26)*5.8</f>
        <v>2981.8768600000003</v>
      </c>
      <c r="M27" s="2">
        <f t="shared" si="15"/>
        <v>2898.4340000000002</v>
      </c>
      <c r="N27" s="2">
        <f>N21*(1-N24-N26)*5.8</f>
        <v>2898.4113799999996</v>
      </c>
      <c r="O27" s="2">
        <f>O21*(1-O24)*5.8</f>
        <v>3307.2143046666661</v>
      </c>
      <c r="P27" s="2">
        <f t="shared" ref="P27:Q27" si="16">P21*(1-P24)*5.8</f>
        <v>3080.2392426850256</v>
      </c>
      <c r="Q27" s="2">
        <f t="shared" si="16"/>
        <v>3102.0266781411365</v>
      </c>
      <c r="R27" s="2">
        <f>R21*(1-R24)*5.8</f>
        <v>3195.3608571428576</v>
      </c>
      <c r="S27" s="2">
        <f>S21*(1-S24)*5.8</f>
        <v>3285.0424502065403</v>
      </c>
      <c r="T27" s="2">
        <f>T21*(1-T24)*5.8</f>
        <v>3367.6591749626505</v>
      </c>
      <c r="U27" s="2"/>
      <c r="V27" s="2"/>
      <c r="W27" s="2"/>
      <c r="X27" s="2"/>
      <c r="Y27" s="2"/>
    </row>
    <row r="28" spans="1:26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>
      <c r="F29">
        <v>2006</v>
      </c>
      <c r="G29">
        <f>F29+1</f>
        <v>2007</v>
      </c>
      <c r="H29">
        <f t="shared" ref="H29:M29" si="17">G29+1</f>
        <v>2008</v>
      </c>
      <c r="I29">
        <f t="shared" si="17"/>
        <v>2009</v>
      </c>
      <c r="J29">
        <f t="shared" si="17"/>
        <v>2010</v>
      </c>
      <c r="K29">
        <f t="shared" si="17"/>
        <v>2011</v>
      </c>
      <c r="L29">
        <f t="shared" si="17"/>
        <v>2012</v>
      </c>
      <c r="M29">
        <f t="shared" si="17"/>
        <v>2013</v>
      </c>
    </row>
    <row r="30" spans="1:26">
      <c r="D30" s="33" t="s">
        <v>30</v>
      </c>
      <c r="E30" s="9"/>
      <c r="F30" s="9">
        <f t="shared" ref="F30:M30" si="18">F48*(F21*365/1000)</f>
        <v>-3882.2319999999995</v>
      </c>
      <c r="G30" s="9">
        <f t="shared" si="18"/>
        <v>-4773</v>
      </c>
      <c r="H30" s="9">
        <f t="shared" si="18"/>
        <v>-12412.999999999998</v>
      </c>
      <c r="I30" s="9">
        <f t="shared" si="18"/>
        <v>-3167.9999999999995</v>
      </c>
      <c r="J30" s="9">
        <f t="shared" si="18"/>
        <v>-8396</v>
      </c>
      <c r="K30" s="9">
        <f t="shared" si="18"/>
        <v>-8546.9999999999982</v>
      </c>
      <c r="L30" s="9">
        <f t="shared" si="18"/>
        <v>-11905.000000000002</v>
      </c>
      <c r="M30" s="9">
        <f t="shared" si="18"/>
        <v>-2994</v>
      </c>
      <c r="N30" s="9">
        <f>N48*(N21*365/1000)</f>
        <v>-1984.0000000000002</v>
      </c>
      <c r="O30" s="9">
        <f>O18+O17</f>
        <v>-2377.0952473857433</v>
      </c>
      <c r="P30" s="9">
        <f>P18+P17</f>
        <v>-329.24359730744482</v>
      </c>
      <c r="Q30" s="9">
        <f t="shared" ref="Q30:T30" si="19">Q18+Q17</f>
        <v>323.01976309775409</v>
      </c>
      <c r="R30" s="9">
        <f t="shared" si="19"/>
        <v>417.48471647028782</v>
      </c>
      <c r="S30" s="9">
        <f t="shared" si="19"/>
        <v>610.05479551543249</v>
      </c>
      <c r="T30" s="9">
        <f t="shared" si="19"/>
        <v>2016.7769370591636</v>
      </c>
      <c r="U30" s="2"/>
      <c r="V30" s="2"/>
      <c r="W30" s="2"/>
      <c r="X30" s="2"/>
      <c r="Y30" s="2"/>
    </row>
    <row r="31" spans="1:26">
      <c r="N31" s="3"/>
      <c r="O31" s="5">
        <v>-500</v>
      </c>
      <c r="P31" s="5">
        <v>-490</v>
      </c>
      <c r="Q31" s="5">
        <v>-440</v>
      </c>
      <c r="R31" s="5">
        <v>-430</v>
      </c>
      <c r="S31" s="5">
        <v>-370</v>
      </c>
      <c r="T31" s="5">
        <v>-340</v>
      </c>
    </row>
    <row r="32" spans="1:26">
      <c r="O32" s="2">
        <v>-175</v>
      </c>
      <c r="P32" s="2">
        <v>0</v>
      </c>
      <c r="Q32" s="2">
        <f t="shared" ref="Q32" si="20">P32</f>
        <v>0</v>
      </c>
      <c r="R32" s="2">
        <v>0</v>
      </c>
      <c r="S32" s="2">
        <v>0</v>
      </c>
      <c r="T32" s="2">
        <f>-175*5</f>
        <v>-875</v>
      </c>
      <c r="U32" s="2"/>
      <c r="V32" s="2"/>
      <c r="W32" s="2"/>
      <c r="X32" s="2"/>
      <c r="Y32" s="2"/>
    </row>
    <row r="33" spans="4:25">
      <c r="P33">
        <v>-500</v>
      </c>
      <c r="Q33">
        <v>-1829</v>
      </c>
      <c r="R33" s="2">
        <v>-878</v>
      </c>
      <c r="S33">
        <v>-1104</v>
      </c>
      <c r="T33">
        <v>-1126</v>
      </c>
    </row>
    <row r="34" spans="4:25">
      <c r="D34" s="1" t="s">
        <v>21</v>
      </c>
      <c r="E34" s="7">
        <f>E37/E35</f>
        <v>6.3527150555294967E-2</v>
      </c>
      <c r="F34" s="7">
        <f t="shared" ref="F34:O34" si="21">F37/F35</f>
        <v>3.1401197459855978E-2</v>
      </c>
      <c r="G34" s="7">
        <f t="shared" si="21"/>
        <v>3.8406827880512091E-2</v>
      </c>
      <c r="H34" s="7">
        <f t="shared" si="21"/>
        <v>3.614151183507254E-2</v>
      </c>
      <c r="I34" s="7">
        <f t="shared" si="21"/>
        <v>2.1192315309962372E-2</v>
      </c>
      <c r="J34" s="7">
        <f t="shared" si="21"/>
        <v>2.7802372941384802E-2</v>
      </c>
      <c r="K34" s="7">
        <f t="shared" si="21"/>
        <v>3.1872509960159362E-2</v>
      </c>
      <c r="L34" s="7">
        <f t="shared" si="21"/>
        <v>2.9945842625039819E-2</v>
      </c>
      <c r="M34" s="7">
        <f t="shared" si="21"/>
        <v>3.2473057288712422E-2</v>
      </c>
      <c r="N34" s="7">
        <f t="shared" si="21"/>
        <v>2.8361858190709046E-2</v>
      </c>
      <c r="O34" s="7">
        <f t="shared" si="21"/>
        <v>4.1429549506147509E-2</v>
      </c>
      <c r="P34" s="7">
        <f t="shared" ref="P34" si="22">P37/P35</f>
        <v>5.3135717949615774E-2</v>
      </c>
      <c r="Q34" s="7">
        <f t="shared" ref="Q34" si="23">Q37/Q35</f>
        <v>5.3049398904047154E-2</v>
      </c>
      <c r="R34" s="7">
        <f t="shared" ref="R34" si="24">R37/R35</f>
        <v>4.7922534332143163E-2</v>
      </c>
      <c r="S34" s="7">
        <f t="shared" ref="S34" si="25">S37/S35</f>
        <v>4.5663663642829221E-2</v>
      </c>
      <c r="T34" s="7">
        <f t="shared" ref="T34" si="26">T37/T35</f>
        <v>3.276526342607039E-2</v>
      </c>
      <c r="U34" s="7"/>
      <c r="V34" s="7"/>
      <c r="W34" s="7"/>
      <c r="X34" s="7"/>
      <c r="Y34" s="7"/>
    </row>
    <row r="35" spans="4:25">
      <c r="D35" t="s">
        <v>20</v>
      </c>
      <c r="E35" s="2">
        <f t="shared" ref="E35:F37" si="27">E6/(E$21*365/1000)</f>
        <v>41.904964953121436</v>
      </c>
      <c r="F35" s="2">
        <f t="shared" si="27"/>
        <v>58.28939847401098</v>
      </c>
      <c r="G35" s="2">
        <f t="shared" ref="G35:N35" si="28">G6/(G21*365/1000)</f>
        <v>47.244665129935363</v>
      </c>
      <c r="H35" s="2">
        <f t="shared" si="28"/>
        <v>56.099559941858644</v>
      </c>
      <c r="I35" s="2">
        <f t="shared" si="28"/>
        <v>33.451853646119538</v>
      </c>
      <c r="J35" s="2">
        <f t="shared" si="28"/>
        <v>32.726844591843587</v>
      </c>
      <c r="K35" s="2">
        <f t="shared" si="28"/>
        <v>30.276475714390195</v>
      </c>
      <c r="L35" s="2">
        <f t="shared" si="28"/>
        <v>26.556869451524989</v>
      </c>
      <c r="M35" s="2">
        <f t="shared" si="28"/>
        <v>28.854295830591077</v>
      </c>
      <c r="N35" s="2">
        <f t="shared" si="28"/>
        <v>31.730021919975794</v>
      </c>
      <c r="O35" s="2">
        <f t="shared" ref="O35:T35" si="29">O6/(O21*365/1000)</f>
        <v>12.792801425981139</v>
      </c>
      <c r="P35" s="2">
        <f t="shared" si="29"/>
        <v>11.291839522502181</v>
      </c>
      <c r="Q35" s="2">
        <f t="shared" si="29"/>
        <v>15.080283971680739</v>
      </c>
      <c r="R35" s="2">
        <f t="shared" si="29"/>
        <v>16.693607947679318</v>
      </c>
      <c r="S35" s="2">
        <f t="shared" si="29"/>
        <v>17.51940024474203</v>
      </c>
      <c r="T35" s="2">
        <f t="shared" si="29"/>
        <v>24.416101576752858</v>
      </c>
      <c r="U35" s="2"/>
      <c r="V35" s="2"/>
      <c r="W35" s="2"/>
      <c r="X35" s="2"/>
      <c r="Y35" s="2"/>
    </row>
    <row r="36" spans="4:25">
      <c r="D36" t="s">
        <v>22</v>
      </c>
      <c r="E36" s="17">
        <f t="shared" si="27"/>
        <v>4.0585745127113757</v>
      </c>
      <c r="F36" s="17">
        <f t="shared" si="27"/>
        <v>5.0779748227373398</v>
      </c>
      <c r="G36" s="17">
        <f t="shared" ref="G36:N37" si="30">G7/(G$21*365/1000)</f>
        <v>5.3763488056825448</v>
      </c>
      <c r="H36" s="17">
        <f t="shared" si="30"/>
        <v>6.346717840202639</v>
      </c>
      <c r="I36" s="17">
        <f t="shared" si="30"/>
        <v>5.8038866694396356</v>
      </c>
      <c r="J36" s="17">
        <f t="shared" si="30"/>
        <v>5.1753271153738831</v>
      </c>
      <c r="K36" s="17">
        <f t="shared" si="30"/>
        <v>5.3928715872411486</v>
      </c>
      <c r="L36" s="17">
        <f t="shared" si="30"/>
        <v>5.5161130558758495</v>
      </c>
      <c r="M36" s="17">
        <f t="shared" si="30"/>
        <v>4.7422190680168832</v>
      </c>
      <c r="N36" s="17">
        <f t="shared" si="30"/>
        <v>4.6858027480844449</v>
      </c>
      <c r="O36" s="17">
        <v>4.5</v>
      </c>
      <c r="P36" s="17">
        <v>4.5</v>
      </c>
      <c r="Q36" s="17">
        <v>4.5</v>
      </c>
      <c r="R36" s="17">
        <v>4.5</v>
      </c>
      <c r="S36" s="17">
        <v>4.5</v>
      </c>
      <c r="T36" s="17">
        <v>4.5</v>
      </c>
      <c r="U36" s="2"/>
      <c r="V36" s="2"/>
      <c r="W36" s="2"/>
      <c r="X36" s="2"/>
      <c r="Y36" s="2"/>
    </row>
    <row r="37" spans="4:25">
      <c r="D37" t="s">
        <v>236</v>
      </c>
      <c r="E37" s="17">
        <f t="shared" si="27"/>
        <v>2.6621030175913045</v>
      </c>
      <c r="F37" s="17">
        <f t="shared" si="27"/>
        <v>1.8303569112986464</v>
      </c>
      <c r="G37" s="17">
        <f t="shared" si="30"/>
        <v>1.8145177219178588</v>
      </c>
      <c r="H37" s="17">
        <f t="shared" si="30"/>
        <v>2.0275229095810454</v>
      </c>
      <c r="I37" s="17">
        <f t="shared" si="30"/>
        <v>0.70892223017127964</v>
      </c>
      <c r="J37" s="17">
        <f t="shared" si="30"/>
        <v>0.90988393853717775</v>
      </c>
      <c r="K37" s="17">
        <f t="shared" si="30"/>
        <v>0.96498727376542448</v>
      </c>
      <c r="L37" s="17">
        <f t="shared" si="30"/>
        <v>0.79526783320909489</v>
      </c>
      <c r="M37" s="17">
        <f t="shared" si="30"/>
        <v>0.93698720153224002</v>
      </c>
      <c r="N37" s="17">
        <f t="shared" si="30"/>
        <v>0.89992238208244302</v>
      </c>
      <c r="O37" s="17">
        <v>0.53</v>
      </c>
      <c r="P37" s="17">
        <v>0.6</v>
      </c>
      <c r="Q37" s="17">
        <v>0.8</v>
      </c>
      <c r="R37" s="17">
        <v>0.8</v>
      </c>
      <c r="S37" s="17">
        <v>0.8</v>
      </c>
      <c r="T37" s="17">
        <v>0.8</v>
      </c>
      <c r="U37" s="2"/>
      <c r="V37" s="2"/>
      <c r="W37" s="2"/>
      <c r="X37" s="2"/>
      <c r="Y37" s="2"/>
    </row>
    <row r="38" spans="4:25">
      <c r="D38" t="s">
        <v>231</v>
      </c>
      <c r="E38" s="17" t="e">
        <f>E9/(E21*365/1000)</f>
        <v>#VALUE!</v>
      </c>
      <c r="F38" s="17">
        <f t="shared" ref="F38:N38" si="31">F9/(F21*365/1000)</f>
        <v>0.70461064457734446</v>
      </c>
      <c r="G38" s="17">
        <f t="shared" si="31"/>
        <v>0.78965123083462374</v>
      </c>
      <c r="H38" s="17">
        <f t="shared" si="31"/>
        <v>1.0209006199651038</v>
      </c>
      <c r="I38" s="17">
        <f t="shared" si="31"/>
        <v>1.2058303354315223</v>
      </c>
      <c r="J38" s="17">
        <f t="shared" si="31"/>
        <v>1.2054513325842864</v>
      </c>
      <c r="K38" s="17">
        <f t="shared" si="31"/>
        <v>2.0204421044463574</v>
      </c>
      <c r="L38" s="17">
        <f t="shared" si="31"/>
        <v>1.9670188427778146</v>
      </c>
      <c r="M38" s="17">
        <f t="shared" si="31"/>
        <v>3.01145231584161</v>
      </c>
      <c r="N38" s="17">
        <f t="shared" si="31"/>
        <v>1.6718385632652282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2"/>
      <c r="V38" s="2"/>
      <c r="W38" s="2"/>
      <c r="X38" s="2"/>
      <c r="Y38" s="2"/>
    </row>
    <row r="39" spans="4:25">
      <c r="D39" t="s">
        <v>232</v>
      </c>
      <c r="E39" s="17">
        <f>E10/(E21*365/1000)</f>
        <v>0.82299341574535756</v>
      </c>
      <c r="F39" s="17">
        <f t="shared" ref="F39:N39" si="32">F10/(F21*365/1000)</f>
        <v>1.4435378877863818</v>
      </c>
      <c r="G39" s="17">
        <f t="shared" si="32"/>
        <v>2.0413324371575912</v>
      </c>
      <c r="H39" s="17">
        <f t="shared" si="32"/>
        <v>2.6914652708170919</v>
      </c>
      <c r="I39" s="17">
        <f t="shared" si="32"/>
        <v>2.3122790498109964</v>
      </c>
      <c r="J39" s="17">
        <f t="shared" si="32"/>
        <v>2.6253339118302006</v>
      </c>
      <c r="K39" s="17">
        <f t="shared" si="32"/>
        <v>2.754234510538816</v>
      </c>
      <c r="L39" s="17">
        <f t="shared" si="32"/>
        <v>2.2631292062067327</v>
      </c>
      <c r="M39" s="17">
        <f t="shared" si="32"/>
        <v>1.869882755896217</v>
      </c>
      <c r="N39" s="17">
        <f t="shared" si="32"/>
        <v>1.2490302027178735</v>
      </c>
      <c r="O39" s="17">
        <f>O10/(O21*360/1000)</f>
        <v>1.2073631251014896</v>
      </c>
      <c r="P39" s="17">
        <f t="shared" ref="P39:T39" si="33">P10/(P21*360/1000)</f>
        <v>1.2898384704868973</v>
      </c>
      <c r="Q39" s="17">
        <f t="shared" si="33"/>
        <v>1.2923258974547183</v>
      </c>
      <c r="R39" s="17">
        <f t="shared" si="33"/>
        <v>1.242067623839465</v>
      </c>
      <c r="S39" s="17">
        <f t="shared" si="33"/>
        <v>1.214087363746291</v>
      </c>
      <c r="T39" s="17">
        <f t="shared" si="33"/>
        <v>1.1894042106466167</v>
      </c>
      <c r="U39" s="2"/>
      <c r="V39" s="2"/>
      <c r="W39" s="2"/>
      <c r="X39" s="2"/>
      <c r="Y39" s="2"/>
    </row>
    <row r="40" spans="4:25">
      <c r="D40" t="s">
        <v>238</v>
      </c>
      <c r="E40" s="2" t="e">
        <f>E11/(E21*365/1000)</f>
        <v>#VALUE!</v>
      </c>
      <c r="F40" s="2" t="e">
        <f t="shared" ref="F40:N40" si="34">F11/(F21*365/1000)</f>
        <v>#VALUE!</v>
      </c>
      <c r="G40" s="2" t="e">
        <f t="shared" si="34"/>
        <v>#VALUE!</v>
      </c>
      <c r="H40" s="2" t="e">
        <f t="shared" si="34"/>
        <v>#VALUE!</v>
      </c>
      <c r="I40" s="2">
        <f t="shared" si="34"/>
        <v>10.700087866603894</v>
      </c>
      <c r="J40" s="2">
        <f t="shared" si="34"/>
        <v>9.3538387057261456</v>
      </c>
      <c r="K40" s="2">
        <f t="shared" si="34"/>
        <v>9.6649506638068292</v>
      </c>
      <c r="L40" s="17">
        <f t="shared" si="34"/>
        <v>11.890946165695564</v>
      </c>
      <c r="M40" s="17">
        <f t="shared" si="34"/>
        <v>11.878051729467654</v>
      </c>
      <c r="N40" s="17">
        <f t="shared" si="34"/>
        <v>11.307214412803109</v>
      </c>
      <c r="O40" s="17">
        <v>10.7</v>
      </c>
      <c r="P40" s="17">
        <v>11</v>
      </c>
      <c r="Q40" s="17">
        <v>11.9</v>
      </c>
      <c r="R40" s="17">
        <v>11.9</v>
      </c>
      <c r="S40" s="17">
        <v>11.9</v>
      </c>
      <c r="T40" s="17">
        <v>11.9</v>
      </c>
      <c r="U40" s="2"/>
      <c r="V40" s="2"/>
      <c r="W40" s="2"/>
      <c r="X40" s="2"/>
      <c r="Y40" s="2"/>
    </row>
    <row r="41" spans="4:25">
      <c r="D41" t="s">
        <v>23</v>
      </c>
      <c r="E41" s="3">
        <f>E14/(E21*365/1000)</f>
        <v>0</v>
      </c>
      <c r="F41" s="3">
        <f>F14/(F21*365/1000)</f>
        <v>0</v>
      </c>
      <c r="G41" s="3">
        <f t="shared" ref="G41:N41" si="35">G14/(G21*365/1000)</f>
        <v>0</v>
      </c>
      <c r="H41" s="3">
        <f t="shared" si="35"/>
        <v>0</v>
      </c>
      <c r="I41" s="3">
        <f t="shared" si="35"/>
        <v>0.16563603508674757</v>
      </c>
      <c r="J41" s="3">
        <f t="shared" si="35"/>
        <v>0</v>
      </c>
      <c r="K41" s="3">
        <f t="shared" si="35"/>
        <v>7.5389630762923793E-2</v>
      </c>
      <c r="L41" s="3">
        <f t="shared" si="35"/>
        <v>0.74027590857229586</v>
      </c>
      <c r="M41" s="3">
        <f t="shared" si="35"/>
        <v>0.69558001860471963</v>
      </c>
      <c r="N41" s="3">
        <f t="shared" si="35"/>
        <v>0.53917763409249819</v>
      </c>
      <c r="O41">
        <v>0.5</v>
      </c>
      <c r="P41">
        <v>0.3</v>
      </c>
      <c r="Q41">
        <v>0.3</v>
      </c>
      <c r="R41">
        <v>0.3</v>
      </c>
      <c r="S41">
        <v>0.3</v>
      </c>
      <c r="T41">
        <v>0.3</v>
      </c>
    </row>
    <row r="42" spans="4:25">
      <c r="D42" t="s">
        <v>24</v>
      </c>
      <c r="E42" s="4">
        <f>E13/(E15+E13)</f>
        <v>0.36500171086914163</v>
      </c>
      <c r="F42" s="4">
        <f>F13/(F15+F13)</f>
        <v>0.38460765771148431</v>
      </c>
      <c r="G42" s="4">
        <f t="shared" ref="G42:N42" si="36">G13/(G15+G13)</f>
        <v>0.38017941050832976</v>
      </c>
      <c r="H42" s="4">
        <f t="shared" si="36"/>
        <v>0.39051463168516648</v>
      </c>
      <c r="I42" s="4">
        <f t="shared" si="36"/>
        <v>0.37399334263932138</v>
      </c>
      <c r="J42" s="4">
        <f t="shared" si="36"/>
        <v>0.38488210818307905</v>
      </c>
      <c r="K42" s="4">
        <f t="shared" si="36"/>
        <v>0.39197207678883073</v>
      </c>
      <c r="L42" s="4">
        <f t="shared" si="36"/>
        <v>0.3307223672758921</v>
      </c>
      <c r="M42" s="4">
        <f t="shared" si="36"/>
        <v>0.4308176100628931</v>
      </c>
      <c r="N42" s="4">
        <f t="shared" si="36"/>
        <v>0.37373407383208102</v>
      </c>
      <c r="O42" s="6">
        <v>0.37</v>
      </c>
      <c r="P42" s="6">
        <f t="shared" ref="P42:T42" si="37">O42</f>
        <v>0.37</v>
      </c>
      <c r="Q42" s="6">
        <f t="shared" si="37"/>
        <v>0.37</v>
      </c>
      <c r="R42" s="6">
        <f t="shared" si="37"/>
        <v>0.37</v>
      </c>
      <c r="S42" s="6">
        <f t="shared" si="37"/>
        <v>0.37</v>
      </c>
      <c r="T42" s="6">
        <f t="shared" si="37"/>
        <v>0.37</v>
      </c>
      <c r="U42" s="6"/>
      <c r="V42" s="6"/>
      <c r="W42" s="6"/>
      <c r="X42" s="6"/>
      <c r="Y42" s="6"/>
    </row>
    <row r="43" spans="4:25">
      <c r="D43" t="s">
        <v>31</v>
      </c>
      <c r="E43" s="2">
        <f>E15/(E$21*365/1000)</f>
        <v>12.142866289179644</v>
      </c>
      <c r="F43" s="2">
        <f>F15/(F$21*365/1000)</f>
        <v>20.782113458476186</v>
      </c>
      <c r="G43" s="2">
        <f t="shared" ref="G43:N43" si="38">G15/(G$21*365/1000)</f>
        <v>12.189190807883394</v>
      </c>
      <c r="H43" s="2">
        <f t="shared" si="38"/>
        <v>4.3120557654470124</v>
      </c>
      <c r="I43" s="2">
        <f t="shared" si="38"/>
        <v>-38.626323382229536</v>
      </c>
      <c r="J43" s="2">
        <f t="shared" si="38"/>
        <v>10.281108961560212</v>
      </c>
      <c r="K43" s="2">
        <f t="shared" si="38"/>
        <v>8.7552491192675497</v>
      </c>
      <c r="L43" s="2">
        <f t="shared" si="38"/>
        <v>-3.2529838496691168</v>
      </c>
      <c r="M43" s="2">
        <f t="shared" si="38"/>
        <v>2.962352549822453</v>
      </c>
      <c r="N43" s="2">
        <f t="shared" si="38"/>
        <v>7.4359965795346694</v>
      </c>
      <c r="O43" s="2">
        <f>(O35-O36-O37-O38-O39)*(1-O42)-O41</f>
        <v>3.6299261295541791</v>
      </c>
      <c r="P43" s="2">
        <f t="shared" ref="P43:T43" si="39">(P35-P36-P37-P38-P39)*(1-P42)-P41</f>
        <v>2.7882606627696296</v>
      </c>
      <c r="Q43" s="2">
        <f t="shared" si="39"/>
        <v>5.047413586762393</v>
      </c>
      <c r="R43" s="2">
        <f t="shared" si="39"/>
        <v>6.0954704040191077</v>
      </c>
      <c r="S43" s="2">
        <f t="shared" si="39"/>
        <v>6.6333471150273153</v>
      </c>
      <c r="T43" s="2">
        <f t="shared" si="39"/>
        <v>10.99381934064693</v>
      </c>
      <c r="U43" s="2"/>
      <c r="V43" s="2"/>
      <c r="W43" s="2"/>
      <c r="X43" s="2"/>
      <c r="Y43" s="2"/>
    </row>
    <row r="44" spans="4:25">
      <c r="D44" t="s">
        <v>32</v>
      </c>
      <c r="E44" s="2">
        <f>E12/(E21*365/1000)</f>
        <v>2.8145063601697409</v>
      </c>
      <c r="F44" s="2">
        <f>F12/(F21*365/1000)</f>
        <v>3.11963608637243</v>
      </c>
      <c r="G44" s="2">
        <f t="shared" ref="G44:N44" si="40">G12/(G21*365/1000)</f>
        <v>3.4106212736048644</v>
      </c>
      <c r="H44" s="2">
        <f t="shared" si="40"/>
        <v>1.9347137623114905</v>
      </c>
      <c r="I44" s="2">
        <f t="shared" si="40"/>
        <v>0.74867487859209902</v>
      </c>
      <c r="J44" s="2">
        <f t="shared" si="40"/>
        <v>0.1101133428802954</v>
      </c>
      <c r="K44" s="2">
        <f t="shared" si="40"/>
        <v>0.22114291690457646</v>
      </c>
      <c r="L44" s="2">
        <f t="shared" si="40"/>
        <v>0.32572139977181014</v>
      </c>
      <c r="M44" s="2">
        <f t="shared" si="40"/>
        <v>0.92880390719571393</v>
      </c>
      <c r="N44" s="2">
        <f t="shared" si="40"/>
        <v>2.2110161973577265</v>
      </c>
      <c r="O44" s="17">
        <f>O12/(O21*365/1000)</f>
        <v>2.1831771577177621</v>
      </c>
      <c r="P44" s="17">
        <f t="shared" ref="P44:S44" si="41">P12/(P21*365/1000)</f>
        <v>2.1705800217757747</v>
      </c>
      <c r="Q44" s="17">
        <f t="shared" si="41"/>
        <v>2.0543764892423533</v>
      </c>
      <c r="R44" s="17">
        <f t="shared" si="41"/>
        <v>1.9056295759800861</v>
      </c>
      <c r="S44" s="17">
        <f t="shared" si="41"/>
        <v>1.6320487469629139</v>
      </c>
      <c r="T44" s="17">
        <f>T12/(T21*365/1000)</f>
        <v>1.4839658660361794</v>
      </c>
      <c r="U44" s="2"/>
      <c r="V44" s="2"/>
      <c r="W44" s="2"/>
      <c r="X44" s="2"/>
      <c r="Y44" s="2"/>
    </row>
    <row r="45" spans="4:25">
      <c r="D45" t="s">
        <v>7</v>
      </c>
      <c r="E45" s="2">
        <f t="shared" ref="E45:F47" si="42">E16/(E$21*365/1000)</f>
        <v>34.163190149483832</v>
      </c>
      <c r="F45" s="2">
        <f t="shared" si="42"/>
        <v>45.872194529884375</v>
      </c>
      <c r="G45" s="2">
        <f t="shared" ref="G45:N45" si="43">G16/(G21*365/1000)</f>
        <v>41.952321774341605</v>
      </c>
      <c r="H45" s="2">
        <f t="shared" si="43"/>
        <v>40.222056593590175</v>
      </c>
      <c r="I45" s="2">
        <f t="shared" si="43"/>
        <v>-48.564485487434389</v>
      </c>
      <c r="J45" s="2">
        <f t="shared" si="43"/>
        <v>25.610045378317125</v>
      </c>
      <c r="K45" s="2">
        <f t="shared" si="43"/>
        <v>24.345824761040191</v>
      </c>
      <c r="L45" s="2">
        <f t="shared" si="43"/>
        <v>4.7250753707157394</v>
      </c>
      <c r="M45" s="2">
        <f t="shared" si="43"/>
        <v>20.34366972060392</v>
      </c>
      <c r="N45" s="2">
        <f t="shared" si="43"/>
        <v>19.387120972620906</v>
      </c>
    </row>
    <row r="46" spans="4:25">
      <c r="D46" t="s">
        <v>25</v>
      </c>
      <c r="E46" s="2">
        <f t="shared" si="42"/>
        <v>-86.836804728575558</v>
      </c>
      <c r="F46" s="2">
        <f t="shared" si="42"/>
        <v>-90.518908881546508</v>
      </c>
      <c r="G46" s="2">
        <f t="shared" ref="G46:Q46" si="44">G17/(G$21*365/1000)</f>
        <v>-81.527289311170463</v>
      </c>
      <c r="H46" s="2">
        <f t="shared" si="44"/>
        <v>-126.86296515230696</v>
      </c>
      <c r="I46" s="2">
        <f t="shared" si="44"/>
        <v>-49.849821119707549</v>
      </c>
      <c r="J46" s="2">
        <f t="shared" si="44"/>
        <v>-78.313768544285878</v>
      </c>
      <c r="K46" s="2">
        <f t="shared" si="44"/>
        <v>-72.625344301616579</v>
      </c>
      <c r="L46" s="2">
        <f t="shared" si="44"/>
        <v>-62.3608425381302</v>
      </c>
      <c r="M46" s="2">
        <f t="shared" si="44"/>
        <v>-31.129251656145335</v>
      </c>
      <c r="N46" s="2">
        <f t="shared" si="44"/>
        <v>-25.671061744058655</v>
      </c>
      <c r="O46" s="2">
        <f t="shared" si="44"/>
        <v>-14.786063477270298</v>
      </c>
      <c r="P46" s="2">
        <f t="shared" si="44"/>
        <v>-5.5127342848207119</v>
      </c>
      <c r="Q46" s="2">
        <f t="shared" si="44"/>
        <v>-6.3731140148451866</v>
      </c>
      <c r="R46" s="2">
        <v>-11</v>
      </c>
      <c r="S46" s="2">
        <v>-12</v>
      </c>
      <c r="T46" s="2">
        <v>-13</v>
      </c>
    </row>
    <row r="47" spans="4:25">
      <c r="D47" t="s">
        <v>26</v>
      </c>
      <c r="E47" s="2">
        <f t="shared" si="42"/>
        <v>30.819843422275827</v>
      </c>
      <c r="F47" s="2">
        <f t="shared" si="42"/>
        <v>50.245330483990593</v>
      </c>
      <c r="G47" s="2">
        <f t="shared" ref="G47:N47" si="45">G18/(G$21*365/1000)</f>
        <v>41.431487983791108</v>
      </c>
      <c r="H47" s="2">
        <f t="shared" si="45"/>
        <v>38.244507840231201</v>
      </c>
      <c r="I47" s="2">
        <f t="shared" si="45"/>
        <v>28.8604227535149</v>
      </c>
      <c r="J47" s="2">
        <f t="shared" si="45"/>
        <v>29.655261869393239</v>
      </c>
      <c r="K47" s="2">
        <f t="shared" si="45"/>
        <v>29.668332692902609</v>
      </c>
      <c r="L47" s="2">
        <f t="shared" si="45"/>
        <v>12.00093001496916</v>
      </c>
      <c r="M47" s="2">
        <f t="shared" si="45"/>
        <v>18.878860034365744</v>
      </c>
      <c r="N47" s="2">
        <f t="shared" si="45"/>
        <v>17.97517378693983</v>
      </c>
      <c r="O47" s="2">
        <f t="shared" ref="O47:T47" si="46">O43+O44*(1-O42)</f>
        <v>5.0053277389163693</v>
      </c>
      <c r="P47" s="2">
        <f t="shared" si="46"/>
        <v>4.1557260764883672</v>
      </c>
      <c r="Q47" s="2">
        <f t="shared" si="46"/>
        <v>6.3416707749850758</v>
      </c>
      <c r="R47" s="2">
        <f t="shared" si="46"/>
        <v>7.2960170368865622</v>
      </c>
      <c r="S47" s="2">
        <f t="shared" si="46"/>
        <v>7.6615378256139515</v>
      </c>
      <c r="T47" s="2">
        <f t="shared" si="46"/>
        <v>11.928717836249723</v>
      </c>
      <c r="U47" s="2"/>
      <c r="V47" s="2"/>
      <c r="W47" s="2"/>
      <c r="X47" s="2"/>
      <c r="Y47" s="2"/>
    </row>
    <row r="48" spans="4:25">
      <c r="D48" t="s">
        <v>30</v>
      </c>
      <c r="E48" s="5">
        <f>E47+E46</f>
        <v>-56.016961306299734</v>
      </c>
      <c r="F48" s="5">
        <f>F47+F46</f>
        <v>-40.273578397555916</v>
      </c>
      <c r="G48" s="5">
        <f t="shared" ref="G48:N48" si="47">G47+G46</f>
        <v>-40.095801327379355</v>
      </c>
      <c r="H48" s="5">
        <f t="shared" si="47"/>
        <v>-88.618457312075748</v>
      </c>
      <c r="I48" s="5">
        <f t="shared" si="47"/>
        <v>-20.989398366192649</v>
      </c>
      <c r="J48" s="5">
        <f t="shared" si="47"/>
        <v>-48.658506674892635</v>
      </c>
      <c r="K48" s="5">
        <f t="shared" si="47"/>
        <v>-42.95701160871397</v>
      </c>
      <c r="L48" s="5">
        <f t="shared" si="47"/>
        <v>-50.359912523161043</v>
      </c>
      <c r="M48" s="5">
        <f t="shared" si="47"/>
        <v>-12.250391621779592</v>
      </c>
      <c r="N48" s="5">
        <f t="shared" si="47"/>
        <v>-7.6958879571188241</v>
      </c>
      <c r="O48" s="5">
        <f t="shared" ref="O48" si="48">O47+O46</f>
        <v>-9.7807357383539291</v>
      </c>
      <c r="P48" s="5">
        <f t="shared" ref="P48" si="49">P47+P46</f>
        <v>-1.3570082083323447</v>
      </c>
      <c r="Q48" s="5">
        <f t="shared" ref="Q48" si="50">Q47+Q46</f>
        <v>-3.1443239860110772E-2</v>
      </c>
      <c r="R48" s="5">
        <f t="shared" ref="R48" si="51">R47+R46</f>
        <v>-3.7039829631134378</v>
      </c>
      <c r="S48" s="5">
        <f t="shared" ref="S48" si="52">S47+S46</f>
        <v>-4.3384621743860485</v>
      </c>
      <c r="T48" s="5">
        <f t="shared" ref="T48" si="53">T47+T46</f>
        <v>-1.0712821637502774</v>
      </c>
      <c r="U48" s="5"/>
      <c r="V48" s="5"/>
      <c r="W48" s="5"/>
      <c r="X48" s="5"/>
      <c r="Y48" s="5"/>
    </row>
    <row r="50" spans="3:25">
      <c r="C50" t="e">
        <f ca="1">BDH($D$5,$D6,E$5,E$5,"FX=USD","Per=fy","dtfmt=p","FILING_STATUS=MR")</f>
        <v>#NAME?</v>
      </c>
      <c r="D50" s="1" t="s">
        <v>27</v>
      </c>
    </row>
    <row r="51" spans="3:25">
      <c r="D51" t="s">
        <v>169</v>
      </c>
      <c r="E51" s="2">
        <v>54.484999999999999</v>
      </c>
      <c r="F51" s="2">
        <v>65.472499999999997</v>
      </c>
      <c r="G51" s="2">
        <v>72.935000000000002</v>
      </c>
      <c r="H51" s="2">
        <v>97.882500000000007</v>
      </c>
      <c r="I51" s="2">
        <v>62.107500000000002</v>
      </c>
      <c r="J51" s="2">
        <v>80.022500000000008</v>
      </c>
      <c r="K51" s="2">
        <v>111.14749999999999</v>
      </c>
      <c r="L51" s="2">
        <v>111</v>
      </c>
      <c r="M51" s="2">
        <v>109</v>
      </c>
      <c r="N51" s="2">
        <v>99</v>
      </c>
      <c r="O51" s="2">
        <v>45</v>
      </c>
      <c r="P51" s="2">
        <v>45</v>
      </c>
      <c r="Q51" s="2">
        <v>50</v>
      </c>
      <c r="R51" s="2">
        <v>50</v>
      </c>
      <c r="S51" s="2">
        <v>50</v>
      </c>
      <c r="T51" s="2">
        <v>65</v>
      </c>
      <c r="U51" s="2"/>
      <c r="V51" s="2"/>
      <c r="W51" s="2"/>
      <c r="X51" s="2"/>
      <c r="Y51" s="2"/>
    </row>
    <row r="52" spans="3:25">
      <c r="D52" t="s">
        <v>85</v>
      </c>
      <c r="E52">
        <v>8.68</v>
      </c>
      <c r="F52">
        <v>6.7083000000000004</v>
      </c>
      <c r="G52">
        <v>6.9615</v>
      </c>
      <c r="H52">
        <v>8.9181000000000008</v>
      </c>
      <c r="I52">
        <v>3.9689000000000001</v>
      </c>
      <c r="J52">
        <v>4.3742000000000001</v>
      </c>
      <c r="K52">
        <v>3.9881000000000002</v>
      </c>
      <c r="L52">
        <v>2.7545999999999999</v>
      </c>
      <c r="M52">
        <v>3.7326000000000001</v>
      </c>
      <c r="N52">
        <v>4.3422000000000001</v>
      </c>
      <c r="O52">
        <f>Лист2!E3</f>
        <v>2.8</v>
      </c>
      <c r="P52">
        <f>Лист2!F3</f>
        <v>2.5</v>
      </c>
      <c r="Q52">
        <f>Лист2!G3</f>
        <v>3</v>
      </c>
      <c r="R52">
        <f>Лист2!H3</f>
        <v>3</v>
      </c>
      <c r="S52">
        <f>Лист2!I3</f>
        <v>3</v>
      </c>
      <c r="T52">
        <f>Лист2!J3</f>
        <v>3.75</v>
      </c>
      <c r="U52" s="8"/>
      <c r="V52" s="8"/>
      <c r="W52" s="8"/>
      <c r="X52" s="8"/>
      <c r="Y52" s="8"/>
    </row>
    <row r="53" spans="3:25">
      <c r="D53" t="s">
        <v>259</v>
      </c>
      <c r="E53">
        <v>62.393000000000001</v>
      </c>
      <c r="F53">
        <v>65.638999999999996</v>
      </c>
      <c r="G53">
        <v>79.247</v>
      </c>
      <c r="H53">
        <v>89.57</v>
      </c>
      <c r="I53">
        <v>47.905000000000001</v>
      </c>
      <c r="J53">
        <v>59.54</v>
      </c>
      <c r="K53">
        <v>77.042000000000002</v>
      </c>
      <c r="L53">
        <v>39.378</v>
      </c>
      <c r="M53">
        <v>26</v>
      </c>
      <c r="N53">
        <v>26.879000000000001</v>
      </c>
      <c r="O53" s="2">
        <v>18</v>
      </c>
      <c r="P53" s="2">
        <f>P52*P54*5.81*100/42</f>
        <v>15.5625</v>
      </c>
      <c r="Q53" s="2">
        <f t="shared" ref="Q53:T53" si="54">Q52*Q54*5.81*100/42</f>
        <v>18.675000000000001</v>
      </c>
      <c r="R53" s="2">
        <f t="shared" si="54"/>
        <v>18.675000000000001</v>
      </c>
      <c r="S53" s="2">
        <f t="shared" si="54"/>
        <v>18.675000000000001</v>
      </c>
      <c r="T53" s="2">
        <f t="shared" si="54"/>
        <v>23.343749999999996</v>
      </c>
    </row>
    <row r="54" spans="3:25">
      <c r="E54" s="4">
        <f t="shared" ref="E54:M54" si="55">((E53/100*42)/5.81)/E52</f>
        <v>0.51962411859419244</v>
      </c>
      <c r="F54" s="4">
        <f t="shared" si="55"/>
        <v>0.70733091123045011</v>
      </c>
      <c r="G54" s="4">
        <f t="shared" si="55"/>
        <v>0.82291155572516317</v>
      </c>
      <c r="H54" s="4">
        <f t="shared" si="55"/>
        <v>0.72604475830458781</v>
      </c>
      <c r="I54" s="4">
        <f t="shared" si="55"/>
        <v>0.87253698712307481</v>
      </c>
      <c r="J54" s="4">
        <f t="shared" si="55"/>
        <v>0.98397338611452823</v>
      </c>
      <c r="K54" s="4">
        <f t="shared" si="55"/>
        <v>1.3964798286951872</v>
      </c>
      <c r="L54" s="4">
        <f t="shared" si="55"/>
        <v>1.0333995533429734</v>
      </c>
      <c r="M54" s="4">
        <f t="shared" si="55"/>
        <v>0.5035412506802649</v>
      </c>
      <c r="N54" s="4">
        <f>((N53/100*42)/5.81)/N52</f>
        <v>0.44748289829207677</v>
      </c>
      <c r="O54" s="4">
        <f t="shared" ref="O54" si="56">((O53/100*42)/5.81)/O52</f>
        <v>0.46471600688468162</v>
      </c>
      <c r="P54" s="4">
        <v>0.45</v>
      </c>
      <c r="Q54" s="4">
        <v>0.45</v>
      </c>
      <c r="R54" s="4">
        <v>0.45</v>
      </c>
      <c r="S54" s="4">
        <v>0.45</v>
      </c>
      <c r="T54" s="4">
        <v>0.45</v>
      </c>
    </row>
    <row r="56" spans="3:25">
      <c r="O56">
        <v>1.1299999999999999</v>
      </c>
      <c r="P56">
        <v>0.04</v>
      </c>
    </row>
    <row r="57" spans="3:25">
      <c r="E57" s="1" t="s">
        <v>28</v>
      </c>
      <c r="F57" s="1" t="s">
        <v>233</v>
      </c>
      <c r="G57" s="1" t="s">
        <v>234</v>
      </c>
      <c r="H57" s="1" t="s">
        <v>235</v>
      </c>
      <c r="K57" t="s">
        <v>29</v>
      </c>
      <c r="L57" t="s">
        <v>135</v>
      </c>
      <c r="M57" t="s">
        <v>137</v>
      </c>
      <c r="N57" t="s">
        <v>136</v>
      </c>
    </row>
    <row r="58" spans="3:25">
      <c r="D58">
        <v>2005</v>
      </c>
      <c r="E58" s="5">
        <f>E35</f>
        <v>41.904964953121436</v>
      </c>
      <c r="F58" s="32">
        <f>E36</f>
        <v>4.0585745127113757</v>
      </c>
      <c r="G58" s="32">
        <f>E37</f>
        <v>2.6621030175913045</v>
      </c>
      <c r="K58" s="5">
        <f>E51</f>
        <v>54.484999999999999</v>
      </c>
      <c r="L58">
        <f>E52</f>
        <v>8.68</v>
      </c>
      <c r="M58" s="6">
        <f>E24</f>
        <v>9.8569826135726304E-2</v>
      </c>
      <c r="N58">
        <f>E53</f>
        <v>62.393000000000001</v>
      </c>
    </row>
    <row r="59" spans="3:25">
      <c r="D59">
        <v>2006</v>
      </c>
      <c r="E59" s="5">
        <f>F35</f>
        <v>58.28939847401098</v>
      </c>
      <c r="F59" s="32">
        <f>F36</f>
        <v>5.0779748227373398</v>
      </c>
      <c r="G59" s="32">
        <f>F37</f>
        <v>1.8303569112986464</v>
      </c>
      <c r="H59" s="32">
        <f>F38</f>
        <v>0.70461064457734446</v>
      </c>
      <c r="K59" s="5">
        <f>F51</f>
        <v>65.472499999999997</v>
      </c>
      <c r="L59">
        <f>F52</f>
        <v>6.7083000000000004</v>
      </c>
      <c r="M59" s="6">
        <f>F24</f>
        <v>8.9738735327527436E-2</v>
      </c>
      <c r="N59">
        <f>F53</f>
        <v>65.638999999999996</v>
      </c>
      <c r="O59">
        <f>O56</f>
        <v>1.1299999999999999</v>
      </c>
      <c r="P59" s="7">
        <f>O59*$O56</f>
        <v>1.2768999999999997</v>
      </c>
      <c r="Q59" s="7">
        <f t="shared" ref="Q59:T59" si="57">P59*$O56</f>
        <v>1.4428969999999994</v>
      </c>
      <c r="R59" s="7">
        <f t="shared" si="57"/>
        <v>1.6304736099999992</v>
      </c>
      <c r="S59" s="7">
        <f t="shared" si="57"/>
        <v>1.8424351792999989</v>
      </c>
      <c r="T59" s="7">
        <f t="shared" si="57"/>
        <v>2.0819517526089983</v>
      </c>
      <c r="U59" s="7"/>
      <c r="V59" s="7"/>
      <c r="W59" s="7"/>
      <c r="X59" s="7"/>
      <c r="Y59" s="7"/>
    </row>
    <row r="60" spans="3:25">
      <c r="D60">
        <f>D59+1</f>
        <v>2007</v>
      </c>
      <c r="E60" s="5">
        <f>G35</f>
        <v>47.244665129935363</v>
      </c>
      <c r="F60" s="32">
        <f>G36</f>
        <v>5.3763488056825448</v>
      </c>
      <c r="G60" s="32">
        <f>G37</f>
        <v>1.8145177219178588</v>
      </c>
      <c r="H60" s="32">
        <f>G38</f>
        <v>0.78965123083462374</v>
      </c>
      <c r="K60" s="5">
        <f>G51</f>
        <v>72.935000000000002</v>
      </c>
      <c r="L60">
        <f>G52</f>
        <v>6.9615</v>
      </c>
      <c r="M60" s="6">
        <f>G24</f>
        <v>8.3002004987479172E-2</v>
      </c>
      <c r="N60">
        <f>G53</f>
        <v>79.247</v>
      </c>
    </row>
    <row r="61" spans="3:25">
      <c r="D61">
        <f t="shared" ref="D61:D69" si="58">D60+1</f>
        <v>2008</v>
      </c>
      <c r="E61" s="5">
        <f>H35</f>
        <v>56.099559941858644</v>
      </c>
      <c r="F61" s="32">
        <f>H36</f>
        <v>6.346717840202639</v>
      </c>
      <c r="G61" s="32">
        <f>H37</f>
        <v>2.0275229095810454</v>
      </c>
      <c r="H61" s="32">
        <f>H38</f>
        <v>1.0209006199651038</v>
      </c>
      <c r="K61" s="5">
        <f>H51</f>
        <v>97.882500000000007</v>
      </c>
      <c r="L61">
        <f>H52</f>
        <v>8.9181000000000008</v>
      </c>
      <c r="M61" s="6">
        <f>H24</f>
        <v>8.0102147175317912E-2</v>
      </c>
      <c r="N61">
        <f>H53</f>
        <v>89.57</v>
      </c>
      <c r="O61" s="2">
        <f>O30/O59</f>
        <v>-2103.6241127307467</v>
      </c>
      <c r="P61" s="2">
        <f t="shared" ref="P61:T61" si="59">P30/P59</f>
        <v>-257.8460312533831</v>
      </c>
      <c r="Q61" s="2">
        <f t="shared" si="59"/>
        <v>223.86889923380133</v>
      </c>
      <c r="R61" s="2">
        <f t="shared" si="59"/>
        <v>256.05119513114232</v>
      </c>
      <c r="S61" s="2">
        <f t="shared" si="59"/>
        <v>331.11330177011286</v>
      </c>
      <c r="T61" s="2">
        <f t="shared" si="59"/>
        <v>968.6953285693769</v>
      </c>
      <c r="U61" s="2"/>
      <c r="V61" s="2"/>
      <c r="W61" s="2"/>
      <c r="X61" s="2"/>
      <c r="Y61" s="2"/>
    </row>
    <row r="62" spans="3:25">
      <c r="D62">
        <f t="shared" si="58"/>
        <v>2009</v>
      </c>
      <c r="E62" s="5">
        <f>I35</f>
        <v>33.451853646119538</v>
      </c>
      <c r="F62" s="32">
        <f>I36</f>
        <v>5.8038866694396356</v>
      </c>
      <c r="G62" s="32">
        <f>I37</f>
        <v>0.70892223017127964</v>
      </c>
      <c r="H62" s="32">
        <f>I38</f>
        <v>1.2058303354315223</v>
      </c>
      <c r="K62" s="5">
        <f>I51</f>
        <v>62.107500000000002</v>
      </c>
      <c r="L62">
        <f>I52</f>
        <v>3.9689000000000001</v>
      </c>
      <c r="M62" s="6">
        <f>I24</f>
        <v>7.8180288066241693E-2</v>
      </c>
      <c r="N62">
        <f>I53</f>
        <v>47.905000000000001</v>
      </c>
    </row>
    <row r="63" spans="3:25">
      <c r="D63">
        <f t="shared" si="58"/>
        <v>2010</v>
      </c>
      <c r="E63" s="5">
        <f>J35</f>
        <v>32.726844591843587</v>
      </c>
      <c r="F63" s="32">
        <f>J36</f>
        <v>5.1753271153738831</v>
      </c>
      <c r="G63" s="32">
        <f>J37</f>
        <v>0.90988393853717775</v>
      </c>
      <c r="H63" s="32">
        <f>J38</f>
        <v>1.2054513325842864</v>
      </c>
      <c r="K63" s="5">
        <f>J51</f>
        <v>80.022500000000008</v>
      </c>
      <c r="L63">
        <f>J52</f>
        <v>4.3742000000000001</v>
      </c>
      <c r="M63" s="6">
        <f>J24</f>
        <v>0.106634051017233</v>
      </c>
      <c r="N63">
        <f>J53</f>
        <v>59.54</v>
      </c>
      <c r="O63" s="5">
        <f>SUM(O61:Y61)</f>
        <v>-581.7414192796964</v>
      </c>
    </row>
    <row r="64" spans="3:25">
      <c r="D64">
        <f t="shared" si="58"/>
        <v>2011</v>
      </c>
      <c r="E64" s="5">
        <f>K35</f>
        <v>30.276475714390195</v>
      </c>
      <c r="F64" s="32">
        <f>K36</f>
        <v>5.3928715872411486</v>
      </c>
      <c r="G64" s="32">
        <f>K37</f>
        <v>0.96498727376542448</v>
      </c>
      <c r="H64" s="32">
        <f>K38</f>
        <v>2.0204421044463574</v>
      </c>
      <c r="K64" s="5">
        <f>K51</f>
        <v>111.14749999999999</v>
      </c>
      <c r="L64">
        <f>K52</f>
        <v>3.9881000000000002</v>
      </c>
      <c r="M64" s="6">
        <f>K24</f>
        <v>0.15919626250175881</v>
      </c>
      <c r="N64">
        <f>K53</f>
        <v>77.042000000000002</v>
      </c>
    </row>
    <row r="65" spans="4:20">
      <c r="D65">
        <f t="shared" si="58"/>
        <v>2012</v>
      </c>
      <c r="E65" s="5">
        <f>L35</f>
        <v>26.556869451524989</v>
      </c>
      <c r="F65" s="32">
        <f>L36</f>
        <v>5.5161130558758495</v>
      </c>
      <c r="G65" s="32">
        <f>L37</f>
        <v>0.79526783320909489</v>
      </c>
      <c r="H65" s="32">
        <f>L38</f>
        <v>1.9670188427778146</v>
      </c>
      <c r="K65" s="5">
        <f>L51</f>
        <v>111</v>
      </c>
      <c r="L65">
        <f>L52</f>
        <v>2.7545999999999999</v>
      </c>
      <c r="M65" s="6">
        <f>L24+L26</f>
        <v>0.20620173925878854</v>
      </c>
      <c r="N65">
        <f>L53</f>
        <v>39.378</v>
      </c>
      <c r="O65" s="9">
        <f>O63+Y61*(1+P56)/(O56-1-P56)</f>
        <v>-581.7414192796964</v>
      </c>
    </row>
    <row r="66" spans="4:20">
      <c r="D66">
        <f t="shared" si="58"/>
        <v>2013</v>
      </c>
      <c r="E66" s="5">
        <f>M35</f>
        <v>28.854295830591077</v>
      </c>
      <c r="F66" s="32">
        <f>M36</f>
        <v>4.7422190680168832</v>
      </c>
      <c r="G66" s="32">
        <f>M37</f>
        <v>0.93698720153224002</v>
      </c>
      <c r="H66" s="32">
        <f>M38</f>
        <v>3.01145231584161</v>
      </c>
      <c r="K66" s="5">
        <f>M51</f>
        <v>109</v>
      </c>
      <c r="L66">
        <f>M52</f>
        <v>3.7326000000000001</v>
      </c>
      <c r="M66" s="6">
        <f>M24+M26</f>
        <v>0.2536776236204244</v>
      </c>
      <c r="N66">
        <f>M53</f>
        <v>26</v>
      </c>
      <c r="O66" s="7">
        <f>O65/B13</f>
        <v>-0.8747991267363856</v>
      </c>
    </row>
    <row r="67" spans="4:20">
      <c r="D67">
        <f t="shared" si="58"/>
        <v>2014</v>
      </c>
      <c r="E67" s="2">
        <f>N35</f>
        <v>31.730021919975794</v>
      </c>
      <c r="F67" s="32">
        <f>N36</f>
        <v>4.6858027480844449</v>
      </c>
      <c r="G67" s="32">
        <f>N37</f>
        <v>0.89992238208244302</v>
      </c>
      <c r="H67" s="32">
        <f>N38</f>
        <v>1.6718385632652282</v>
      </c>
      <c r="K67" s="5">
        <f>N51</f>
        <v>99</v>
      </c>
      <c r="L67" s="3">
        <f>N52</f>
        <v>4.3422000000000001</v>
      </c>
      <c r="M67" s="6">
        <f>N24+N26</f>
        <v>0.29247471405266934</v>
      </c>
      <c r="N67">
        <f>N53</f>
        <v>26.879000000000001</v>
      </c>
    </row>
    <row r="68" spans="4:20">
      <c r="D68">
        <f t="shared" si="58"/>
        <v>2015</v>
      </c>
    </row>
    <row r="69" spans="4:20">
      <c r="D69">
        <f t="shared" si="58"/>
        <v>2016</v>
      </c>
    </row>
    <row r="71" spans="4:20">
      <c r="O71" s="7"/>
      <c r="P71" s="7"/>
      <c r="Q71" s="7"/>
      <c r="R71" s="7"/>
      <c r="S71" s="7"/>
      <c r="T71" s="7"/>
    </row>
    <row r="77" spans="4:20">
      <c r="D77">
        <v>1</v>
      </c>
    </row>
    <row r="78" spans="4:20">
      <c r="D78" s="17">
        <f>D77*($F$80/2+1)</f>
        <v>1.04</v>
      </c>
    </row>
    <row r="79" spans="4:20">
      <c r="D79" s="17">
        <f t="shared" ref="D79:D82" si="60">D78*($F$80+1)</f>
        <v>1.1232000000000002</v>
      </c>
      <c r="E79" s="36" t="s">
        <v>251</v>
      </c>
      <c r="F79" s="37">
        <v>0.04</v>
      </c>
    </row>
    <row r="80" spans="4:20">
      <c r="D80" s="17">
        <f t="shared" si="60"/>
        <v>1.2130560000000004</v>
      </c>
      <c r="E80" s="41" t="s">
        <v>252</v>
      </c>
      <c r="F80" s="42">
        <v>0.08</v>
      </c>
    </row>
    <row r="81" spans="4:6">
      <c r="D81" s="17">
        <f t="shared" si="60"/>
        <v>1.3101004800000005</v>
      </c>
      <c r="E81" s="38" t="s">
        <v>254</v>
      </c>
      <c r="F81" s="39">
        <f>NPV(F80,P30:T30)</f>
        <v>2124.4880100767346</v>
      </c>
    </row>
    <row r="82" spans="4:6">
      <c r="D82" s="17">
        <f t="shared" si="60"/>
        <v>1.4149085184000005</v>
      </c>
      <c r="E82" s="38" t="s">
        <v>255</v>
      </c>
      <c r="F82" s="39">
        <f>T30*(1+F79)/(F80-F79)/D82</f>
        <v>37059.781379246961</v>
      </c>
    </row>
    <row r="83" spans="4:6">
      <c r="D83" s="17"/>
      <c r="E83" s="43" t="s">
        <v>256</v>
      </c>
      <c r="F83" s="44">
        <f>F81+F82</f>
        <v>39184.269389323694</v>
      </c>
    </row>
    <row r="84" spans="4:6">
      <c r="D84" s="17"/>
      <c r="E84" s="38" t="s">
        <v>257</v>
      </c>
      <c r="F84" s="39">
        <f>11700-125.3</f>
        <v>11574.7</v>
      </c>
    </row>
    <row r="85" spans="4:6">
      <c r="D85" s="17"/>
      <c r="E85" s="38" t="s">
        <v>258</v>
      </c>
      <c r="F85" s="39">
        <f>F83-F84</f>
        <v>27609.569389323693</v>
      </c>
    </row>
    <row r="86" spans="4:6">
      <c r="E86" s="45" t="s">
        <v>253</v>
      </c>
      <c r="F86" s="46">
        <f>900+22.033453</f>
        <v>922.03345300000001</v>
      </c>
    </row>
    <row r="87" spans="4:6">
      <c r="E87" s="40" t="s">
        <v>250</v>
      </c>
      <c r="F87" s="47">
        <f>F85/F86</f>
        <v>29.944216556884182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C1:N51"/>
  <sheetViews>
    <sheetView topLeftCell="A25" workbookViewId="0">
      <selection activeCell="J3" sqref="J3"/>
    </sheetView>
  </sheetViews>
  <sheetFormatPr defaultRowHeight="15"/>
  <cols>
    <col min="3" max="3" width="34.5703125" bestFit="1" customWidth="1"/>
    <col min="4" max="4" width="11.28515625" bestFit="1" customWidth="1"/>
    <col min="5" max="6" width="9.7109375" bestFit="1" customWidth="1"/>
  </cols>
  <sheetData>
    <row r="1" spans="3:14">
      <c r="D1" s="2">
        <f>D4*D50*365</f>
        <v>2515.4565565364992</v>
      </c>
      <c r="E1" s="2">
        <f>E4*E50*365</f>
        <v>752.94065354197471</v>
      </c>
      <c r="F1" s="2">
        <f>F4*F50*365</f>
        <v>722.83996999999988</v>
      </c>
      <c r="G1" s="2">
        <f t="shared" ref="G1:J1" si="0">G4*G50*365</f>
        <v>1370.079504195</v>
      </c>
      <c r="H1" s="2">
        <f t="shared" si="0"/>
        <v>1726.2810007262406</v>
      </c>
      <c r="I1" s="2">
        <f t="shared" si="0"/>
        <v>2027.3823099851836</v>
      </c>
      <c r="J1" s="2">
        <f t="shared" si="0"/>
        <v>3182.2205744060357</v>
      </c>
    </row>
    <row r="2" spans="3:14">
      <c r="D2" s="4">
        <f>D1/Лист1!N6</f>
        <v>0.30751302647145468</v>
      </c>
      <c r="E2" s="4">
        <f>E1/Лист1!O6</f>
        <v>0.2336261096723993</v>
      </c>
      <c r="F2" s="4">
        <f>F1/Лист1!P6</f>
        <v>0.27145707762038002</v>
      </c>
      <c r="G2" s="4">
        <f>G1/Лист1!Q6</f>
        <v>0.38600833185168598</v>
      </c>
      <c r="H2" s="4">
        <f>H1/Лист1!R6</f>
        <v>0.42227454632831635</v>
      </c>
      <c r="I2" s="4">
        <f>I1/Лист1!S6</f>
        <v>0.46190720730261653</v>
      </c>
      <c r="J2" s="4">
        <f>J1/Лист1!T6</f>
        <v>0.50964974292168819</v>
      </c>
    </row>
    <row r="3" spans="3:14">
      <c r="C3" t="s">
        <v>240</v>
      </c>
      <c r="D3">
        <v>4.3499999999999996</v>
      </c>
      <c r="E3">
        <v>2.8</v>
      </c>
      <c r="F3">
        <v>2.5</v>
      </c>
      <c r="G3">
        <v>3</v>
      </c>
      <c r="H3">
        <v>3</v>
      </c>
      <c r="I3">
        <v>3</v>
      </c>
      <c r="J3" s="87">
        <v>3.75</v>
      </c>
    </row>
    <row r="4" spans="3:14">
      <c r="C4" s="30" t="s">
        <v>220</v>
      </c>
      <c r="D4" s="31">
        <f>D3-D5</f>
        <v>2.3777376276828361</v>
      </c>
      <c r="E4" s="31">
        <f t="shared" ref="E4:J4" si="1">E3-E5</f>
        <v>0.73064737283342529</v>
      </c>
      <c r="F4" s="31">
        <f t="shared" si="1"/>
        <v>0.73926628196877564</v>
      </c>
      <c r="G4" s="31">
        <f t="shared" si="1"/>
        <v>1.3606192883604409</v>
      </c>
      <c r="H4" s="31">
        <f t="shared" si="1"/>
        <v>1.6581658897911069</v>
      </c>
      <c r="I4" s="31">
        <f t="shared" si="1"/>
        <v>1.8879236453830537</v>
      </c>
      <c r="J4" s="31">
        <f t="shared" si="1"/>
        <v>2.8822480136940642</v>
      </c>
    </row>
    <row r="5" spans="3:14">
      <c r="C5" s="19" t="s">
        <v>221</v>
      </c>
      <c r="D5" s="3">
        <f>SUM(D6:D9,D12)</f>
        <v>1.9722623723171635</v>
      </c>
      <c r="E5" s="3">
        <f>SUM(E6:E9,E12)</f>
        <v>2.0693526271665745</v>
      </c>
      <c r="F5" s="3">
        <f>SUM(F6:F9,F12)</f>
        <v>1.7607337180312244</v>
      </c>
      <c r="G5" s="3">
        <f t="shared" ref="G5:J5" si="2">SUM(G6:G9,G12)</f>
        <v>1.6393807116395591</v>
      </c>
      <c r="H5" s="3">
        <f t="shared" si="2"/>
        <v>1.3418341102088931</v>
      </c>
      <c r="I5" s="3">
        <f t="shared" si="2"/>
        <v>1.1120763546169463</v>
      </c>
      <c r="J5" s="3">
        <f t="shared" si="2"/>
        <v>0.86775198630593553</v>
      </c>
      <c r="M5" s="4"/>
      <c r="N5" s="4"/>
    </row>
    <row r="6" spans="3:14">
      <c r="C6" s="29" t="s">
        <v>241</v>
      </c>
      <c r="D6">
        <v>0.45</v>
      </c>
      <c r="E6" s="7">
        <v>0.38</v>
      </c>
      <c r="F6">
        <v>0.38</v>
      </c>
      <c r="G6">
        <v>0.38</v>
      </c>
      <c r="H6">
        <v>0.38</v>
      </c>
      <c r="I6">
        <v>0.38</v>
      </c>
      <c r="J6">
        <v>0.38</v>
      </c>
    </row>
    <row r="7" spans="3:14">
      <c r="C7" s="29" t="s">
        <v>243</v>
      </c>
      <c r="D7">
        <v>0.33</v>
      </c>
      <c r="E7" s="7">
        <v>0.38500000000000001</v>
      </c>
      <c r="F7">
        <v>0.3</v>
      </c>
      <c r="G7">
        <v>0.2</v>
      </c>
      <c r="H7">
        <v>0</v>
      </c>
      <c r="I7">
        <v>0</v>
      </c>
      <c r="J7">
        <v>0</v>
      </c>
    </row>
    <row r="8" spans="3:14">
      <c r="C8" t="s">
        <v>242</v>
      </c>
      <c r="D8">
        <v>0.1</v>
      </c>
      <c r="E8">
        <v>9.5000000000000001E-2</v>
      </c>
      <c r="F8">
        <v>0.09</v>
      </c>
      <c r="G8">
        <f>F8</f>
        <v>0.09</v>
      </c>
      <c r="H8">
        <f t="shared" ref="H8:J8" si="3">G8</f>
        <v>0.09</v>
      </c>
      <c r="I8">
        <f t="shared" si="3"/>
        <v>0.09</v>
      </c>
      <c r="J8">
        <f t="shared" si="3"/>
        <v>0.09</v>
      </c>
    </row>
    <row r="9" spans="3:14">
      <c r="C9" t="s">
        <v>217</v>
      </c>
      <c r="D9" s="7">
        <v>0.82499999999999996</v>
      </c>
      <c r="E9" s="7">
        <v>0.85250000000000004</v>
      </c>
      <c r="F9" s="3">
        <f>(F17*F19+F24*F26+F31*F32+F38*F39+F46*F47)/F50-0.06</f>
        <v>0.65579520503200994</v>
      </c>
      <c r="G9" s="3">
        <f>(G17*G19+G24*G26+G31*G32+G38*G39+G46*G47)/G50-0.06</f>
        <v>0.64256142543991435</v>
      </c>
      <c r="H9" s="3">
        <f>(H17*H19+H24*H26+H31*H32+H38*H39+H46*H47)/H50-0.06</f>
        <v>0.60637532828427365</v>
      </c>
      <c r="I9" s="3">
        <f>(I17*I19+I24*J26+I31*I32+I38*I39+I46*I47)/I50-0.06</f>
        <v>0.39431024607903248</v>
      </c>
      <c r="J9" s="3">
        <f>(J17*J19+J24*J26+J31*J32+J38*J39+J46*J47)/J50-0.06</f>
        <v>0.39775198630593561</v>
      </c>
    </row>
    <row r="10" spans="3:14">
      <c r="E10" s="4">
        <f>E9/D9-1</f>
        <v>3.3333333333333437E-2</v>
      </c>
      <c r="F10" s="4">
        <f>F9/E9-1</f>
        <v>-0.23073876242579483</v>
      </c>
      <c r="G10" s="4">
        <f t="shared" ref="G10:J10" si="4">G9/F9-1</f>
        <v>-2.0179744363104435E-2</v>
      </c>
      <c r="H10" s="4">
        <f t="shared" si="4"/>
        <v>-5.6315389817972239E-2</v>
      </c>
      <c r="I10" s="4">
        <f t="shared" si="4"/>
        <v>-0.34972577595674104</v>
      </c>
      <c r="J10" s="4">
        <f t="shared" si="4"/>
        <v>8.7285082270300851E-3</v>
      </c>
    </row>
    <row r="11" spans="3:14">
      <c r="C11" t="s">
        <v>218</v>
      </c>
      <c r="D11">
        <v>0.11</v>
      </c>
      <c r="E11" s="7">
        <v>0.16</v>
      </c>
      <c r="F11">
        <v>0.21</v>
      </c>
      <c r="G11">
        <v>0.21</v>
      </c>
    </row>
    <row r="12" spans="3:14">
      <c r="C12" s="19" t="s">
        <v>223</v>
      </c>
      <c r="D12" s="7">
        <f>(D13)/(D50*365)</f>
        <v>0.26726237231716332</v>
      </c>
      <c r="E12" s="7">
        <f t="shared" ref="E12:I12" si="5">(E13)/(E50*365)</f>
        <v>0.35685262716657468</v>
      </c>
      <c r="F12" s="7">
        <f t="shared" si="5"/>
        <v>0.33493851299921434</v>
      </c>
      <c r="G12" s="7">
        <f t="shared" si="5"/>
        <v>0.32681928619964462</v>
      </c>
      <c r="H12" s="7">
        <f t="shared" si="5"/>
        <v>0.26545878192461958</v>
      </c>
      <c r="I12" s="7">
        <f t="shared" si="5"/>
        <v>0.24776610853791392</v>
      </c>
      <c r="J12" s="7">
        <f t="shared" ref="J12" si="6">(J13)/J50/1000</f>
        <v>0</v>
      </c>
    </row>
    <row r="13" spans="3:14">
      <c r="C13" s="19" t="s">
        <v>225</v>
      </c>
      <c r="D13" s="5">
        <f t="shared" ref="D13:J13" si="7">D28+D21</f>
        <v>282.74225000000001</v>
      </c>
      <c r="E13" s="5">
        <f t="shared" si="7"/>
        <v>367.74080125000006</v>
      </c>
      <c r="F13" s="5">
        <f t="shared" si="7"/>
        <v>327.49626297500004</v>
      </c>
      <c r="G13" s="5">
        <f t="shared" si="7"/>
        <v>329.09161984417995</v>
      </c>
      <c r="H13" s="5">
        <f t="shared" si="7"/>
        <v>276.36345346009472</v>
      </c>
      <c r="I13" s="5">
        <f t="shared" si="7"/>
        <v>266.0682950245677</v>
      </c>
      <c r="J13" s="5">
        <f t="shared" si="7"/>
        <v>0</v>
      </c>
      <c r="K13" s="5">
        <f>SUM(E13:J13)</f>
        <v>1566.7604325538423</v>
      </c>
    </row>
    <row r="14" spans="3:14">
      <c r="E14" s="4"/>
    </row>
    <row r="15" spans="3:14">
      <c r="D15">
        <v>2014</v>
      </c>
      <c r="E15">
        <v>2015</v>
      </c>
      <c r="F15">
        <f>E15+1</f>
        <v>2016</v>
      </c>
      <c r="G15">
        <f t="shared" ref="G15:J15" si="8">F15+1</f>
        <v>2017</v>
      </c>
      <c r="H15">
        <f t="shared" si="8"/>
        <v>2018</v>
      </c>
      <c r="I15">
        <f t="shared" si="8"/>
        <v>2019</v>
      </c>
      <c r="J15">
        <f t="shared" si="8"/>
        <v>2020</v>
      </c>
    </row>
    <row r="17" spans="3:12">
      <c r="C17" t="s">
        <v>171</v>
      </c>
      <c r="D17" s="7">
        <v>0.495</v>
      </c>
      <c r="E17" s="7">
        <f>D17</f>
        <v>0.495</v>
      </c>
      <c r="F17" s="7">
        <f>E17*1.1</f>
        <v>0.54449999999999998</v>
      </c>
      <c r="G17" s="7">
        <f>F17*1.1</f>
        <v>0.59894999999999998</v>
      </c>
      <c r="H17" s="7">
        <f>G17*1.1</f>
        <v>0.65884500000000001</v>
      </c>
      <c r="I17" s="7">
        <f t="shared" ref="I17:J17" si="9">H17*1.1</f>
        <v>0.72472950000000003</v>
      </c>
      <c r="J17" s="7">
        <f t="shared" si="9"/>
        <v>0.79720245000000012</v>
      </c>
      <c r="L17" s="4">
        <f>F17/F$50</f>
        <v>0.20325886107844784</v>
      </c>
    </row>
    <row r="18" spans="3:12">
      <c r="C18" t="s">
        <v>176</v>
      </c>
      <c r="D18" s="7">
        <f>226/365</f>
        <v>0.61917808219178083</v>
      </c>
      <c r="E18" s="7">
        <f>372/365</f>
        <v>1.0191780821917809</v>
      </c>
      <c r="F18" s="7">
        <f>439/365</f>
        <v>1.2027397260273973</v>
      </c>
      <c r="G18" s="7">
        <f>391/365</f>
        <v>1.0712328767123287</v>
      </c>
    </row>
    <row r="19" spans="3:12">
      <c r="C19" t="s">
        <v>174</v>
      </c>
      <c r="D19">
        <v>0.65</v>
      </c>
      <c r="E19" s="7">
        <f>D19*(1+E20)</f>
        <v>0.66625000000000001</v>
      </c>
      <c r="F19" s="7">
        <f>E19-0.2</f>
        <v>0.46625</v>
      </c>
      <c r="G19" s="7">
        <f>E19-0.2</f>
        <v>0.46625</v>
      </c>
      <c r="H19" s="7">
        <f>E19-0.3</f>
        <v>0.36625000000000002</v>
      </c>
      <c r="I19" s="7">
        <f t="shared" ref="I19:J19" si="10">H19*(1+I20)</f>
        <v>0.37357500000000005</v>
      </c>
      <c r="J19" s="7">
        <f t="shared" si="10"/>
        <v>0.38104650000000007</v>
      </c>
    </row>
    <row r="20" spans="3:12">
      <c r="C20" s="19" t="s">
        <v>175</v>
      </c>
      <c r="E20" s="20">
        <v>2.5000000000000001E-2</v>
      </c>
      <c r="F20" s="20">
        <v>2.5000000000000001E-2</v>
      </c>
      <c r="G20" s="20">
        <v>2.5000000000000001E-2</v>
      </c>
      <c r="H20" s="20">
        <v>0.02</v>
      </c>
      <c r="I20" s="20">
        <v>0.02</v>
      </c>
      <c r="J20" s="20">
        <v>0.02</v>
      </c>
    </row>
    <row r="21" spans="3:12">
      <c r="C21" s="1" t="s">
        <v>224</v>
      </c>
      <c r="D21" s="5">
        <f>(D18-D17)*365*D19</f>
        <v>29.461250000000003</v>
      </c>
      <c r="E21" s="5">
        <f t="shared" ref="E21:G21" si="11">(E18-E17)*365*E19</f>
        <v>127.47028125000001</v>
      </c>
      <c r="F21" s="5">
        <f t="shared" si="11"/>
        <v>112.02005937500002</v>
      </c>
      <c r="G21" s="5">
        <f t="shared" si="11"/>
        <v>80.373690312499988</v>
      </c>
      <c r="H21" s="5"/>
      <c r="I21" s="5"/>
      <c r="J21" s="5"/>
    </row>
    <row r="22" spans="3:12">
      <c r="F22" s="20"/>
      <c r="G22" s="20"/>
      <c r="H22" s="20"/>
      <c r="I22" s="20"/>
      <c r="J22" s="20"/>
    </row>
    <row r="23" spans="3:12">
      <c r="D23" s="4"/>
      <c r="E23" s="4"/>
      <c r="F23" s="4"/>
    </row>
    <row r="24" spans="3:12">
      <c r="C24" t="s">
        <v>170</v>
      </c>
      <c r="D24" s="7">
        <v>0.42899999999999999</v>
      </c>
      <c r="E24" s="7">
        <f>D24*8/12+0.644*4/12</f>
        <v>0.50066666666666659</v>
      </c>
      <c r="F24" s="8">
        <f>D24+0.152</f>
        <v>0.58099999999999996</v>
      </c>
      <c r="G24" s="8">
        <f>F24*0.94</f>
        <v>0.54613999999999996</v>
      </c>
      <c r="H24" s="8">
        <f t="shared" ref="H24:J24" si="12">G24*0.94</f>
        <v>0.51337159999999993</v>
      </c>
      <c r="I24" s="8">
        <f t="shared" si="12"/>
        <v>0.48256930399999992</v>
      </c>
      <c r="J24" s="8">
        <f t="shared" si="12"/>
        <v>0.45361514575999989</v>
      </c>
      <c r="L24" s="4">
        <f>F24/F$50</f>
        <v>0.2168841107191519</v>
      </c>
    </row>
    <row r="25" spans="3:12">
      <c r="C25" t="s">
        <v>176</v>
      </c>
      <c r="D25" s="7">
        <f>450/365*0.75</f>
        <v>0.92465753424657537</v>
      </c>
      <c r="E25" s="7">
        <f>468/365*0.75</f>
        <v>0.9616438356164384</v>
      </c>
      <c r="F25" s="7">
        <f>480/365*0.75</f>
        <v>0.98630136986301364</v>
      </c>
      <c r="G25" s="7">
        <f>489/365*0.75</f>
        <v>1.0047945205479452</v>
      </c>
      <c r="H25" s="7">
        <f>493/365*0.75</f>
        <v>1.0130136986301368</v>
      </c>
      <c r="I25" s="7">
        <f>229/180*0.75</f>
        <v>0.95416666666666661</v>
      </c>
      <c r="J25" s="8"/>
    </row>
    <row r="26" spans="3:12">
      <c r="C26" t="s">
        <v>174</v>
      </c>
      <c r="D26">
        <v>1.4</v>
      </c>
      <c r="E26" s="7">
        <f>D26*(1+E27)</f>
        <v>1.4279999999999999</v>
      </c>
      <c r="F26" s="7">
        <f t="shared" ref="F26:I26" si="13">E26*(1+F27)</f>
        <v>1.4565599999999999</v>
      </c>
      <c r="G26" s="7">
        <f t="shared" si="13"/>
        <v>1.4856911999999998</v>
      </c>
      <c r="H26" s="7">
        <f t="shared" si="13"/>
        <v>1.5154050239999999</v>
      </c>
      <c r="I26" s="7">
        <f t="shared" si="13"/>
        <v>1.54571312448</v>
      </c>
      <c r="J26" s="7">
        <v>0.32</v>
      </c>
    </row>
    <row r="27" spans="3:12">
      <c r="C27" s="19" t="s">
        <v>175</v>
      </c>
      <c r="E27" s="18">
        <v>0.02</v>
      </c>
      <c r="F27" s="18">
        <v>0.02</v>
      </c>
      <c r="G27" s="18">
        <v>0.02</v>
      </c>
      <c r="H27" s="18">
        <v>0.02</v>
      </c>
      <c r="I27" s="18">
        <v>0.02</v>
      </c>
      <c r="J27" s="18">
        <v>0.02</v>
      </c>
    </row>
    <row r="28" spans="3:12">
      <c r="C28" s="1" t="s">
        <v>224</v>
      </c>
      <c r="D28" s="5">
        <f>(D25-D24)*365*D26</f>
        <v>253.28100000000001</v>
      </c>
      <c r="E28" s="5">
        <f t="shared" ref="E28:I28" si="14">(E25-E24)*365*E26</f>
        <v>240.27052000000006</v>
      </c>
      <c r="F28" s="5">
        <f t="shared" si="14"/>
        <v>215.47620359999999</v>
      </c>
      <c r="G28" s="5">
        <f t="shared" si="14"/>
        <v>248.71792953167994</v>
      </c>
      <c r="H28" s="5">
        <f t="shared" si="14"/>
        <v>276.36345346009472</v>
      </c>
      <c r="I28" s="5">
        <f t="shared" si="14"/>
        <v>266.0682950245677</v>
      </c>
      <c r="J28" s="5"/>
    </row>
    <row r="29" spans="3:12">
      <c r="F29" s="18"/>
      <c r="G29" s="18"/>
      <c r="H29" s="18"/>
      <c r="I29" s="18"/>
      <c r="J29" s="18"/>
    </row>
    <row r="31" spans="3:12">
      <c r="C31" t="s">
        <v>172</v>
      </c>
      <c r="D31">
        <v>0.3</v>
      </c>
      <c r="E31" s="7">
        <v>0.4</v>
      </c>
      <c r="F31" s="7">
        <f>603.35/1000</f>
        <v>0.60335000000000005</v>
      </c>
      <c r="G31" s="7">
        <f>663.685/1000</f>
        <v>0.66368499999999997</v>
      </c>
      <c r="H31" s="7">
        <f>730.0535/1000</f>
        <v>0.73005350000000002</v>
      </c>
      <c r="I31" s="7">
        <f>784.8075125/1000</f>
        <v>0.78480751250000003</v>
      </c>
      <c r="J31" s="7">
        <f>824.047888125/1000</f>
        <v>0.82404788812499996</v>
      </c>
      <c r="L31" s="4">
        <f>F31/F$50</f>
        <v>0.22522724303339123</v>
      </c>
    </row>
    <row r="32" spans="3:12">
      <c r="C32" t="s">
        <v>174</v>
      </c>
      <c r="D32">
        <v>0.66</v>
      </c>
      <c r="E32" s="7">
        <v>0.66</v>
      </c>
      <c r="F32" s="7">
        <f>E32-0.25</f>
        <v>0.41000000000000003</v>
      </c>
      <c r="G32" s="7">
        <f t="shared" ref="G32" si="15">F32*(1+G33)</f>
        <v>0.41820000000000002</v>
      </c>
      <c r="H32" s="7">
        <f t="shared" ref="H32" si="16">G32*(1+H33)</f>
        <v>0.426564</v>
      </c>
      <c r="I32" s="7">
        <f t="shared" ref="I32:J32" si="17">H32*(1+I33)</f>
        <v>0.43509528000000003</v>
      </c>
      <c r="J32" s="7">
        <f t="shared" si="17"/>
        <v>0.44379718560000003</v>
      </c>
    </row>
    <row r="33" spans="3:12">
      <c r="E33" s="18"/>
      <c r="F33" s="18"/>
      <c r="G33" s="18">
        <v>0.02</v>
      </c>
      <c r="H33" s="18">
        <v>0.02</v>
      </c>
      <c r="I33" s="18">
        <v>0.02</v>
      </c>
      <c r="J33" s="18">
        <v>0.02</v>
      </c>
    </row>
    <row r="34" spans="3:12">
      <c r="C34" t="s">
        <v>215</v>
      </c>
      <c r="D34">
        <v>7.5</v>
      </c>
      <c r="E34" s="7">
        <v>8.5</v>
      </c>
      <c r="F34" s="7"/>
      <c r="G34" s="7"/>
      <c r="H34" s="7"/>
      <c r="I34" s="7"/>
      <c r="J34" s="7"/>
    </row>
    <row r="35" spans="3:12">
      <c r="C35" s="19" t="s">
        <v>216</v>
      </c>
      <c r="E35" s="7">
        <v>1.3</v>
      </c>
      <c r="F35" s="7"/>
      <c r="G35" s="7"/>
      <c r="H35" s="7"/>
      <c r="I35" s="7"/>
      <c r="J35" s="7"/>
    </row>
    <row r="36" spans="3:12">
      <c r="E36" s="7"/>
      <c r="F36" s="7"/>
      <c r="G36" s="7"/>
      <c r="H36" s="7"/>
      <c r="I36" s="7"/>
      <c r="J36" s="7"/>
    </row>
    <row r="38" spans="3:12">
      <c r="C38" t="s">
        <v>173</v>
      </c>
      <c r="D38">
        <v>0.91</v>
      </c>
      <c r="E38">
        <v>0.95</v>
      </c>
      <c r="F38">
        <v>0.95</v>
      </c>
      <c r="G38">
        <v>0.95</v>
      </c>
      <c r="H38">
        <v>0.95</v>
      </c>
      <c r="I38">
        <v>0.95</v>
      </c>
      <c r="J38">
        <v>0.95</v>
      </c>
      <c r="L38" s="4">
        <f>F38/F$50</f>
        <v>0.35462978516900912</v>
      </c>
    </row>
    <row r="39" spans="3:12">
      <c r="C39" t="s">
        <v>174</v>
      </c>
      <c r="D39">
        <v>0.6</v>
      </c>
      <c r="E39" s="7">
        <f>D39*(1+E40)</f>
        <v>0.6</v>
      </c>
      <c r="F39" s="7">
        <f t="shared" ref="F39" si="18">E39*(1+F40)</f>
        <v>0.6</v>
      </c>
      <c r="G39" s="7">
        <f t="shared" ref="G39" si="19">F39*(1+G40)</f>
        <v>0.6</v>
      </c>
      <c r="H39" s="7">
        <f t="shared" ref="H39" si="20">G39*(1+H40)</f>
        <v>0.6</v>
      </c>
      <c r="I39" s="7">
        <f t="shared" ref="I39" si="21">H39*(1+I40)</f>
        <v>0.6</v>
      </c>
      <c r="J39" s="7">
        <f t="shared" ref="J39" si="22">I39*(1+J40)</f>
        <v>0.6</v>
      </c>
    </row>
    <row r="40" spans="3:12">
      <c r="E40" s="18"/>
      <c r="F40" s="18"/>
      <c r="G40" s="18"/>
      <c r="H40" s="18"/>
      <c r="I40" s="18"/>
      <c r="J40" s="18"/>
    </row>
    <row r="42" spans="3:12">
      <c r="C42" t="s">
        <v>215</v>
      </c>
      <c r="D42">
        <v>7.5</v>
      </c>
      <c r="E42" s="7">
        <v>7.5</v>
      </c>
    </row>
    <row r="46" spans="3:12">
      <c r="C46" t="s">
        <v>222</v>
      </c>
      <c r="D46" s="3">
        <f>Лист1!N27/1000-(Лист2!D38+Лист2!D31+Лист2!D24+Лист2!D17)</f>
        <v>0.76441137999999986</v>
      </c>
      <c r="E46" s="3">
        <f>D46-Лист1!N21*5.8/1000*0.07</f>
        <v>0.47765301159999984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3:12">
      <c r="C47" t="s">
        <v>174</v>
      </c>
      <c r="D47">
        <v>0.82499999999999996</v>
      </c>
      <c r="E47" s="7">
        <v>0.85250000000000004</v>
      </c>
      <c r="F47" s="7">
        <f>E47*(1+F48)</f>
        <v>0.87807500000000005</v>
      </c>
      <c r="G47" s="7">
        <f>F47*(1+G48)</f>
        <v>0.90441725000000006</v>
      </c>
      <c r="H47" s="7">
        <f t="shared" ref="H47:J47" si="23">G47*(1+H48)</f>
        <v>0.93154976750000007</v>
      </c>
      <c r="I47" s="7">
        <f t="shared" si="23"/>
        <v>0.95949626052500014</v>
      </c>
      <c r="J47" s="7">
        <f t="shared" si="23"/>
        <v>0.9882811483407502</v>
      </c>
    </row>
    <row r="48" spans="3:12">
      <c r="E48" s="4">
        <f>E47/D47-1</f>
        <v>3.3333333333333437E-2</v>
      </c>
      <c r="F48" s="4">
        <v>0.03</v>
      </c>
      <c r="G48" s="4">
        <v>0.03</v>
      </c>
      <c r="H48" s="4">
        <v>0.03</v>
      </c>
      <c r="I48" s="4">
        <v>0.03</v>
      </c>
      <c r="J48" s="4">
        <v>0.03</v>
      </c>
    </row>
    <row r="50" spans="3:10">
      <c r="C50" t="s">
        <v>197</v>
      </c>
      <c r="D50" s="3">
        <f t="shared" ref="D50:J50" si="24">D17+D24+D31+D38+D46</f>
        <v>2.8984113799999998</v>
      </c>
      <c r="E50" s="3">
        <f t="shared" si="24"/>
        <v>2.8233196782666661</v>
      </c>
      <c r="F50" s="3">
        <f t="shared" si="24"/>
        <v>2.6788499999999997</v>
      </c>
      <c r="G50" s="3">
        <f t="shared" si="24"/>
        <v>2.758775</v>
      </c>
      <c r="H50" s="3">
        <f t="shared" si="24"/>
        <v>2.8522701000000001</v>
      </c>
      <c r="I50" s="3">
        <f t="shared" si="24"/>
        <v>2.9421063164999999</v>
      </c>
      <c r="J50" s="3">
        <f t="shared" si="24"/>
        <v>3.0248654838849998</v>
      </c>
    </row>
    <row r="51" spans="3:10">
      <c r="E51" s="4">
        <f>E50/D50-1</f>
        <v>-2.5907882590956999E-2</v>
      </c>
      <c r="F51" s="4">
        <f t="shared" ref="F51:J51" si="25">F50/E50-1</f>
        <v>-5.1170145335919348E-2</v>
      </c>
      <c r="G51" s="4">
        <f t="shared" si="25"/>
        <v>2.9835563768034978E-2</v>
      </c>
      <c r="H51" s="4">
        <f t="shared" si="25"/>
        <v>3.3890078023760539E-2</v>
      </c>
      <c r="I51" s="4">
        <f t="shared" si="25"/>
        <v>3.1496391768787824E-2</v>
      </c>
      <c r="J51" s="4">
        <f t="shared" si="25"/>
        <v>2.8129223923985203E-2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R55"/>
  <sheetViews>
    <sheetView topLeftCell="C22" workbookViewId="0">
      <selection activeCell="D27" sqref="D27:J27"/>
    </sheetView>
  </sheetViews>
  <sheetFormatPr defaultRowHeight="15"/>
  <cols>
    <col min="3" max="3" width="35.42578125" bestFit="1" customWidth="1"/>
    <col min="4" max="4" width="9.28515625" bestFit="1" customWidth="1"/>
    <col min="5" max="10" width="10.28515625" bestFit="1" customWidth="1"/>
    <col min="11" max="14" width="10.28515625" customWidth="1"/>
  </cols>
  <sheetData>
    <row r="5" spans="3:18">
      <c r="D5" t="s">
        <v>178</v>
      </c>
      <c r="E5" t="s">
        <v>188</v>
      </c>
      <c r="F5" t="s">
        <v>189</v>
      </c>
      <c r="G5" t="s">
        <v>179</v>
      </c>
      <c r="H5" t="s">
        <v>182</v>
      </c>
      <c r="I5" t="s">
        <v>180</v>
      </c>
      <c r="J5" t="s">
        <v>183</v>
      </c>
      <c r="K5" t="s">
        <v>181</v>
      </c>
      <c r="L5" t="s">
        <v>184</v>
      </c>
      <c r="M5" t="s">
        <v>206</v>
      </c>
      <c r="N5" t="s">
        <v>207</v>
      </c>
      <c r="P5" t="s">
        <v>197</v>
      </c>
    </row>
    <row r="6" spans="3:18">
      <c r="C6" t="s">
        <v>177</v>
      </c>
      <c r="D6">
        <f>D7+D8</f>
        <v>4</v>
      </c>
      <c r="E6">
        <f t="shared" ref="E6:J6" si="0">E7+E8</f>
        <v>1</v>
      </c>
      <c r="F6">
        <f t="shared" si="0"/>
        <v>5.3999999999999995</v>
      </c>
      <c r="G6">
        <f t="shared" si="0"/>
        <v>0</v>
      </c>
      <c r="H6">
        <f t="shared" si="0"/>
        <v>11</v>
      </c>
      <c r="I6">
        <f t="shared" si="0"/>
        <v>0</v>
      </c>
      <c r="J6">
        <f t="shared" si="0"/>
        <v>8</v>
      </c>
      <c r="P6" s="17">
        <f t="shared" ref="P6:P15" si="1">SUM(D6:J6)</f>
        <v>29.4</v>
      </c>
    </row>
    <row r="7" spans="3:18">
      <c r="C7" s="19" t="s">
        <v>186</v>
      </c>
      <c r="D7">
        <f>0.2+0.1+0.5+0.3</f>
        <v>1.1000000000000001</v>
      </c>
      <c r="E7">
        <f>0.3+0.7</f>
        <v>1</v>
      </c>
      <c r="F7">
        <f>0.4+0.4</f>
        <v>0.8</v>
      </c>
      <c r="H7">
        <f>1.7+1+0.7</f>
        <v>3.4000000000000004</v>
      </c>
      <c r="J7">
        <f>1+1+1</f>
        <v>3</v>
      </c>
      <c r="P7" s="17">
        <f t="shared" si="1"/>
        <v>9.3000000000000007</v>
      </c>
    </row>
    <row r="8" spans="3:18">
      <c r="C8" s="21" t="s">
        <v>187</v>
      </c>
      <c r="D8" s="22">
        <f>0.6+0.6+0.4+0.8+0.5</f>
        <v>2.9000000000000004</v>
      </c>
      <c r="E8" s="22"/>
      <c r="F8" s="22">
        <f>0.3+2.4+1.9</f>
        <v>4.5999999999999996</v>
      </c>
      <c r="G8" s="22"/>
      <c r="H8" s="22">
        <f>1.5+0.9+1.3+0.2+0.2+0.3+0.4+1.5+0.6+0.7</f>
        <v>7.6000000000000005</v>
      </c>
      <c r="I8" s="22"/>
      <c r="J8" s="22">
        <f>2+1.5+1.5</f>
        <v>5</v>
      </c>
      <c r="K8" s="22"/>
      <c r="L8" s="22"/>
      <c r="M8" s="22"/>
      <c r="N8" s="22"/>
      <c r="O8" s="22"/>
      <c r="P8" s="17">
        <f t="shared" si="1"/>
        <v>20.100000000000001</v>
      </c>
      <c r="Q8" s="22"/>
      <c r="R8" s="22"/>
    </row>
    <row r="9" spans="3:18">
      <c r="C9" s="19" t="s">
        <v>190</v>
      </c>
      <c r="D9">
        <f>0.2+0.1</f>
        <v>0.30000000000000004</v>
      </c>
      <c r="E9">
        <f>0.3</f>
        <v>0.3</v>
      </c>
      <c r="F9" s="17">
        <f>0.4+1.9*0.33</f>
        <v>1.0270000000000001</v>
      </c>
      <c r="H9" s="17">
        <f>1.3*0.33+1.5*0.5+0.6*0.5</f>
        <v>1.4790000000000001</v>
      </c>
      <c r="P9" s="17">
        <f t="shared" si="1"/>
        <v>3.1060000000000003</v>
      </c>
    </row>
    <row r="10" spans="3:18">
      <c r="C10" s="19" t="s">
        <v>192</v>
      </c>
      <c r="D10">
        <f>0.5+0.3</f>
        <v>0.8</v>
      </c>
      <c r="H10">
        <f>1.7</f>
        <v>1.7</v>
      </c>
      <c r="J10">
        <f>2+1.5+1.5</f>
        <v>5</v>
      </c>
      <c r="P10" s="17">
        <f t="shared" si="1"/>
        <v>7.5</v>
      </c>
    </row>
    <row r="11" spans="3:18">
      <c r="C11" s="19" t="s">
        <v>196</v>
      </c>
      <c r="E11">
        <f>0.7</f>
        <v>0.7</v>
      </c>
      <c r="F11">
        <f>0.4</f>
        <v>0.4</v>
      </c>
      <c r="H11">
        <f>1+0.7+0.7</f>
        <v>2.4</v>
      </c>
      <c r="J11">
        <f>1+1+1</f>
        <v>3</v>
      </c>
      <c r="P11" s="17">
        <f t="shared" si="1"/>
        <v>6.5</v>
      </c>
    </row>
    <row r="12" spans="3:18">
      <c r="C12" s="19" t="s">
        <v>191</v>
      </c>
      <c r="D12">
        <f>0.6+0.6</f>
        <v>1.2</v>
      </c>
      <c r="F12" s="17">
        <f>0.3+1.9*0.33</f>
        <v>0.92700000000000005</v>
      </c>
      <c r="G12" s="17"/>
      <c r="H12" s="17">
        <f>1.5+0.9+1.3*0.33+0.2+0.2+0.3+0.4</f>
        <v>3.9289999999999998</v>
      </c>
      <c r="I12" s="17"/>
      <c r="J12" s="17"/>
      <c r="K12" s="17"/>
      <c r="L12" s="17"/>
      <c r="M12" s="17"/>
      <c r="N12" s="17"/>
      <c r="O12" s="17"/>
      <c r="P12" s="17">
        <f t="shared" si="1"/>
        <v>6.0559999999999992</v>
      </c>
      <c r="Q12" s="17"/>
      <c r="R12" s="17"/>
    </row>
    <row r="13" spans="3:18" ht="15.75" thickBot="1">
      <c r="C13" s="24" t="s">
        <v>193</v>
      </c>
      <c r="D13" s="25">
        <f>0.4+0.8+0.5</f>
        <v>1.7000000000000002</v>
      </c>
      <c r="E13" s="25"/>
      <c r="F13" s="26">
        <f>2.4+1.9*0.33</f>
        <v>3.0270000000000001</v>
      </c>
      <c r="G13" s="26"/>
      <c r="H13" s="26">
        <f>1.3*0.33+1.5*0.5+0.6*0.5</f>
        <v>1.4790000000000001</v>
      </c>
      <c r="I13" s="26"/>
      <c r="J13" s="26"/>
      <c r="K13" s="26"/>
      <c r="L13" s="26"/>
      <c r="M13" s="26"/>
      <c r="N13" s="26"/>
      <c r="O13" s="26"/>
      <c r="P13" s="26">
        <f t="shared" si="1"/>
        <v>6.2060000000000004</v>
      </c>
      <c r="Q13" s="26"/>
      <c r="R13" s="26"/>
    </row>
    <row r="14" spans="3:18">
      <c r="C14" t="s">
        <v>185</v>
      </c>
      <c r="D14" s="8">
        <f>-(0.04-0.14)/365*1000</f>
        <v>0.27397260273972607</v>
      </c>
      <c r="F14" s="8">
        <f>-(-0.16-0.04)/365*1000</f>
        <v>0.54794520547945214</v>
      </c>
      <c r="H14" s="8">
        <f>-(-0.61+0.16)/365*1000</f>
        <v>1.2328767123287672</v>
      </c>
      <c r="J14" s="8">
        <f>-(-1.11+0.61)/365*1000</f>
        <v>1.3698630136986303</v>
      </c>
      <c r="L14" s="8">
        <f>-(-1.62+1.11)/365*1000</f>
        <v>1.3972602739726028</v>
      </c>
      <c r="P14" s="17">
        <f t="shared" si="1"/>
        <v>3.4246575342465757</v>
      </c>
    </row>
    <row r="15" spans="3:18">
      <c r="C15" s="1" t="s">
        <v>194</v>
      </c>
      <c r="D15" s="3">
        <f>D14</f>
        <v>0.27397260273972607</v>
      </c>
      <c r="E15">
        <f t="shared" ref="E15:J15" si="2">SUM(E16:E20)</f>
        <v>2.2000000000000002</v>
      </c>
      <c r="F15">
        <f t="shared" si="2"/>
        <v>0</v>
      </c>
      <c r="G15">
        <f t="shared" si="2"/>
        <v>0</v>
      </c>
      <c r="H15">
        <f t="shared" si="2"/>
        <v>0.82</v>
      </c>
      <c r="I15">
        <f>SUM(I16:I20)</f>
        <v>3.08</v>
      </c>
      <c r="J15">
        <f t="shared" si="2"/>
        <v>3.9400000000000004</v>
      </c>
      <c r="P15" s="17">
        <f t="shared" si="1"/>
        <v>10.313972602739728</v>
      </c>
    </row>
    <row r="16" spans="3:18">
      <c r="C16" s="19" t="s">
        <v>198</v>
      </c>
      <c r="D16">
        <v>0.27</v>
      </c>
      <c r="E16">
        <v>2.2000000000000002</v>
      </c>
      <c r="I16">
        <v>1.38</v>
      </c>
      <c r="P16" s="17">
        <f>SUM(D16:I16)</f>
        <v>3.85</v>
      </c>
    </row>
    <row r="17" spans="2:18">
      <c r="C17" s="19" t="s">
        <v>199</v>
      </c>
      <c r="I17">
        <v>1.7</v>
      </c>
      <c r="L17">
        <v>1.4</v>
      </c>
      <c r="P17" s="17">
        <f>SUM(D17:J17)</f>
        <v>1.7</v>
      </c>
    </row>
    <row r="18" spans="2:18">
      <c r="C18" s="19" t="s">
        <v>200</v>
      </c>
      <c r="H18">
        <v>0.82</v>
      </c>
      <c r="P18" s="17">
        <f>SUM(D18:J18)</f>
        <v>0.82</v>
      </c>
    </row>
    <row r="19" spans="2:18">
      <c r="C19" s="19" t="s">
        <v>201</v>
      </c>
      <c r="J19">
        <v>1.8</v>
      </c>
      <c r="P19" s="17">
        <f>SUM(D19:J19)</f>
        <v>1.8</v>
      </c>
    </row>
    <row r="20" spans="2:18">
      <c r="C20" s="19" t="s">
        <v>202</v>
      </c>
      <c r="J20">
        <v>2.14</v>
      </c>
      <c r="P20" s="17">
        <f t="shared" ref="P20:P28" si="3">SUM(D20:J20)</f>
        <v>2.14</v>
      </c>
    </row>
    <row r="21" spans="2:18">
      <c r="C21" s="1" t="s">
        <v>195</v>
      </c>
      <c r="P21" s="17">
        <f t="shared" si="3"/>
        <v>0</v>
      </c>
    </row>
    <row r="22" spans="2:18">
      <c r="C22" s="19" t="s">
        <v>205</v>
      </c>
      <c r="P22" s="17">
        <f t="shared" si="3"/>
        <v>0</v>
      </c>
    </row>
    <row r="23" spans="2:18">
      <c r="C23" s="19" t="s">
        <v>204</v>
      </c>
      <c r="P23" s="17">
        <f t="shared" si="3"/>
        <v>0</v>
      </c>
    </row>
    <row r="24" spans="2:18">
      <c r="C24" s="19" t="s">
        <v>203</v>
      </c>
      <c r="E24" s="22"/>
      <c r="L24">
        <v>0.7</v>
      </c>
      <c r="P24" s="17">
        <f t="shared" si="3"/>
        <v>0</v>
      </c>
    </row>
    <row r="25" spans="2:18">
      <c r="C25" s="28" t="s">
        <v>214</v>
      </c>
      <c r="D25" s="28">
        <v>0.5</v>
      </c>
      <c r="E25" s="17"/>
      <c r="F25" s="28">
        <v>1.08</v>
      </c>
      <c r="G25" s="28"/>
      <c r="H25" s="28">
        <v>0.1</v>
      </c>
      <c r="I25" s="28"/>
      <c r="J25" s="28">
        <f>0.1+0.1+0.1</f>
        <v>0.30000000000000004</v>
      </c>
      <c r="K25" s="28"/>
      <c r="L25" s="28"/>
      <c r="M25" s="28"/>
      <c r="N25" s="28"/>
      <c r="O25" s="28"/>
      <c r="P25" s="17">
        <f t="shared" si="3"/>
        <v>1.9800000000000002</v>
      </c>
      <c r="Q25" s="28"/>
      <c r="R25" s="28"/>
    </row>
    <row r="26" spans="2:18" ht="15.75" thickBot="1">
      <c r="B26">
        <v>7.4</v>
      </c>
      <c r="C26" s="21" t="s">
        <v>212</v>
      </c>
      <c r="D26" s="22">
        <v>7.7</v>
      </c>
      <c r="E26" s="26">
        <f>(F26+D26)/2</f>
        <v>7.7650000000000006</v>
      </c>
      <c r="F26" s="22">
        <v>7.83</v>
      </c>
      <c r="G26" s="26">
        <f>(H26+F26)/2</f>
        <v>7.87</v>
      </c>
      <c r="H26" s="22">
        <v>7.91</v>
      </c>
      <c r="I26" s="26">
        <f>(J26+H26)/2</f>
        <v>7.92</v>
      </c>
      <c r="J26" s="22">
        <v>7.93</v>
      </c>
      <c r="K26" s="22"/>
      <c r="L26" s="22"/>
      <c r="M26" s="22"/>
      <c r="N26" s="22"/>
      <c r="O26" s="22"/>
      <c r="P26" s="23"/>
      <c r="Q26" s="22"/>
      <c r="R26" s="22"/>
    </row>
    <row r="27" spans="2:18">
      <c r="C27" t="s">
        <v>211</v>
      </c>
      <c r="D27" s="17">
        <f>-(D28-B28)/365*1000</f>
        <v>1.2009757928316758</v>
      </c>
      <c r="E27" s="17">
        <f t="shared" ref="E27:J27" si="4">-(E28-D28)/365*1000</f>
        <v>0.4878964158378678</v>
      </c>
      <c r="F27" s="17">
        <f t="shared" si="4"/>
        <v>0.4878964158378678</v>
      </c>
      <c r="G27" s="17">
        <f t="shared" si="4"/>
        <v>1.0508538187277168</v>
      </c>
      <c r="H27" s="17">
        <f t="shared" si="4"/>
        <v>1.0508538187277163</v>
      </c>
      <c r="I27" s="17">
        <f t="shared" si="4"/>
        <v>0.7130793769938073</v>
      </c>
      <c r="J27" s="17">
        <f t="shared" si="4"/>
        <v>0.71307937699380786</v>
      </c>
      <c r="P27" s="17">
        <f t="shared" si="3"/>
        <v>5.7046350159504593</v>
      </c>
    </row>
    <row r="28" spans="2:18" ht="15.75" thickBot="1">
      <c r="B28" s="17">
        <f>1.21/365*1000</f>
        <v>3.3150684931506849</v>
      </c>
      <c r="C28" s="24" t="s">
        <v>208</v>
      </c>
      <c r="D28" s="26">
        <f>1.05/365*1000</f>
        <v>2.8767123287671232</v>
      </c>
      <c r="E28" s="26">
        <f>(F28+D28)/2</f>
        <v>2.6986301369863015</v>
      </c>
      <c r="F28" s="26">
        <f>0.92/365*1000</f>
        <v>2.5205479452054798</v>
      </c>
      <c r="G28" s="26">
        <f>(H28+F28)/2</f>
        <v>2.1369863013698631</v>
      </c>
      <c r="H28" s="26">
        <f>0.64/365*1000</f>
        <v>1.7534246575342467</v>
      </c>
      <c r="I28" s="26">
        <f>(J28+H28)/2</f>
        <v>1.493150684931507</v>
      </c>
      <c r="J28" s="26">
        <f>0.45/365*1000</f>
        <v>1.2328767123287672</v>
      </c>
      <c r="K28" s="25"/>
      <c r="L28" s="25"/>
      <c r="M28" s="25"/>
      <c r="N28" s="25">
        <v>4</v>
      </c>
      <c r="O28" s="25"/>
      <c r="P28" s="26">
        <f t="shared" si="3"/>
        <v>14.712328767123289</v>
      </c>
      <c r="Q28" s="25"/>
      <c r="R28" s="25"/>
    </row>
    <row r="29" spans="2:18">
      <c r="C29" s="27" t="s">
        <v>210</v>
      </c>
      <c r="D29" s="3">
        <f>D15+D25+D27</f>
        <v>1.9749483955714018</v>
      </c>
      <c r="E29" s="3">
        <f t="shared" ref="E29:J29" si="5">E15+E25+E27</f>
        <v>2.687896415837868</v>
      </c>
      <c r="F29" s="3">
        <f t="shared" si="5"/>
        <v>1.5678964158378679</v>
      </c>
      <c r="G29" s="3">
        <f t="shared" si="5"/>
        <v>1.0508538187277168</v>
      </c>
      <c r="H29" s="3">
        <f t="shared" si="5"/>
        <v>1.9708538187277163</v>
      </c>
      <c r="I29" s="3">
        <f t="shared" si="5"/>
        <v>3.7930793769938074</v>
      </c>
      <c r="J29" s="3">
        <f t="shared" si="5"/>
        <v>4.9530793769938084</v>
      </c>
      <c r="P29" s="17"/>
    </row>
    <row r="30" spans="2:18">
      <c r="P30" s="17"/>
    </row>
    <row r="31" spans="2:18">
      <c r="C31" t="s">
        <v>209</v>
      </c>
      <c r="D31">
        <f>D6</f>
        <v>4</v>
      </c>
      <c r="E31">
        <f t="shared" ref="E31:J31" si="6">D31+E6</f>
        <v>5</v>
      </c>
      <c r="F31">
        <f t="shared" si="6"/>
        <v>10.399999999999999</v>
      </c>
      <c r="G31">
        <f t="shared" si="6"/>
        <v>10.399999999999999</v>
      </c>
      <c r="H31">
        <f t="shared" si="6"/>
        <v>21.4</v>
      </c>
      <c r="I31">
        <f t="shared" si="6"/>
        <v>21.4</v>
      </c>
      <c r="J31">
        <f t="shared" si="6"/>
        <v>29.4</v>
      </c>
      <c r="P31" s="17"/>
    </row>
    <row r="32" spans="2:18">
      <c r="E32">
        <f>D31</f>
        <v>4</v>
      </c>
      <c r="F32">
        <f>E31</f>
        <v>5</v>
      </c>
      <c r="G32">
        <f>F31</f>
        <v>10.399999999999999</v>
      </c>
      <c r="H32">
        <f>G31</f>
        <v>10.399999999999999</v>
      </c>
      <c r="I32">
        <f>H31</f>
        <v>21.4</v>
      </c>
      <c r="J32">
        <f t="shared" ref="J32" si="7">I31</f>
        <v>21.4</v>
      </c>
      <c r="P32" s="17"/>
    </row>
    <row r="54" spans="3:10">
      <c r="C54" t="s">
        <v>213</v>
      </c>
      <c r="D54" s="3">
        <f>D15+D25+D27</f>
        <v>1.9749483955714018</v>
      </c>
      <c r="E54" s="3">
        <f t="shared" ref="E54:J54" si="8">D54+E29</f>
        <v>4.6628448114092702</v>
      </c>
      <c r="F54" s="3">
        <f t="shared" si="8"/>
        <v>6.2307412272471385</v>
      </c>
      <c r="G54" s="3">
        <f t="shared" si="8"/>
        <v>7.2815950459748553</v>
      </c>
      <c r="H54" s="3">
        <f t="shared" si="8"/>
        <v>9.252448864702572</v>
      </c>
      <c r="I54" s="3">
        <f t="shared" si="8"/>
        <v>13.045528241696379</v>
      </c>
      <c r="J54" s="3">
        <f t="shared" si="8"/>
        <v>17.998607618690187</v>
      </c>
    </row>
    <row r="55" spans="3:10">
      <c r="E55" s="3">
        <f>D54</f>
        <v>1.9749483955714018</v>
      </c>
      <c r="F55" s="3">
        <f>E54</f>
        <v>4.6628448114092702</v>
      </c>
      <c r="G55" s="3">
        <f>F54</f>
        <v>6.2307412272471385</v>
      </c>
      <c r="H55" s="3">
        <f>G54</f>
        <v>7.2815950459748553</v>
      </c>
      <c r="I55" s="3">
        <f>H54</f>
        <v>9.252448864702572</v>
      </c>
      <c r="J55" s="3">
        <f t="shared" ref="J55" si="9">I54</f>
        <v>13.045528241696379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AC1000"/>
  <sheetViews>
    <sheetView topLeftCell="M1" zoomScaleNormal="100" workbookViewId="0">
      <selection activeCell="Y5" sqref="Y5"/>
    </sheetView>
  </sheetViews>
  <sheetFormatPr defaultRowHeight="15"/>
  <cols>
    <col min="3" max="3" width="11.140625" bestFit="1" customWidth="1"/>
    <col min="13" max="13" width="16.5703125" bestFit="1" customWidth="1"/>
  </cols>
  <sheetData>
    <row r="3" spans="3:29">
      <c r="C3" t="s">
        <v>264</v>
      </c>
      <c r="F3" t="s">
        <v>262</v>
      </c>
      <c r="H3" t="s">
        <v>263</v>
      </c>
      <c r="K3" t="s">
        <v>262</v>
      </c>
      <c r="M3" t="s">
        <v>85</v>
      </c>
      <c r="O3" t="s">
        <v>262</v>
      </c>
      <c r="Q3" t="s">
        <v>263</v>
      </c>
      <c r="T3" t="s">
        <v>262</v>
      </c>
      <c r="Y3" t="s">
        <v>265</v>
      </c>
      <c r="AA3" t="s">
        <v>266</v>
      </c>
      <c r="AC3" t="s">
        <v>267</v>
      </c>
    </row>
    <row r="4" spans="3:29">
      <c r="C4" t="s">
        <v>261</v>
      </c>
      <c r="D4" t="s">
        <v>260</v>
      </c>
      <c r="M4" t="s">
        <v>261</v>
      </c>
      <c r="N4" t="s">
        <v>260</v>
      </c>
      <c r="Y4" s="1">
        <v>7.4</v>
      </c>
      <c r="Z4" s="1"/>
      <c r="AA4" s="1">
        <v>18.600000000000001</v>
      </c>
      <c r="AB4" s="1"/>
      <c r="AC4" s="1">
        <v>28.9</v>
      </c>
    </row>
    <row r="5" spans="3:29">
      <c r="C5" s="49">
        <v>38353</v>
      </c>
      <c r="D5">
        <v>15.6013</v>
      </c>
      <c r="F5">
        <f t="shared" ref="F5:F68" si="0">D5</f>
        <v>15.6013</v>
      </c>
      <c r="H5">
        <f t="shared" ref="H5:H68" si="1">F5</f>
        <v>15.6013</v>
      </c>
      <c r="J5">
        <f t="shared" ref="J5:J68" si="2">K5-F5</f>
        <v>0</v>
      </c>
      <c r="K5">
        <f t="shared" ref="K5:K68" si="3">H5</f>
        <v>15.6013</v>
      </c>
      <c r="M5" s="49" t="e">
        <f ca="1">BDH($M$3,$N$4:$N$4,"-10CY","","Dir=V","Dts=S","Sort=A","Quote=G","QtTyp=Y","Days=T","Per=cw","DtFmt=D","UseDPDF=Y","cols=2;rows=557")</f>
        <v>#NAME?</v>
      </c>
      <c r="N5">
        <v>6.2594000000000003</v>
      </c>
      <c r="S5">
        <f t="shared" ref="S5:S68" si="4">T5-N5</f>
        <v>0</v>
      </c>
      <c r="T5">
        <f t="shared" ref="T5:T68" si="5">N5</f>
        <v>6.2594000000000003</v>
      </c>
    </row>
    <row r="6" spans="3:29">
      <c r="C6" s="48">
        <v>38359</v>
      </c>
      <c r="D6">
        <v>14.6233</v>
      </c>
      <c r="F6">
        <f t="shared" si="0"/>
        <v>14.6233</v>
      </c>
      <c r="H6">
        <f t="shared" si="1"/>
        <v>14.6233</v>
      </c>
      <c r="J6">
        <f t="shared" si="2"/>
        <v>0</v>
      </c>
      <c r="K6">
        <f t="shared" si="3"/>
        <v>14.6233</v>
      </c>
      <c r="M6" s="48">
        <v>38359</v>
      </c>
      <c r="N6">
        <v>5.7378</v>
      </c>
      <c r="S6">
        <f t="shared" si="4"/>
        <v>0</v>
      </c>
      <c r="T6">
        <f t="shared" si="5"/>
        <v>5.7378</v>
      </c>
    </row>
    <row r="7" spans="3:29">
      <c r="C7" s="48">
        <v>38366</v>
      </c>
      <c r="D7">
        <v>15.368600000000001</v>
      </c>
      <c r="F7">
        <f t="shared" si="0"/>
        <v>15.368600000000001</v>
      </c>
      <c r="H7">
        <f t="shared" si="1"/>
        <v>15.368600000000001</v>
      </c>
      <c r="J7">
        <f t="shared" si="2"/>
        <v>0</v>
      </c>
      <c r="K7">
        <f t="shared" si="3"/>
        <v>15.368600000000001</v>
      </c>
      <c r="M7" s="48">
        <v>38366</v>
      </c>
      <c r="N7">
        <v>6.1138000000000003</v>
      </c>
      <c r="S7">
        <f t="shared" si="4"/>
        <v>0</v>
      </c>
      <c r="T7">
        <f t="shared" si="5"/>
        <v>6.1138000000000003</v>
      </c>
    </row>
    <row r="8" spans="3:29">
      <c r="C8" s="48">
        <v>38373</v>
      </c>
      <c r="D8">
        <v>15.8718</v>
      </c>
      <c r="F8">
        <f t="shared" si="0"/>
        <v>15.8718</v>
      </c>
      <c r="H8">
        <f t="shared" si="1"/>
        <v>15.8718</v>
      </c>
      <c r="J8">
        <f t="shared" si="2"/>
        <v>0</v>
      </c>
      <c r="K8">
        <f t="shared" si="3"/>
        <v>15.8718</v>
      </c>
      <c r="M8" s="48">
        <v>38373</v>
      </c>
      <c r="N8">
        <v>6.3952</v>
      </c>
      <c r="S8">
        <f t="shared" si="4"/>
        <v>0</v>
      </c>
      <c r="T8">
        <f t="shared" si="5"/>
        <v>6.3952</v>
      </c>
    </row>
    <row r="9" spans="3:29">
      <c r="C9" s="48">
        <v>38380</v>
      </c>
      <c r="D9">
        <v>16.323899999999998</v>
      </c>
      <c r="F9">
        <f t="shared" si="0"/>
        <v>16.323899999999998</v>
      </c>
      <c r="H9">
        <f t="shared" si="1"/>
        <v>16.323899999999998</v>
      </c>
      <c r="J9">
        <f t="shared" si="2"/>
        <v>0</v>
      </c>
      <c r="K9">
        <f t="shared" si="3"/>
        <v>16.323899999999998</v>
      </c>
      <c r="M9" s="48">
        <v>38380</v>
      </c>
      <c r="N9">
        <v>6.4010999999999996</v>
      </c>
      <c r="S9">
        <f t="shared" si="4"/>
        <v>0</v>
      </c>
      <c r="T9">
        <f t="shared" si="5"/>
        <v>6.4010999999999996</v>
      </c>
    </row>
    <row r="10" spans="3:29">
      <c r="C10" s="48">
        <v>38387</v>
      </c>
      <c r="D10">
        <v>16.917999999999999</v>
      </c>
      <c r="F10">
        <f t="shared" si="0"/>
        <v>16.917999999999999</v>
      </c>
      <c r="H10">
        <f t="shared" si="1"/>
        <v>16.917999999999999</v>
      </c>
      <c r="J10">
        <f t="shared" si="2"/>
        <v>0</v>
      </c>
      <c r="K10">
        <f t="shared" si="3"/>
        <v>16.917999999999999</v>
      </c>
      <c r="M10" s="48">
        <v>38387</v>
      </c>
      <c r="N10">
        <v>6.2480000000000002</v>
      </c>
      <c r="S10">
        <f t="shared" si="4"/>
        <v>0</v>
      </c>
      <c r="T10">
        <f t="shared" si="5"/>
        <v>6.2480000000000002</v>
      </c>
    </row>
    <row r="11" spans="3:29">
      <c r="C11" s="48">
        <v>38394</v>
      </c>
      <c r="D11">
        <v>17.3947</v>
      </c>
      <c r="F11">
        <f t="shared" si="0"/>
        <v>17.3947</v>
      </c>
      <c r="H11">
        <f t="shared" si="1"/>
        <v>17.3947</v>
      </c>
      <c r="J11">
        <f t="shared" si="2"/>
        <v>0</v>
      </c>
      <c r="K11">
        <f t="shared" si="3"/>
        <v>17.3947</v>
      </c>
      <c r="M11" s="48">
        <v>38394</v>
      </c>
      <c r="N11">
        <v>6.0791000000000004</v>
      </c>
      <c r="S11">
        <f t="shared" si="4"/>
        <v>0</v>
      </c>
      <c r="T11">
        <f t="shared" si="5"/>
        <v>6.0791000000000004</v>
      </c>
    </row>
    <row r="12" spans="3:29">
      <c r="C12" s="48">
        <v>38401</v>
      </c>
      <c r="D12">
        <v>18.194900000000001</v>
      </c>
      <c r="F12">
        <f t="shared" si="0"/>
        <v>18.194900000000001</v>
      </c>
      <c r="H12">
        <f t="shared" si="1"/>
        <v>18.194900000000001</v>
      </c>
      <c r="J12">
        <f t="shared" si="2"/>
        <v>0</v>
      </c>
      <c r="K12">
        <f t="shared" si="3"/>
        <v>18.194900000000001</v>
      </c>
      <c r="M12" s="48">
        <v>38401</v>
      </c>
      <c r="N12">
        <v>5.9977</v>
      </c>
      <c r="S12">
        <f t="shared" si="4"/>
        <v>0</v>
      </c>
      <c r="T12">
        <f t="shared" si="5"/>
        <v>5.9977</v>
      </c>
    </row>
    <row r="13" spans="3:29">
      <c r="C13" s="48">
        <v>38408</v>
      </c>
      <c r="D13">
        <v>19.3645</v>
      </c>
      <c r="F13">
        <f t="shared" si="0"/>
        <v>19.3645</v>
      </c>
      <c r="H13">
        <f t="shared" si="1"/>
        <v>19.3645</v>
      </c>
      <c r="J13">
        <f t="shared" si="2"/>
        <v>0</v>
      </c>
      <c r="K13">
        <f t="shared" si="3"/>
        <v>19.3645</v>
      </c>
      <c r="M13" s="48">
        <v>38408</v>
      </c>
      <c r="N13">
        <v>6.1280999999999999</v>
      </c>
      <c r="S13">
        <f t="shared" si="4"/>
        <v>0</v>
      </c>
      <c r="T13">
        <f t="shared" si="5"/>
        <v>6.1280999999999999</v>
      </c>
    </row>
    <row r="14" spans="3:29">
      <c r="C14" s="48">
        <v>38415</v>
      </c>
      <c r="D14">
        <v>20.939799999999998</v>
      </c>
      <c r="F14">
        <f t="shared" si="0"/>
        <v>20.939799999999998</v>
      </c>
      <c r="H14">
        <f t="shared" si="1"/>
        <v>20.939799999999998</v>
      </c>
      <c r="J14">
        <f t="shared" si="2"/>
        <v>0</v>
      </c>
      <c r="K14">
        <f t="shared" si="3"/>
        <v>20.939799999999998</v>
      </c>
      <c r="M14" s="48">
        <v>38415</v>
      </c>
      <c r="N14">
        <v>6.6200999999999999</v>
      </c>
      <c r="S14">
        <f t="shared" si="4"/>
        <v>0</v>
      </c>
      <c r="T14">
        <f t="shared" si="5"/>
        <v>6.6200999999999999</v>
      </c>
    </row>
    <row r="15" spans="3:29">
      <c r="C15" s="48">
        <v>38422</v>
      </c>
      <c r="D15">
        <v>21.2179</v>
      </c>
      <c r="F15">
        <f t="shared" si="0"/>
        <v>21.2179</v>
      </c>
      <c r="H15">
        <f t="shared" si="1"/>
        <v>21.2179</v>
      </c>
      <c r="J15">
        <f t="shared" si="2"/>
        <v>0</v>
      </c>
      <c r="K15">
        <f t="shared" si="3"/>
        <v>21.2179</v>
      </c>
      <c r="M15" s="48">
        <v>38422</v>
      </c>
      <c r="N15">
        <v>6.8204000000000002</v>
      </c>
      <c r="S15">
        <f t="shared" si="4"/>
        <v>0</v>
      </c>
      <c r="T15">
        <f t="shared" si="5"/>
        <v>6.8204000000000002</v>
      </c>
    </row>
    <row r="16" spans="3:29">
      <c r="C16" s="48">
        <v>38429</v>
      </c>
      <c r="D16">
        <v>21.051400000000001</v>
      </c>
      <c r="F16">
        <f t="shared" si="0"/>
        <v>21.051400000000001</v>
      </c>
      <c r="H16">
        <f t="shared" si="1"/>
        <v>21.051400000000001</v>
      </c>
      <c r="J16">
        <f t="shared" si="2"/>
        <v>0</v>
      </c>
      <c r="K16">
        <f t="shared" si="3"/>
        <v>21.051400000000001</v>
      </c>
      <c r="M16" s="48">
        <v>38429</v>
      </c>
      <c r="N16">
        <v>7.0922999999999998</v>
      </c>
      <c r="S16">
        <f t="shared" si="4"/>
        <v>0</v>
      </c>
      <c r="T16">
        <f t="shared" si="5"/>
        <v>7.0922999999999998</v>
      </c>
    </row>
    <row r="17" spans="3:20">
      <c r="C17" s="48">
        <v>38436</v>
      </c>
      <c r="D17">
        <v>20.343399999999999</v>
      </c>
      <c r="F17">
        <f t="shared" si="0"/>
        <v>20.343399999999999</v>
      </c>
      <c r="H17">
        <f t="shared" si="1"/>
        <v>20.343399999999999</v>
      </c>
      <c r="J17">
        <f t="shared" si="2"/>
        <v>0</v>
      </c>
      <c r="K17">
        <f t="shared" si="3"/>
        <v>20.343399999999999</v>
      </c>
      <c r="M17" s="48">
        <v>38436</v>
      </c>
      <c r="N17">
        <v>7.1485000000000003</v>
      </c>
      <c r="S17">
        <f t="shared" si="4"/>
        <v>0</v>
      </c>
      <c r="T17">
        <f t="shared" si="5"/>
        <v>7.1485000000000003</v>
      </c>
    </row>
    <row r="18" spans="3:20">
      <c r="C18" s="48">
        <v>38443</v>
      </c>
      <c r="D18">
        <v>20.2928</v>
      </c>
      <c r="F18">
        <f t="shared" si="0"/>
        <v>20.2928</v>
      </c>
      <c r="H18">
        <f t="shared" si="1"/>
        <v>20.2928</v>
      </c>
      <c r="J18">
        <f t="shared" si="2"/>
        <v>0</v>
      </c>
      <c r="K18">
        <f t="shared" si="3"/>
        <v>20.2928</v>
      </c>
      <c r="M18" s="48">
        <v>38443</v>
      </c>
      <c r="N18">
        <v>7.2161</v>
      </c>
      <c r="S18">
        <f t="shared" si="4"/>
        <v>0</v>
      </c>
      <c r="T18">
        <f t="shared" si="5"/>
        <v>7.2161</v>
      </c>
    </row>
    <row r="19" spans="3:20">
      <c r="C19" s="48">
        <v>38450</v>
      </c>
      <c r="D19">
        <v>20.8566</v>
      </c>
      <c r="F19">
        <f t="shared" si="0"/>
        <v>20.8566</v>
      </c>
      <c r="H19">
        <f t="shared" si="1"/>
        <v>20.8566</v>
      </c>
      <c r="J19">
        <f t="shared" si="2"/>
        <v>0</v>
      </c>
      <c r="K19">
        <f t="shared" si="3"/>
        <v>20.8566</v>
      </c>
      <c r="M19" s="48">
        <v>38450</v>
      </c>
      <c r="N19">
        <v>7.4942000000000002</v>
      </c>
      <c r="S19">
        <f t="shared" si="4"/>
        <v>0</v>
      </c>
      <c r="T19">
        <f t="shared" si="5"/>
        <v>7.4942000000000002</v>
      </c>
    </row>
    <row r="20" spans="3:20">
      <c r="C20" s="48">
        <v>38457</v>
      </c>
      <c r="D20">
        <v>19.159700000000001</v>
      </c>
      <c r="F20">
        <f t="shared" si="0"/>
        <v>19.159700000000001</v>
      </c>
      <c r="H20">
        <f t="shared" si="1"/>
        <v>19.159700000000001</v>
      </c>
      <c r="J20">
        <f t="shared" si="2"/>
        <v>0</v>
      </c>
      <c r="K20">
        <f t="shared" si="3"/>
        <v>19.159700000000001</v>
      </c>
      <c r="M20" s="48">
        <v>38457</v>
      </c>
      <c r="N20">
        <v>7.1105999999999998</v>
      </c>
      <c r="S20">
        <f t="shared" si="4"/>
        <v>0</v>
      </c>
      <c r="T20">
        <f t="shared" si="5"/>
        <v>7.1105999999999998</v>
      </c>
    </row>
    <row r="21" spans="3:20">
      <c r="C21" s="48">
        <v>38464</v>
      </c>
      <c r="D21">
        <v>19.030999999999999</v>
      </c>
      <c r="F21">
        <f t="shared" si="0"/>
        <v>19.030999999999999</v>
      </c>
      <c r="H21">
        <f t="shared" si="1"/>
        <v>19.030999999999999</v>
      </c>
      <c r="J21">
        <f t="shared" si="2"/>
        <v>0</v>
      </c>
      <c r="K21">
        <f t="shared" si="3"/>
        <v>19.030999999999999</v>
      </c>
      <c r="M21" s="48">
        <v>38464</v>
      </c>
      <c r="N21">
        <v>7.0076000000000001</v>
      </c>
      <c r="S21">
        <f t="shared" si="4"/>
        <v>0</v>
      </c>
      <c r="T21">
        <f t="shared" si="5"/>
        <v>7.0076000000000001</v>
      </c>
    </row>
    <row r="22" spans="3:20">
      <c r="C22" s="48">
        <v>38471</v>
      </c>
      <c r="D22">
        <v>18.8627</v>
      </c>
      <c r="F22">
        <f t="shared" si="0"/>
        <v>18.8627</v>
      </c>
      <c r="H22">
        <f t="shared" si="1"/>
        <v>18.8627</v>
      </c>
      <c r="J22">
        <f t="shared" si="2"/>
        <v>0</v>
      </c>
      <c r="K22">
        <f t="shared" si="3"/>
        <v>18.8627</v>
      </c>
      <c r="M22" s="48">
        <v>38471</v>
      </c>
      <c r="N22">
        <v>6.9498999999999995</v>
      </c>
      <c r="S22">
        <f t="shared" si="4"/>
        <v>0</v>
      </c>
      <c r="T22">
        <f t="shared" si="5"/>
        <v>6.9498999999999995</v>
      </c>
    </row>
    <row r="23" spans="3:20">
      <c r="C23" s="48">
        <v>38478</v>
      </c>
      <c r="D23">
        <v>18.660299999999999</v>
      </c>
      <c r="F23">
        <f t="shared" si="0"/>
        <v>18.660299999999999</v>
      </c>
      <c r="H23">
        <f t="shared" si="1"/>
        <v>18.660299999999999</v>
      </c>
      <c r="J23">
        <f t="shared" si="2"/>
        <v>0</v>
      </c>
      <c r="K23">
        <f t="shared" si="3"/>
        <v>18.660299999999999</v>
      </c>
      <c r="M23" s="48">
        <v>38478</v>
      </c>
      <c r="N23">
        <v>6.5827</v>
      </c>
      <c r="S23">
        <f t="shared" si="4"/>
        <v>0</v>
      </c>
      <c r="T23">
        <f t="shared" si="5"/>
        <v>6.5827</v>
      </c>
    </row>
    <row r="24" spans="3:20">
      <c r="C24" s="48">
        <v>38485</v>
      </c>
      <c r="D24">
        <v>18.7303</v>
      </c>
      <c r="F24">
        <f t="shared" si="0"/>
        <v>18.7303</v>
      </c>
      <c r="H24">
        <f t="shared" si="1"/>
        <v>18.7303</v>
      </c>
      <c r="J24">
        <f t="shared" si="2"/>
        <v>0</v>
      </c>
      <c r="K24">
        <f t="shared" si="3"/>
        <v>18.7303</v>
      </c>
      <c r="M24" s="48">
        <v>38485</v>
      </c>
      <c r="N24">
        <v>6.5915999999999997</v>
      </c>
      <c r="S24">
        <f t="shared" si="4"/>
        <v>0</v>
      </c>
      <c r="T24">
        <f t="shared" si="5"/>
        <v>6.5915999999999997</v>
      </c>
    </row>
    <row r="25" spans="3:20">
      <c r="C25" s="48">
        <v>38492</v>
      </c>
      <c r="D25">
        <v>17.949000000000002</v>
      </c>
      <c r="F25">
        <f t="shared" si="0"/>
        <v>17.949000000000002</v>
      </c>
      <c r="H25">
        <f t="shared" si="1"/>
        <v>17.949000000000002</v>
      </c>
      <c r="J25">
        <f t="shared" si="2"/>
        <v>0</v>
      </c>
      <c r="K25">
        <f t="shared" si="3"/>
        <v>17.949000000000002</v>
      </c>
      <c r="M25" s="48">
        <v>38492</v>
      </c>
      <c r="N25">
        <v>6.4219999999999997</v>
      </c>
      <c r="S25">
        <f t="shared" si="4"/>
        <v>0</v>
      </c>
      <c r="T25">
        <f t="shared" si="5"/>
        <v>6.4219999999999997</v>
      </c>
    </row>
    <row r="26" spans="3:20">
      <c r="C26" s="48">
        <v>38499</v>
      </c>
      <c r="D26">
        <v>18.8721</v>
      </c>
      <c r="F26">
        <f t="shared" si="0"/>
        <v>18.8721</v>
      </c>
      <c r="H26">
        <f t="shared" si="1"/>
        <v>18.8721</v>
      </c>
      <c r="J26">
        <f t="shared" si="2"/>
        <v>0</v>
      </c>
      <c r="K26">
        <f t="shared" si="3"/>
        <v>18.8721</v>
      </c>
      <c r="M26" s="48">
        <v>38499</v>
      </c>
      <c r="N26">
        <v>6.3257000000000003</v>
      </c>
      <c r="S26">
        <f t="shared" si="4"/>
        <v>0</v>
      </c>
      <c r="T26">
        <f t="shared" si="5"/>
        <v>6.3257000000000003</v>
      </c>
    </row>
    <row r="27" spans="3:20">
      <c r="C27" s="48">
        <v>38506</v>
      </c>
      <c r="D27">
        <v>19.697900000000001</v>
      </c>
      <c r="F27">
        <f t="shared" si="0"/>
        <v>19.697900000000001</v>
      </c>
      <c r="H27">
        <f t="shared" si="1"/>
        <v>19.697900000000001</v>
      </c>
      <c r="J27">
        <f t="shared" si="2"/>
        <v>0</v>
      </c>
      <c r="K27">
        <f t="shared" si="3"/>
        <v>19.697900000000001</v>
      </c>
      <c r="M27" s="48">
        <v>38506</v>
      </c>
      <c r="N27">
        <v>6.4863999999999997</v>
      </c>
      <c r="S27">
        <f t="shared" si="4"/>
        <v>0</v>
      </c>
      <c r="T27">
        <f t="shared" si="5"/>
        <v>6.4863999999999997</v>
      </c>
    </row>
    <row r="28" spans="3:20">
      <c r="C28" s="48">
        <v>38513</v>
      </c>
      <c r="D28">
        <v>20.156600000000001</v>
      </c>
      <c r="F28">
        <f t="shared" si="0"/>
        <v>20.156600000000001</v>
      </c>
      <c r="H28">
        <f t="shared" si="1"/>
        <v>20.156600000000001</v>
      </c>
      <c r="J28">
        <f t="shared" si="2"/>
        <v>0</v>
      </c>
      <c r="K28">
        <f t="shared" si="3"/>
        <v>20.156600000000001</v>
      </c>
      <c r="M28" s="48">
        <v>38513</v>
      </c>
      <c r="N28">
        <v>7.1090999999999998</v>
      </c>
      <c r="S28">
        <f t="shared" si="4"/>
        <v>0</v>
      </c>
      <c r="T28">
        <f t="shared" si="5"/>
        <v>7.1090999999999998</v>
      </c>
    </row>
    <row r="29" spans="3:20">
      <c r="C29" s="48">
        <v>38520</v>
      </c>
      <c r="D29">
        <v>21.4147</v>
      </c>
      <c r="F29">
        <f t="shared" si="0"/>
        <v>21.4147</v>
      </c>
      <c r="H29">
        <f t="shared" si="1"/>
        <v>21.4147</v>
      </c>
      <c r="J29">
        <f t="shared" si="2"/>
        <v>0</v>
      </c>
      <c r="K29">
        <f t="shared" si="3"/>
        <v>21.4147</v>
      </c>
      <c r="M29" s="48">
        <v>38520</v>
      </c>
      <c r="N29">
        <v>7.3613999999999997</v>
      </c>
      <c r="S29">
        <f t="shared" si="4"/>
        <v>0</v>
      </c>
      <c r="T29">
        <f t="shared" si="5"/>
        <v>7.3613999999999997</v>
      </c>
    </row>
    <row r="30" spans="3:20">
      <c r="C30" s="48">
        <v>38527</v>
      </c>
      <c r="D30">
        <v>21.965199999999999</v>
      </c>
      <c r="F30">
        <f t="shared" si="0"/>
        <v>21.965199999999999</v>
      </c>
      <c r="H30">
        <f t="shared" si="1"/>
        <v>21.965199999999999</v>
      </c>
      <c r="J30">
        <f t="shared" si="2"/>
        <v>0</v>
      </c>
      <c r="K30">
        <f t="shared" si="3"/>
        <v>21.965199999999999</v>
      </c>
      <c r="M30" s="48">
        <v>38527</v>
      </c>
      <c r="N30">
        <v>7.5204000000000004</v>
      </c>
      <c r="S30">
        <f t="shared" si="4"/>
        <v>0</v>
      </c>
      <c r="T30">
        <f t="shared" si="5"/>
        <v>7.5204000000000004</v>
      </c>
    </row>
    <row r="31" spans="3:20">
      <c r="C31" s="48">
        <v>38534</v>
      </c>
      <c r="D31">
        <v>21.916</v>
      </c>
      <c r="F31">
        <f t="shared" si="0"/>
        <v>21.916</v>
      </c>
      <c r="H31">
        <f t="shared" si="1"/>
        <v>21.916</v>
      </c>
      <c r="J31">
        <f t="shared" si="2"/>
        <v>0</v>
      </c>
      <c r="K31">
        <f t="shared" si="3"/>
        <v>21.916</v>
      </c>
      <c r="M31" s="48">
        <v>38534</v>
      </c>
      <c r="N31">
        <v>7.0884999999999998</v>
      </c>
      <c r="S31">
        <f t="shared" si="4"/>
        <v>0</v>
      </c>
      <c r="T31">
        <f t="shared" si="5"/>
        <v>7.0884999999999998</v>
      </c>
    </row>
    <row r="32" spans="3:20">
      <c r="C32" s="48">
        <v>38541</v>
      </c>
      <c r="D32">
        <v>23.982700000000001</v>
      </c>
      <c r="F32">
        <f t="shared" si="0"/>
        <v>23.982700000000001</v>
      </c>
      <c r="H32">
        <f t="shared" si="1"/>
        <v>23.982700000000001</v>
      </c>
      <c r="J32">
        <f t="shared" si="2"/>
        <v>0</v>
      </c>
      <c r="K32">
        <f t="shared" si="3"/>
        <v>23.982700000000001</v>
      </c>
      <c r="M32" s="48">
        <v>38541</v>
      </c>
      <c r="N32">
        <v>7.6394000000000002</v>
      </c>
      <c r="S32">
        <f t="shared" si="4"/>
        <v>0</v>
      </c>
      <c r="T32">
        <f t="shared" si="5"/>
        <v>7.6394000000000002</v>
      </c>
    </row>
    <row r="33" spans="3:20">
      <c r="C33" s="48">
        <v>38548</v>
      </c>
      <c r="D33">
        <v>23.7302</v>
      </c>
      <c r="F33">
        <f t="shared" si="0"/>
        <v>23.7302</v>
      </c>
      <c r="H33">
        <f t="shared" si="1"/>
        <v>23.7302</v>
      </c>
      <c r="J33">
        <f t="shared" si="2"/>
        <v>0</v>
      </c>
      <c r="K33">
        <f t="shared" si="3"/>
        <v>23.7302</v>
      </c>
      <c r="M33" s="48">
        <v>38548</v>
      </c>
      <c r="N33">
        <v>7.7862</v>
      </c>
      <c r="S33">
        <f t="shared" si="4"/>
        <v>0</v>
      </c>
      <c r="T33">
        <f t="shared" si="5"/>
        <v>7.7862</v>
      </c>
    </row>
    <row r="34" spans="3:20">
      <c r="C34" s="48">
        <v>38555</v>
      </c>
      <c r="D34">
        <v>23.4861</v>
      </c>
      <c r="F34">
        <f t="shared" si="0"/>
        <v>23.4861</v>
      </c>
      <c r="H34">
        <f t="shared" si="1"/>
        <v>23.4861</v>
      </c>
      <c r="J34">
        <f t="shared" si="2"/>
        <v>0</v>
      </c>
      <c r="K34">
        <f t="shared" si="3"/>
        <v>23.4861</v>
      </c>
      <c r="M34" s="48">
        <v>38555</v>
      </c>
      <c r="N34">
        <v>7.6528</v>
      </c>
      <c r="S34">
        <f t="shared" si="4"/>
        <v>0</v>
      </c>
      <c r="T34">
        <f t="shared" si="5"/>
        <v>7.6528</v>
      </c>
    </row>
    <row r="35" spans="3:20">
      <c r="C35" s="48">
        <v>38562</v>
      </c>
      <c r="D35">
        <v>24.4358</v>
      </c>
      <c r="F35">
        <f t="shared" si="0"/>
        <v>24.4358</v>
      </c>
      <c r="H35">
        <f t="shared" si="1"/>
        <v>24.4358</v>
      </c>
      <c r="J35">
        <f t="shared" si="2"/>
        <v>0</v>
      </c>
      <c r="K35">
        <f t="shared" si="3"/>
        <v>24.4358</v>
      </c>
      <c r="M35" s="48">
        <v>38562</v>
      </c>
      <c r="N35">
        <v>7.5609999999999999</v>
      </c>
      <c r="S35">
        <f t="shared" si="4"/>
        <v>0</v>
      </c>
      <c r="T35">
        <f t="shared" si="5"/>
        <v>7.5609999999999999</v>
      </c>
    </row>
    <row r="36" spans="3:20">
      <c r="C36" s="48">
        <v>38569</v>
      </c>
      <c r="D36">
        <v>26.064599999999999</v>
      </c>
      <c r="F36">
        <f t="shared" si="0"/>
        <v>26.064599999999999</v>
      </c>
      <c r="H36">
        <f t="shared" si="1"/>
        <v>26.064599999999999</v>
      </c>
      <c r="J36">
        <f t="shared" si="2"/>
        <v>0</v>
      </c>
      <c r="K36">
        <f t="shared" si="3"/>
        <v>26.064599999999999</v>
      </c>
      <c r="M36" s="48">
        <v>38569</v>
      </c>
      <c r="N36">
        <v>8.4627999999999997</v>
      </c>
      <c r="S36">
        <f t="shared" si="4"/>
        <v>0</v>
      </c>
      <c r="T36">
        <f t="shared" si="5"/>
        <v>8.4627999999999997</v>
      </c>
    </row>
    <row r="37" spans="3:20">
      <c r="C37" s="48">
        <v>38576</v>
      </c>
      <c r="D37">
        <v>27.269600000000001</v>
      </c>
      <c r="F37">
        <f t="shared" si="0"/>
        <v>27.269600000000001</v>
      </c>
      <c r="H37">
        <f t="shared" si="1"/>
        <v>27.269600000000001</v>
      </c>
      <c r="J37">
        <f t="shared" si="2"/>
        <v>0</v>
      </c>
      <c r="K37">
        <f t="shared" si="3"/>
        <v>27.269600000000001</v>
      </c>
      <c r="M37" s="48">
        <v>38576</v>
      </c>
      <c r="N37">
        <v>9.0653000000000006</v>
      </c>
      <c r="S37">
        <f t="shared" si="4"/>
        <v>0</v>
      </c>
      <c r="T37">
        <f t="shared" si="5"/>
        <v>9.0653000000000006</v>
      </c>
    </row>
    <row r="38" spans="3:20">
      <c r="C38" s="48">
        <v>38583</v>
      </c>
      <c r="D38">
        <v>25.8035</v>
      </c>
      <c r="F38">
        <f t="shared" si="0"/>
        <v>25.8035</v>
      </c>
      <c r="H38">
        <f t="shared" si="1"/>
        <v>25.8035</v>
      </c>
      <c r="J38">
        <f t="shared" si="2"/>
        <v>0</v>
      </c>
      <c r="K38">
        <f t="shared" si="3"/>
        <v>25.8035</v>
      </c>
      <c r="M38" s="48">
        <v>38583</v>
      </c>
      <c r="N38">
        <v>9.5314999999999994</v>
      </c>
      <c r="S38">
        <f t="shared" si="4"/>
        <v>0</v>
      </c>
      <c r="T38">
        <f t="shared" si="5"/>
        <v>9.5314999999999994</v>
      </c>
    </row>
    <row r="39" spans="3:20">
      <c r="C39" s="48">
        <v>38590</v>
      </c>
      <c r="D39">
        <v>26.395600000000002</v>
      </c>
      <c r="F39">
        <f t="shared" si="0"/>
        <v>26.395600000000002</v>
      </c>
      <c r="H39">
        <f t="shared" si="1"/>
        <v>26.395600000000002</v>
      </c>
      <c r="J39">
        <f t="shared" si="2"/>
        <v>0</v>
      </c>
      <c r="K39">
        <f t="shared" si="3"/>
        <v>26.395600000000002</v>
      </c>
      <c r="M39" s="48">
        <v>38590</v>
      </c>
      <c r="N39">
        <v>9.8116000000000003</v>
      </c>
      <c r="S39">
        <f t="shared" si="4"/>
        <v>0</v>
      </c>
      <c r="T39">
        <f t="shared" si="5"/>
        <v>9.8116000000000003</v>
      </c>
    </row>
    <row r="40" spans="3:20">
      <c r="C40" s="48">
        <v>38597</v>
      </c>
      <c r="D40">
        <v>29.3979</v>
      </c>
      <c r="F40">
        <f t="shared" si="0"/>
        <v>29.3979</v>
      </c>
      <c r="H40">
        <f t="shared" si="1"/>
        <v>29.3979</v>
      </c>
      <c r="J40">
        <f t="shared" si="2"/>
        <v>0</v>
      </c>
      <c r="K40">
        <f t="shared" si="3"/>
        <v>29.3979</v>
      </c>
      <c r="M40" s="48">
        <v>38597</v>
      </c>
      <c r="N40">
        <v>12.040900000000001</v>
      </c>
      <c r="S40">
        <f t="shared" si="4"/>
        <v>0</v>
      </c>
      <c r="T40">
        <f t="shared" si="5"/>
        <v>12.040900000000001</v>
      </c>
    </row>
    <row r="41" spans="3:20">
      <c r="C41" s="48">
        <v>38604</v>
      </c>
      <c r="D41">
        <v>31.1312</v>
      </c>
      <c r="F41">
        <f t="shared" si="0"/>
        <v>31.1312</v>
      </c>
      <c r="H41">
        <f t="shared" si="1"/>
        <v>31.1312</v>
      </c>
      <c r="J41">
        <f t="shared" si="2"/>
        <v>0</v>
      </c>
      <c r="K41">
        <f t="shared" si="3"/>
        <v>31.1312</v>
      </c>
      <c r="M41" s="48">
        <v>38604</v>
      </c>
      <c r="N41">
        <v>11.135999999999999</v>
      </c>
      <c r="S41">
        <f t="shared" si="4"/>
        <v>0</v>
      </c>
      <c r="T41">
        <f t="shared" si="5"/>
        <v>11.135999999999999</v>
      </c>
    </row>
    <row r="42" spans="3:20">
      <c r="C42" s="48">
        <v>38611</v>
      </c>
      <c r="D42">
        <v>31.433399999999999</v>
      </c>
      <c r="F42">
        <f t="shared" si="0"/>
        <v>31.433399999999999</v>
      </c>
      <c r="H42">
        <f t="shared" si="1"/>
        <v>31.433399999999999</v>
      </c>
      <c r="J42">
        <f t="shared" si="2"/>
        <v>0</v>
      </c>
      <c r="K42">
        <f t="shared" si="3"/>
        <v>31.433399999999999</v>
      </c>
      <c r="M42" s="48">
        <v>38611</v>
      </c>
      <c r="N42">
        <v>10.9308</v>
      </c>
      <c r="S42">
        <f t="shared" si="4"/>
        <v>0</v>
      </c>
      <c r="T42">
        <f t="shared" si="5"/>
        <v>10.9308</v>
      </c>
    </row>
    <row r="43" spans="3:20">
      <c r="C43" s="48">
        <v>38618</v>
      </c>
      <c r="D43">
        <v>33.711100000000002</v>
      </c>
      <c r="F43">
        <f t="shared" si="0"/>
        <v>33.711100000000002</v>
      </c>
      <c r="H43">
        <f t="shared" si="1"/>
        <v>33.711100000000002</v>
      </c>
      <c r="J43">
        <f t="shared" si="2"/>
        <v>0</v>
      </c>
      <c r="K43">
        <f t="shared" si="3"/>
        <v>33.711100000000002</v>
      </c>
      <c r="M43" s="48">
        <v>38618</v>
      </c>
      <c r="N43">
        <v>13.7401</v>
      </c>
      <c r="S43">
        <f t="shared" si="4"/>
        <v>0</v>
      </c>
      <c r="T43">
        <f t="shared" si="5"/>
        <v>13.7401</v>
      </c>
    </row>
    <row r="44" spans="3:20">
      <c r="C44" s="48">
        <v>38625</v>
      </c>
      <c r="D44">
        <v>35.498800000000003</v>
      </c>
      <c r="F44">
        <f t="shared" si="0"/>
        <v>35.498800000000003</v>
      </c>
      <c r="H44">
        <f t="shared" si="1"/>
        <v>35.498800000000003</v>
      </c>
      <c r="J44">
        <f t="shared" si="2"/>
        <v>0</v>
      </c>
      <c r="K44">
        <f t="shared" si="3"/>
        <v>35.498800000000003</v>
      </c>
      <c r="M44" s="48">
        <v>38632</v>
      </c>
      <c r="N44">
        <v>13.677</v>
      </c>
      <c r="S44">
        <f t="shared" si="4"/>
        <v>0</v>
      </c>
      <c r="T44">
        <f t="shared" si="5"/>
        <v>13.677</v>
      </c>
    </row>
    <row r="45" spans="3:20">
      <c r="C45" s="48">
        <v>38632</v>
      </c>
      <c r="D45">
        <v>33.788600000000002</v>
      </c>
      <c r="F45">
        <f t="shared" si="0"/>
        <v>33.788600000000002</v>
      </c>
      <c r="H45">
        <f t="shared" si="1"/>
        <v>33.788600000000002</v>
      </c>
      <c r="J45">
        <f t="shared" si="2"/>
        <v>0</v>
      </c>
      <c r="K45">
        <f t="shared" si="3"/>
        <v>33.788600000000002</v>
      </c>
      <c r="M45" s="48">
        <v>38639</v>
      </c>
      <c r="N45">
        <v>13.4033</v>
      </c>
      <c r="S45">
        <f t="shared" si="4"/>
        <v>0</v>
      </c>
      <c r="T45">
        <f t="shared" si="5"/>
        <v>13.4033</v>
      </c>
    </row>
    <row r="46" spans="3:20">
      <c r="C46" s="48">
        <v>38639</v>
      </c>
      <c r="D46">
        <v>31.166599999999999</v>
      </c>
      <c r="F46">
        <f t="shared" si="0"/>
        <v>31.166599999999999</v>
      </c>
      <c r="H46">
        <f t="shared" si="1"/>
        <v>31.166599999999999</v>
      </c>
      <c r="J46">
        <f t="shared" si="2"/>
        <v>0</v>
      </c>
      <c r="K46">
        <f t="shared" si="3"/>
        <v>31.166599999999999</v>
      </c>
      <c r="M46" s="48">
        <v>38646</v>
      </c>
      <c r="N46">
        <v>13.3583</v>
      </c>
      <c r="S46">
        <f t="shared" si="4"/>
        <v>0</v>
      </c>
      <c r="T46">
        <f t="shared" si="5"/>
        <v>13.3583</v>
      </c>
    </row>
    <row r="47" spans="3:20">
      <c r="C47" s="48">
        <v>38646</v>
      </c>
      <c r="D47">
        <v>29.4603</v>
      </c>
      <c r="F47">
        <f t="shared" si="0"/>
        <v>29.4603</v>
      </c>
      <c r="H47">
        <f t="shared" si="1"/>
        <v>29.4603</v>
      </c>
      <c r="J47">
        <f t="shared" si="2"/>
        <v>0</v>
      </c>
      <c r="K47">
        <f t="shared" si="3"/>
        <v>29.4603</v>
      </c>
      <c r="M47" s="48">
        <v>38653</v>
      </c>
      <c r="N47">
        <v>13.7079</v>
      </c>
      <c r="S47">
        <f t="shared" si="4"/>
        <v>0</v>
      </c>
      <c r="T47">
        <f t="shared" si="5"/>
        <v>13.7079</v>
      </c>
    </row>
    <row r="48" spans="3:20">
      <c r="C48" s="48">
        <v>38653</v>
      </c>
      <c r="D48">
        <v>29.855699999999999</v>
      </c>
      <c r="F48">
        <f t="shared" si="0"/>
        <v>29.855699999999999</v>
      </c>
      <c r="H48">
        <f t="shared" si="1"/>
        <v>29.855699999999999</v>
      </c>
      <c r="J48">
        <f t="shared" si="2"/>
        <v>0</v>
      </c>
      <c r="K48">
        <f t="shared" si="3"/>
        <v>29.855699999999999</v>
      </c>
      <c r="M48" s="48">
        <v>38660</v>
      </c>
      <c r="N48">
        <v>10.8576</v>
      </c>
      <c r="S48">
        <f t="shared" si="4"/>
        <v>0</v>
      </c>
      <c r="T48">
        <f t="shared" si="5"/>
        <v>10.8576</v>
      </c>
    </row>
    <row r="49" spans="3:20">
      <c r="C49" s="48">
        <v>38660</v>
      </c>
      <c r="D49">
        <v>28.905999999999999</v>
      </c>
      <c r="F49">
        <f t="shared" si="0"/>
        <v>28.905999999999999</v>
      </c>
      <c r="H49">
        <f t="shared" si="1"/>
        <v>28.905999999999999</v>
      </c>
      <c r="J49">
        <f t="shared" si="2"/>
        <v>0</v>
      </c>
      <c r="K49">
        <f t="shared" si="3"/>
        <v>28.905999999999999</v>
      </c>
      <c r="M49" s="48">
        <v>38667</v>
      </c>
      <c r="N49">
        <v>9.2199000000000009</v>
      </c>
      <c r="S49">
        <f t="shared" si="4"/>
        <v>0</v>
      </c>
      <c r="T49">
        <f t="shared" si="5"/>
        <v>9.2199000000000009</v>
      </c>
    </row>
    <row r="50" spans="3:20">
      <c r="C50" s="48">
        <v>38667</v>
      </c>
      <c r="D50">
        <v>26.3294</v>
      </c>
      <c r="F50">
        <f t="shared" si="0"/>
        <v>26.3294</v>
      </c>
      <c r="H50">
        <f t="shared" si="1"/>
        <v>26.3294</v>
      </c>
      <c r="J50">
        <f t="shared" si="2"/>
        <v>0</v>
      </c>
      <c r="K50">
        <f t="shared" si="3"/>
        <v>26.3294</v>
      </c>
      <c r="M50" s="48">
        <v>38674</v>
      </c>
      <c r="N50">
        <v>10.263</v>
      </c>
      <c r="S50">
        <f t="shared" si="4"/>
        <v>0</v>
      </c>
      <c r="T50">
        <f t="shared" si="5"/>
        <v>10.263</v>
      </c>
    </row>
    <row r="51" spans="3:20">
      <c r="C51" s="48">
        <v>38674</v>
      </c>
      <c r="D51">
        <v>27.131499999999999</v>
      </c>
      <c r="F51">
        <f t="shared" si="0"/>
        <v>27.131499999999999</v>
      </c>
      <c r="H51">
        <f t="shared" si="1"/>
        <v>27.131499999999999</v>
      </c>
      <c r="J51">
        <f t="shared" si="2"/>
        <v>0</v>
      </c>
      <c r="K51">
        <f t="shared" si="3"/>
        <v>27.131499999999999</v>
      </c>
      <c r="M51" s="48">
        <v>38681</v>
      </c>
      <c r="N51">
        <v>10.883900000000001</v>
      </c>
      <c r="S51">
        <f t="shared" si="4"/>
        <v>0</v>
      </c>
      <c r="T51">
        <f t="shared" si="5"/>
        <v>10.883900000000001</v>
      </c>
    </row>
    <row r="52" spans="3:20">
      <c r="C52" s="48">
        <v>38681</v>
      </c>
      <c r="D52">
        <v>27.936499999999999</v>
      </c>
      <c r="F52">
        <f t="shared" si="0"/>
        <v>27.936499999999999</v>
      </c>
      <c r="H52">
        <f t="shared" si="1"/>
        <v>27.936499999999999</v>
      </c>
      <c r="J52">
        <f t="shared" si="2"/>
        <v>0</v>
      </c>
      <c r="K52">
        <f t="shared" si="3"/>
        <v>27.936499999999999</v>
      </c>
      <c r="M52" s="48">
        <v>38688</v>
      </c>
      <c r="N52">
        <v>11.8909</v>
      </c>
      <c r="S52">
        <f t="shared" si="4"/>
        <v>0</v>
      </c>
      <c r="T52">
        <f t="shared" si="5"/>
        <v>11.8909</v>
      </c>
    </row>
    <row r="53" spans="3:20">
      <c r="C53" s="48">
        <v>38688</v>
      </c>
      <c r="D53">
        <v>27.504200000000001</v>
      </c>
      <c r="F53">
        <f t="shared" si="0"/>
        <v>27.504200000000001</v>
      </c>
      <c r="H53">
        <f t="shared" si="1"/>
        <v>27.504200000000001</v>
      </c>
      <c r="J53">
        <f t="shared" si="2"/>
        <v>0</v>
      </c>
      <c r="K53">
        <f t="shared" si="3"/>
        <v>27.504200000000001</v>
      </c>
      <c r="M53" s="48">
        <v>38695</v>
      </c>
      <c r="N53">
        <v>14.214700000000001</v>
      </c>
      <c r="S53">
        <f t="shared" si="4"/>
        <v>0</v>
      </c>
      <c r="T53">
        <f t="shared" si="5"/>
        <v>14.214700000000001</v>
      </c>
    </row>
    <row r="54" spans="3:20">
      <c r="C54" s="48">
        <v>38695</v>
      </c>
      <c r="D54">
        <v>29.486799999999999</v>
      </c>
      <c r="F54">
        <f t="shared" si="0"/>
        <v>29.486799999999999</v>
      </c>
      <c r="H54">
        <f t="shared" si="1"/>
        <v>29.486799999999999</v>
      </c>
      <c r="J54">
        <f t="shared" si="2"/>
        <v>0</v>
      </c>
      <c r="K54">
        <f t="shared" si="3"/>
        <v>29.486799999999999</v>
      </c>
      <c r="M54" s="48">
        <v>38702</v>
      </c>
      <c r="N54">
        <v>14.494300000000001</v>
      </c>
      <c r="S54">
        <f t="shared" si="4"/>
        <v>0</v>
      </c>
      <c r="T54">
        <f t="shared" si="5"/>
        <v>14.494300000000001</v>
      </c>
    </row>
    <row r="55" spans="3:20">
      <c r="C55" s="48">
        <v>38702</v>
      </c>
      <c r="D55">
        <v>31.174199999999999</v>
      </c>
      <c r="F55">
        <f t="shared" si="0"/>
        <v>31.174199999999999</v>
      </c>
      <c r="H55">
        <f t="shared" si="1"/>
        <v>31.174199999999999</v>
      </c>
      <c r="J55">
        <f t="shared" si="2"/>
        <v>0</v>
      </c>
      <c r="K55">
        <f t="shared" si="3"/>
        <v>31.174199999999999</v>
      </c>
      <c r="M55" s="48">
        <v>38709</v>
      </c>
      <c r="N55">
        <v>13.056100000000001</v>
      </c>
      <c r="S55">
        <f t="shared" si="4"/>
        <v>0</v>
      </c>
      <c r="T55">
        <f t="shared" si="5"/>
        <v>13.056100000000001</v>
      </c>
    </row>
    <row r="56" spans="3:20">
      <c r="C56" s="48">
        <v>38709</v>
      </c>
      <c r="D56">
        <v>30.6615</v>
      </c>
      <c r="F56">
        <f t="shared" si="0"/>
        <v>30.6615</v>
      </c>
      <c r="H56">
        <f t="shared" si="1"/>
        <v>30.6615</v>
      </c>
      <c r="J56">
        <f t="shared" si="2"/>
        <v>0</v>
      </c>
      <c r="K56">
        <f t="shared" si="3"/>
        <v>30.6615</v>
      </c>
      <c r="M56" s="48">
        <v>38716</v>
      </c>
      <c r="N56">
        <v>9.9296000000000006</v>
      </c>
      <c r="S56">
        <f t="shared" si="4"/>
        <v>0</v>
      </c>
      <c r="T56">
        <f t="shared" si="5"/>
        <v>9.9296000000000006</v>
      </c>
    </row>
    <row r="57" spans="3:20">
      <c r="C57" s="48">
        <v>38716</v>
      </c>
      <c r="D57">
        <v>29.5989</v>
      </c>
      <c r="F57">
        <f t="shared" si="0"/>
        <v>29.5989</v>
      </c>
      <c r="H57">
        <f t="shared" si="1"/>
        <v>29.5989</v>
      </c>
      <c r="J57">
        <f t="shared" si="2"/>
        <v>0</v>
      </c>
      <c r="K57">
        <f t="shared" si="3"/>
        <v>29.5989</v>
      </c>
      <c r="M57" s="48">
        <v>38723</v>
      </c>
      <c r="N57">
        <v>9.4193999999999996</v>
      </c>
      <c r="S57">
        <f t="shared" si="4"/>
        <v>0</v>
      </c>
      <c r="T57">
        <f t="shared" si="5"/>
        <v>9.4193999999999996</v>
      </c>
    </row>
    <row r="58" spans="3:20">
      <c r="C58" s="48">
        <v>38723</v>
      </c>
      <c r="D58">
        <v>30.833200000000001</v>
      </c>
      <c r="F58">
        <f t="shared" si="0"/>
        <v>30.833200000000001</v>
      </c>
      <c r="H58">
        <f t="shared" si="1"/>
        <v>30.833200000000001</v>
      </c>
      <c r="J58">
        <f t="shared" si="2"/>
        <v>0</v>
      </c>
      <c r="K58">
        <f t="shared" si="3"/>
        <v>30.833200000000001</v>
      </c>
      <c r="M58" s="48">
        <v>38730</v>
      </c>
      <c r="N58">
        <v>8.6292000000000009</v>
      </c>
      <c r="S58">
        <f t="shared" si="4"/>
        <v>0</v>
      </c>
      <c r="T58">
        <f t="shared" si="5"/>
        <v>8.6292000000000009</v>
      </c>
    </row>
    <row r="59" spans="3:20">
      <c r="C59" s="48">
        <v>38730</v>
      </c>
      <c r="D59">
        <v>30.587800000000001</v>
      </c>
      <c r="F59">
        <f t="shared" si="0"/>
        <v>30.587800000000001</v>
      </c>
      <c r="H59">
        <f t="shared" si="1"/>
        <v>30.587800000000001</v>
      </c>
      <c r="J59">
        <f t="shared" si="2"/>
        <v>0</v>
      </c>
      <c r="K59">
        <f t="shared" si="3"/>
        <v>30.587800000000001</v>
      </c>
      <c r="M59" s="48">
        <v>38737</v>
      </c>
      <c r="N59">
        <v>8.6735000000000007</v>
      </c>
      <c r="S59">
        <f t="shared" si="4"/>
        <v>0</v>
      </c>
      <c r="T59">
        <f t="shared" si="5"/>
        <v>8.6735000000000007</v>
      </c>
    </row>
    <row r="60" spans="3:20">
      <c r="C60" s="48">
        <v>38737</v>
      </c>
      <c r="D60">
        <v>31.436199999999999</v>
      </c>
      <c r="F60">
        <f t="shared" si="0"/>
        <v>31.436199999999999</v>
      </c>
      <c r="H60">
        <f t="shared" si="1"/>
        <v>31.436199999999999</v>
      </c>
      <c r="J60">
        <f t="shared" si="2"/>
        <v>0</v>
      </c>
      <c r="K60">
        <f t="shared" si="3"/>
        <v>31.436199999999999</v>
      </c>
      <c r="M60" s="48">
        <v>38744</v>
      </c>
      <c r="N60">
        <v>8.2216000000000005</v>
      </c>
      <c r="S60">
        <f t="shared" si="4"/>
        <v>0</v>
      </c>
      <c r="T60">
        <f t="shared" si="5"/>
        <v>8.2216000000000005</v>
      </c>
    </row>
    <row r="61" spans="3:20">
      <c r="C61" s="48">
        <v>38744</v>
      </c>
      <c r="D61">
        <v>30.822299999999998</v>
      </c>
      <c r="F61">
        <f t="shared" si="0"/>
        <v>30.822299999999998</v>
      </c>
      <c r="H61">
        <f t="shared" si="1"/>
        <v>30.822299999999998</v>
      </c>
      <c r="J61">
        <f t="shared" si="2"/>
        <v>0</v>
      </c>
      <c r="K61">
        <f t="shared" si="3"/>
        <v>30.822299999999998</v>
      </c>
      <c r="M61" s="48">
        <v>38751</v>
      </c>
      <c r="N61">
        <v>8.3642000000000003</v>
      </c>
      <c r="S61">
        <f t="shared" si="4"/>
        <v>0</v>
      </c>
      <c r="T61">
        <f t="shared" si="5"/>
        <v>8.3642000000000003</v>
      </c>
    </row>
    <row r="62" spans="3:20">
      <c r="C62" s="48">
        <v>38751</v>
      </c>
      <c r="D62">
        <v>32.277099999999997</v>
      </c>
      <c r="F62">
        <f t="shared" si="0"/>
        <v>32.277099999999997</v>
      </c>
      <c r="H62">
        <f t="shared" si="1"/>
        <v>32.277099999999997</v>
      </c>
      <c r="J62">
        <f t="shared" si="2"/>
        <v>0</v>
      </c>
      <c r="K62">
        <f t="shared" si="3"/>
        <v>32.277099999999997</v>
      </c>
      <c r="M62" s="48">
        <v>38758</v>
      </c>
      <c r="N62">
        <v>7.7964000000000002</v>
      </c>
      <c r="S62">
        <f t="shared" si="4"/>
        <v>0</v>
      </c>
      <c r="T62">
        <f t="shared" si="5"/>
        <v>7.7964000000000002</v>
      </c>
    </row>
    <row r="63" spans="3:20">
      <c r="C63" s="48">
        <v>38758</v>
      </c>
      <c r="D63">
        <v>29.725100000000001</v>
      </c>
      <c r="F63">
        <f t="shared" si="0"/>
        <v>29.725100000000001</v>
      </c>
      <c r="H63">
        <f t="shared" si="1"/>
        <v>29.725100000000001</v>
      </c>
      <c r="J63">
        <f t="shared" si="2"/>
        <v>0</v>
      </c>
      <c r="K63">
        <f t="shared" si="3"/>
        <v>29.725100000000001</v>
      </c>
      <c r="M63" s="48">
        <v>38765</v>
      </c>
      <c r="N63">
        <v>7.2500999999999998</v>
      </c>
      <c r="S63">
        <f t="shared" si="4"/>
        <v>0</v>
      </c>
      <c r="T63">
        <f t="shared" si="5"/>
        <v>7.2500999999999998</v>
      </c>
    </row>
    <row r="64" spans="3:20">
      <c r="C64" s="48">
        <v>38765</v>
      </c>
      <c r="D64">
        <v>27.574200000000001</v>
      </c>
      <c r="F64">
        <f t="shared" si="0"/>
        <v>27.574200000000001</v>
      </c>
      <c r="H64">
        <f t="shared" si="1"/>
        <v>27.574200000000001</v>
      </c>
      <c r="J64">
        <f t="shared" si="2"/>
        <v>0</v>
      </c>
      <c r="K64">
        <f t="shared" si="3"/>
        <v>27.574200000000001</v>
      </c>
      <c r="M64" s="48">
        <v>38772</v>
      </c>
      <c r="N64">
        <v>7.3917999999999999</v>
      </c>
      <c r="S64">
        <f t="shared" si="4"/>
        <v>0</v>
      </c>
      <c r="T64">
        <f t="shared" si="5"/>
        <v>7.3917999999999999</v>
      </c>
    </row>
    <row r="65" spans="3:20">
      <c r="C65" s="48">
        <v>38772</v>
      </c>
      <c r="D65">
        <v>28.253299999999999</v>
      </c>
      <c r="F65">
        <f t="shared" si="0"/>
        <v>28.253299999999999</v>
      </c>
      <c r="H65">
        <f t="shared" si="1"/>
        <v>28.253299999999999</v>
      </c>
      <c r="J65">
        <f t="shared" si="2"/>
        <v>0</v>
      </c>
      <c r="K65">
        <f t="shared" si="3"/>
        <v>28.253299999999999</v>
      </c>
      <c r="M65" s="48">
        <v>38779</v>
      </c>
      <c r="N65">
        <v>6.7108999999999996</v>
      </c>
      <c r="S65">
        <f t="shared" si="4"/>
        <v>0</v>
      </c>
      <c r="T65">
        <f t="shared" si="5"/>
        <v>6.7108999999999996</v>
      </c>
    </row>
    <row r="66" spans="3:20">
      <c r="C66" s="48">
        <v>38779</v>
      </c>
      <c r="D66">
        <v>28.802</v>
      </c>
      <c r="F66">
        <f t="shared" si="0"/>
        <v>28.802</v>
      </c>
      <c r="H66">
        <f t="shared" si="1"/>
        <v>28.802</v>
      </c>
      <c r="J66">
        <f t="shared" si="2"/>
        <v>0</v>
      </c>
      <c r="K66">
        <f t="shared" si="3"/>
        <v>28.802</v>
      </c>
      <c r="M66" s="48">
        <v>38786</v>
      </c>
      <c r="N66">
        <v>6.4451000000000001</v>
      </c>
      <c r="S66">
        <f t="shared" si="4"/>
        <v>0</v>
      </c>
      <c r="T66">
        <f t="shared" si="5"/>
        <v>6.4451000000000001</v>
      </c>
    </row>
    <row r="67" spans="3:20">
      <c r="C67" s="48">
        <v>38786</v>
      </c>
      <c r="D67">
        <v>28.359300000000001</v>
      </c>
      <c r="F67">
        <f t="shared" si="0"/>
        <v>28.359300000000001</v>
      </c>
      <c r="H67">
        <f t="shared" si="1"/>
        <v>28.359300000000001</v>
      </c>
      <c r="J67">
        <f t="shared" si="2"/>
        <v>0</v>
      </c>
      <c r="K67">
        <f t="shared" si="3"/>
        <v>28.359300000000001</v>
      </c>
      <c r="M67" s="48">
        <v>38793</v>
      </c>
      <c r="N67">
        <v>7.0621999999999998</v>
      </c>
      <c r="S67">
        <f t="shared" si="4"/>
        <v>0</v>
      </c>
      <c r="T67">
        <f t="shared" si="5"/>
        <v>7.0621999999999998</v>
      </c>
    </row>
    <row r="68" spans="3:20">
      <c r="C68" s="48">
        <v>38793</v>
      </c>
      <c r="D68">
        <v>29.481100000000001</v>
      </c>
      <c r="F68">
        <f t="shared" si="0"/>
        <v>29.481100000000001</v>
      </c>
      <c r="H68">
        <f t="shared" si="1"/>
        <v>29.481100000000001</v>
      </c>
      <c r="J68">
        <f t="shared" si="2"/>
        <v>0</v>
      </c>
      <c r="K68">
        <f t="shared" si="3"/>
        <v>29.481100000000001</v>
      </c>
      <c r="M68" s="48">
        <v>38800</v>
      </c>
      <c r="N68">
        <v>7.0987999999999998</v>
      </c>
      <c r="S68">
        <f t="shared" si="4"/>
        <v>0</v>
      </c>
      <c r="T68">
        <f t="shared" si="5"/>
        <v>7.0987999999999998</v>
      </c>
    </row>
    <row r="69" spans="3:20">
      <c r="C69" s="48">
        <v>38800</v>
      </c>
      <c r="D69">
        <v>28.7698</v>
      </c>
      <c r="F69">
        <f t="shared" ref="F69:F132" si="6">D69</f>
        <v>28.7698</v>
      </c>
      <c r="H69">
        <f t="shared" ref="H69:H132" si="7">F69</f>
        <v>28.7698</v>
      </c>
      <c r="J69">
        <f t="shared" ref="J69:J132" si="8">K69-F69</f>
        <v>0</v>
      </c>
      <c r="K69">
        <f t="shared" ref="K69:K132" si="9">H69</f>
        <v>28.7698</v>
      </c>
      <c r="M69" s="48">
        <v>38807</v>
      </c>
      <c r="N69">
        <v>7.1074000000000002</v>
      </c>
      <c r="S69">
        <f t="shared" ref="S69:S132" si="10">T69-N69</f>
        <v>0</v>
      </c>
      <c r="T69">
        <f t="shared" ref="T69:T132" si="11">N69</f>
        <v>7.1074000000000002</v>
      </c>
    </row>
    <row r="70" spans="3:20">
      <c r="C70" s="48">
        <v>38807</v>
      </c>
      <c r="D70">
        <v>29.976700000000001</v>
      </c>
      <c r="F70">
        <f t="shared" si="6"/>
        <v>29.976700000000001</v>
      </c>
      <c r="H70">
        <f t="shared" si="7"/>
        <v>29.976700000000001</v>
      </c>
      <c r="J70">
        <f t="shared" si="8"/>
        <v>0</v>
      </c>
      <c r="K70">
        <f t="shared" si="9"/>
        <v>29.976700000000001</v>
      </c>
      <c r="M70" s="48">
        <v>38814</v>
      </c>
      <c r="N70">
        <v>6.9739000000000004</v>
      </c>
      <c r="S70">
        <f t="shared" si="10"/>
        <v>0</v>
      </c>
      <c r="T70">
        <f t="shared" si="11"/>
        <v>6.9739000000000004</v>
      </c>
    </row>
    <row r="71" spans="3:20">
      <c r="C71" s="48">
        <v>38814</v>
      </c>
      <c r="D71">
        <v>29.982399999999998</v>
      </c>
      <c r="F71">
        <f t="shared" si="6"/>
        <v>29.982399999999998</v>
      </c>
      <c r="H71">
        <f t="shared" si="7"/>
        <v>29.982399999999998</v>
      </c>
      <c r="J71">
        <f t="shared" si="8"/>
        <v>0</v>
      </c>
      <c r="K71">
        <f t="shared" si="9"/>
        <v>29.982399999999998</v>
      </c>
      <c r="M71" s="48">
        <v>38821</v>
      </c>
      <c r="N71">
        <v>6.8076999999999996</v>
      </c>
      <c r="S71">
        <f t="shared" si="10"/>
        <v>0</v>
      </c>
      <c r="T71">
        <f t="shared" si="11"/>
        <v>6.8076999999999996</v>
      </c>
    </row>
    <row r="72" spans="3:20">
      <c r="C72" s="48">
        <v>38821</v>
      </c>
      <c r="D72">
        <v>29.837700000000002</v>
      </c>
      <c r="F72">
        <f t="shared" si="6"/>
        <v>29.837700000000002</v>
      </c>
      <c r="H72">
        <f t="shared" si="7"/>
        <v>29.837700000000002</v>
      </c>
      <c r="J72">
        <f t="shared" si="8"/>
        <v>0</v>
      </c>
      <c r="K72">
        <f t="shared" si="9"/>
        <v>29.837700000000002</v>
      </c>
      <c r="M72" s="48">
        <v>38828</v>
      </c>
      <c r="N72">
        <v>7.6274999999999995</v>
      </c>
      <c r="S72">
        <f t="shared" si="10"/>
        <v>0</v>
      </c>
      <c r="T72">
        <f t="shared" si="11"/>
        <v>7.6274999999999995</v>
      </c>
    </row>
    <row r="73" spans="3:20">
      <c r="C73" s="48">
        <v>38828</v>
      </c>
      <c r="D73">
        <v>31.096699999999998</v>
      </c>
      <c r="F73">
        <f t="shared" si="6"/>
        <v>31.096699999999998</v>
      </c>
      <c r="H73">
        <f t="shared" si="7"/>
        <v>31.096699999999998</v>
      </c>
      <c r="J73">
        <f t="shared" si="8"/>
        <v>0</v>
      </c>
      <c r="K73">
        <f t="shared" si="9"/>
        <v>31.096699999999998</v>
      </c>
      <c r="M73" s="48">
        <v>38835</v>
      </c>
      <c r="N73">
        <v>7.1727999999999996</v>
      </c>
      <c r="S73">
        <f t="shared" si="10"/>
        <v>0</v>
      </c>
      <c r="T73">
        <f t="shared" si="11"/>
        <v>7.1727999999999996</v>
      </c>
    </row>
    <row r="74" spans="3:20">
      <c r="C74" s="48">
        <v>38835</v>
      </c>
      <c r="D74">
        <v>30.192399999999999</v>
      </c>
      <c r="F74">
        <f t="shared" si="6"/>
        <v>30.192399999999999</v>
      </c>
      <c r="H74">
        <f t="shared" si="7"/>
        <v>30.192399999999999</v>
      </c>
      <c r="J74">
        <f t="shared" si="8"/>
        <v>0</v>
      </c>
      <c r="K74">
        <f t="shared" si="9"/>
        <v>30.192399999999999</v>
      </c>
      <c r="M74" s="48">
        <v>38842</v>
      </c>
      <c r="N74">
        <v>6.6097000000000001</v>
      </c>
      <c r="S74">
        <f t="shared" si="10"/>
        <v>0</v>
      </c>
      <c r="T74">
        <f t="shared" si="11"/>
        <v>6.6097000000000001</v>
      </c>
    </row>
    <row r="75" spans="3:20">
      <c r="C75" s="48">
        <v>38842</v>
      </c>
      <c r="D75">
        <v>31.130700000000001</v>
      </c>
      <c r="F75">
        <f t="shared" si="6"/>
        <v>31.130700000000001</v>
      </c>
      <c r="H75">
        <f t="shared" si="7"/>
        <v>31.130700000000001</v>
      </c>
      <c r="J75">
        <f t="shared" si="8"/>
        <v>0</v>
      </c>
      <c r="K75">
        <f t="shared" si="9"/>
        <v>31.130700000000001</v>
      </c>
      <c r="M75" s="48">
        <v>38849</v>
      </c>
      <c r="N75">
        <v>6.5491999999999999</v>
      </c>
      <c r="S75">
        <f t="shared" si="10"/>
        <v>0</v>
      </c>
      <c r="T75">
        <f t="shared" si="11"/>
        <v>6.5491999999999999</v>
      </c>
    </row>
    <row r="76" spans="3:20">
      <c r="C76" s="48">
        <v>38849</v>
      </c>
      <c r="D76">
        <v>30.869599999999998</v>
      </c>
      <c r="F76">
        <f t="shared" si="6"/>
        <v>30.869599999999998</v>
      </c>
      <c r="H76">
        <f t="shared" si="7"/>
        <v>30.869599999999998</v>
      </c>
      <c r="J76">
        <f t="shared" si="8"/>
        <v>0</v>
      </c>
      <c r="K76">
        <f t="shared" si="9"/>
        <v>30.869599999999998</v>
      </c>
      <c r="M76" s="48">
        <v>38856</v>
      </c>
      <c r="N76">
        <v>5.9244000000000003</v>
      </c>
      <c r="S76">
        <f t="shared" si="10"/>
        <v>0</v>
      </c>
      <c r="T76">
        <f t="shared" si="11"/>
        <v>5.9244000000000003</v>
      </c>
    </row>
    <row r="77" spans="3:20">
      <c r="C77" s="48">
        <v>38856</v>
      </c>
      <c r="D77">
        <v>28.457699999999999</v>
      </c>
      <c r="F77">
        <f t="shared" si="6"/>
        <v>28.457699999999999</v>
      </c>
      <c r="H77">
        <f t="shared" si="7"/>
        <v>28.457699999999999</v>
      </c>
      <c r="J77">
        <f t="shared" si="8"/>
        <v>0</v>
      </c>
      <c r="K77">
        <f t="shared" si="9"/>
        <v>28.457699999999999</v>
      </c>
      <c r="M77" s="48">
        <v>38863</v>
      </c>
      <c r="N77">
        <v>5.9653999999999998</v>
      </c>
      <c r="S77">
        <f t="shared" si="10"/>
        <v>0</v>
      </c>
      <c r="T77">
        <f t="shared" si="11"/>
        <v>5.9653999999999998</v>
      </c>
    </row>
    <row r="78" spans="3:20">
      <c r="C78" s="48">
        <v>38863</v>
      </c>
      <c r="D78">
        <v>27.950700000000001</v>
      </c>
      <c r="F78">
        <f t="shared" si="6"/>
        <v>27.950700000000001</v>
      </c>
      <c r="H78">
        <f t="shared" si="7"/>
        <v>27.950700000000001</v>
      </c>
      <c r="J78">
        <f t="shared" si="8"/>
        <v>0</v>
      </c>
      <c r="K78">
        <f t="shared" si="9"/>
        <v>27.950700000000001</v>
      </c>
      <c r="M78" s="48">
        <v>38870</v>
      </c>
      <c r="N78">
        <v>6.1618000000000004</v>
      </c>
      <c r="S78">
        <f t="shared" si="10"/>
        <v>0</v>
      </c>
      <c r="T78">
        <f t="shared" si="11"/>
        <v>6.1618000000000004</v>
      </c>
    </row>
    <row r="79" spans="3:20">
      <c r="C79" s="48">
        <v>38870</v>
      </c>
      <c r="D79">
        <v>28.778300000000002</v>
      </c>
      <c r="F79">
        <f t="shared" si="6"/>
        <v>28.778300000000002</v>
      </c>
      <c r="H79">
        <f t="shared" si="7"/>
        <v>28.778300000000002</v>
      </c>
      <c r="J79">
        <f t="shared" si="8"/>
        <v>0</v>
      </c>
      <c r="K79">
        <f t="shared" si="9"/>
        <v>28.778300000000002</v>
      </c>
      <c r="M79" s="48">
        <v>38877</v>
      </c>
      <c r="N79">
        <v>6.0647000000000002</v>
      </c>
      <c r="S79">
        <f t="shared" si="10"/>
        <v>0</v>
      </c>
      <c r="T79">
        <f t="shared" si="11"/>
        <v>6.0647000000000002</v>
      </c>
    </row>
    <row r="80" spans="3:20">
      <c r="C80" s="48">
        <v>38877</v>
      </c>
      <c r="D80">
        <v>27.8996</v>
      </c>
      <c r="F80">
        <f t="shared" si="6"/>
        <v>27.8996</v>
      </c>
      <c r="H80">
        <f t="shared" si="7"/>
        <v>27.8996</v>
      </c>
      <c r="J80">
        <f t="shared" si="8"/>
        <v>0</v>
      </c>
      <c r="K80">
        <f t="shared" si="9"/>
        <v>27.8996</v>
      </c>
      <c r="M80" s="48">
        <v>38884</v>
      </c>
      <c r="N80">
        <v>6.3022</v>
      </c>
      <c r="S80">
        <f t="shared" si="10"/>
        <v>0</v>
      </c>
      <c r="T80">
        <f t="shared" si="11"/>
        <v>6.3022</v>
      </c>
    </row>
    <row r="81" spans="3:20">
      <c r="C81" s="48">
        <v>38884</v>
      </c>
      <c r="D81">
        <v>27.086099999999998</v>
      </c>
      <c r="F81">
        <f t="shared" si="6"/>
        <v>27.086099999999998</v>
      </c>
      <c r="H81">
        <f t="shared" si="7"/>
        <v>27.086099999999998</v>
      </c>
      <c r="J81">
        <f t="shared" si="8"/>
        <v>0</v>
      </c>
      <c r="K81">
        <f t="shared" si="9"/>
        <v>27.086099999999998</v>
      </c>
      <c r="M81" s="48">
        <v>38891</v>
      </c>
      <c r="N81">
        <v>6.4937000000000005</v>
      </c>
      <c r="S81">
        <f t="shared" si="10"/>
        <v>0</v>
      </c>
      <c r="T81">
        <f t="shared" si="11"/>
        <v>6.4937000000000005</v>
      </c>
    </row>
    <row r="82" spans="3:20">
      <c r="C82" s="48">
        <v>38891</v>
      </c>
      <c r="D82">
        <v>27.6404</v>
      </c>
      <c r="F82">
        <f t="shared" si="6"/>
        <v>27.6404</v>
      </c>
      <c r="H82">
        <f t="shared" si="7"/>
        <v>27.6404</v>
      </c>
      <c r="J82">
        <f t="shared" si="8"/>
        <v>0</v>
      </c>
      <c r="K82">
        <f t="shared" si="9"/>
        <v>27.6404</v>
      </c>
      <c r="M82" s="48">
        <v>38898</v>
      </c>
      <c r="N82">
        <v>5.9649000000000001</v>
      </c>
      <c r="S82">
        <f t="shared" si="10"/>
        <v>0</v>
      </c>
      <c r="T82">
        <f t="shared" si="11"/>
        <v>5.9649000000000001</v>
      </c>
    </row>
    <row r="83" spans="3:20">
      <c r="C83" s="48">
        <v>38898</v>
      </c>
      <c r="D83">
        <v>28.247699999999998</v>
      </c>
      <c r="F83">
        <f t="shared" si="6"/>
        <v>28.247699999999998</v>
      </c>
      <c r="H83">
        <f t="shared" si="7"/>
        <v>28.247699999999998</v>
      </c>
      <c r="J83">
        <f t="shared" si="8"/>
        <v>0</v>
      </c>
      <c r="K83">
        <f t="shared" si="9"/>
        <v>28.247699999999998</v>
      </c>
      <c r="M83" s="48">
        <v>38905</v>
      </c>
      <c r="N83">
        <v>5.3901000000000003</v>
      </c>
      <c r="S83">
        <f t="shared" si="10"/>
        <v>0</v>
      </c>
      <c r="T83">
        <f t="shared" si="11"/>
        <v>5.3901000000000003</v>
      </c>
    </row>
    <row r="84" spans="3:20">
      <c r="C84" s="48">
        <v>38905</v>
      </c>
      <c r="D84">
        <v>28.411799999999999</v>
      </c>
      <c r="F84">
        <f t="shared" si="6"/>
        <v>28.411799999999999</v>
      </c>
      <c r="H84">
        <f t="shared" si="7"/>
        <v>28.411799999999999</v>
      </c>
      <c r="J84">
        <f t="shared" si="8"/>
        <v>0</v>
      </c>
      <c r="K84">
        <f t="shared" si="9"/>
        <v>28.411799999999999</v>
      </c>
      <c r="M84" s="48">
        <v>38912</v>
      </c>
      <c r="N84">
        <v>5.7366000000000001</v>
      </c>
      <c r="S84">
        <f t="shared" si="10"/>
        <v>0</v>
      </c>
      <c r="T84">
        <f t="shared" si="11"/>
        <v>5.7366000000000001</v>
      </c>
    </row>
    <row r="85" spans="3:20">
      <c r="C85" s="48">
        <v>38912</v>
      </c>
      <c r="D85">
        <v>27.840900000000001</v>
      </c>
      <c r="F85">
        <f t="shared" si="6"/>
        <v>27.840900000000001</v>
      </c>
      <c r="H85">
        <f t="shared" si="7"/>
        <v>27.840900000000001</v>
      </c>
      <c r="J85">
        <f t="shared" si="8"/>
        <v>0</v>
      </c>
      <c r="K85">
        <f t="shared" si="9"/>
        <v>27.840900000000001</v>
      </c>
      <c r="M85" s="48">
        <v>38919</v>
      </c>
      <c r="N85">
        <v>6.0469999999999997</v>
      </c>
      <c r="S85">
        <f t="shared" si="10"/>
        <v>0</v>
      </c>
      <c r="T85">
        <f t="shared" si="11"/>
        <v>6.0469999999999997</v>
      </c>
    </row>
    <row r="86" spans="3:20">
      <c r="C86" s="48">
        <v>38919</v>
      </c>
      <c r="D86">
        <v>27.385000000000002</v>
      </c>
      <c r="F86">
        <f t="shared" si="6"/>
        <v>27.385000000000002</v>
      </c>
      <c r="H86">
        <f t="shared" si="7"/>
        <v>27.385000000000002</v>
      </c>
      <c r="J86">
        <f t="shared" si="8"/>
        <v>0</v>
      </c>
      <c r="K86">
        <f t="shared" si="9"/>
        <v>27.385000000000002</v>
      </c>
      <c r="M86" s="48">
        <v>38926</v>
      </c>
      <c r="N86">
        <v>6.8194999999999997</v>
      </c>
      <c r="S86">
        <f t="shared" si="10"/>
        <v>0</v>
      </c>
      <c r="T86">
        <f t="shared" si="11"/>
        <v>6.8194999999999997</v>
      </c>
    </row>
    <row r="87" spans="3:20">
      <c r="C87" s="48">
        <v>38926</v>
      </c>
      <c r="D87">
        <v>29.165199999999999</v>
      </c>
      <c r="F87">
        <f t="shared" si="6"/>
        <v>29.165199999999999</v>
      </c>
      <c r="H87">
        <f t="shared" si="7"/>
        <v>29.165199999999999</v>
      </c>
      <c r="J87">
        <f t="shared" si="8"/>
        <v>0</v>
      </c>
      <c r="K87">
        <f t="shared" si="9"/>
        <v>29.165199999999999</v>
      </c>
      <c r="M87" s="48">
        <v>38933</v>
      </c>
      <c r="N87">
        <v>8.0831</v>
      </c>
      <c r="S87">
        <f t="shared" si="10"/>
        <v>0</v>
      </c>
      <c r="T87">
        <f t="shared" si="11"/>
        <v>8.0831</v>
      </c>
    </row>
    <row r="88" spans="3:20">
      <c r="C88" s="48">
        <v>38933</v>
      </c>
      <c r="D88">
        <v>31.047499999999999</v>
      </c>
      <c r="F88">
        <f t="shared" si="6"/>
        <v>31.047499999999999</v>
      </c>
      <c r="H88">
        <f t="shared" si="7"/>
        <v>31.047499999999999</v>
      </c>
      <c r="J88">
        <f t="shared" si="8"/>
        <v>0</v>
      </c>
      <c r="K88">
        <f t="shared" si="9"/>
        <v>31.047499999999999</v>
      </c>
      <c r="M88" s="48">
        <v>38940</v>
      </c>
      <c r="N88">
        <v>7.4259000000000004</v>
      </c>
      <c r="S88">
        <f t="shared" si="10"/>
        <v>0</v>
      </c>
      <c r="T88">
        <f t="shared" si="11"/>
        <v>7.4259000000000004</v>
      </c>
    </row>
    <row r="89" spans="3:20">
      <c r="C89" s="48">
        <v>38940</v>
      </c>
      <c r="D89">
        <v>30.491299999999999</v>
      </c>
      <c r="F89">
        <f t="shared" si="6"/>
        <v>30.491299999999999</v>
      </c>
      <c r="H89">
        <f t="shared" si="7"/>
        <v>30.491299999999999</v>
      </c>
      <c r="J89">
        <f t="shared" si="8"/>
        <v>0</v>
      </c>
      <c r="K89">
        <f t="shared" si="9"/>
        <v>30.491299999999999</v>
      </c>
      <c r="M89" s="48">
        <v>38947</v>
      </c>
      <c r="N89">
        <v>6.8384</v>
      </c>
      <c r="S89">
        <f t="shared" si="10"/>
        <v>0</v>
      </c>
      <c r="T89">
        <f t="shared" si="11"/>
        <v>6.8384</v>
      </c>
    </row>
    <row r="90" spans="3:20">
      <c r="C90" s="48">
        <v>38947</v>
      </c>
      <c r="D90">
        <v>29.583200000000001</v>
      </c>
      <c r="F90">
        <f t="shared" si="6"/>
        <v>29.583200000000001</v>
      </c>
      <c r="H90">
        <f t="shared" si="7"/>
        <v>29.583200000000001</v>
      </c>
      <c r="J90">
        <f t="shared" si="8"/>
        <v>0</v>
      </c>
      <c r="K90">
        <f t="shared" si="9"/>
        <v>29.583200000000001</v>
      </c>
      <c r="M90" s="48">
        <v>38954</v>
      </c>
      <c r="N90">
        <v>7.0938999999999997</v>
      </c>
      <c r="S90">
        <f t="shared" si="10"/>
        <v>0</v>
      </c>
      <c r="T90">
        <f t="shared" si="11"/>
        <v>7.0938999999999997</v>
      </c>
    </row>
    <row r="91" spans="3:20">
      <c r="C91" s="48">
        <v>38954</v>
      </c>
      <c r="D91">
        <v>30.111000000000001</v>
      </c>
      <c r="F91">
        <f t="shared" si="6"/>
        <v>30.111000000000001</v>
      </c>
      <c r="H91">
        <f t="shared" si="7"/>
        <v>30.111000000000001</v>
      </c>
      <c r="J91">
        <f t="shared" si="8"/>
        <v>0</v>
      </c>
      <c r="K91">
        <f t="shared" si="9"/>
        <v>30.111000000000001</v>
      </c>
      <c r="M91" s="48">
        <v>38961</v>
      </c>
      <c r="N91">
        <v>6.0380000000000003</v>
      </c>
      <c r="S91">
        <f t="shared" si="10"/>
        <v>0</v>
      </c>
      <c r="T91">
        <f t="shared" si="11"/>
        <v>6.0380000000000003</v>
      </c>
    </row>
    <row r="92" spans="3:20">
      <c r="C92" s="48">
        <v>38961</v>
      </c>
      <c r="D92">
        <v>29.997499999999999</v>
      </c>
      <c r="F92">
        <f t="shared" si="6"/>
        <v>29.997499999999999</v>
      </c>
      <c r="H92">
        <f t="shared" si="7"/>
        <v>29.997499999999999</v>
      </c>
      <c r="J92">
        <f t="shared" si="8"/>
        <v>0</v>
      </c>
      <c r="K92">
        <f t="shared" si="9"/>
        <v>29.997499999999999</v>
      </c>
      <c r="M92" s="48">
        <v>38968</v>
      </c>
      <c r="N92">
        <v>5.5228000000000002</v>
      </c>
      <c r="S92">
        <f t="shared" si="10"/>
        <v>0</v>
      </c>
      <c r="T92">
        <f t="shared" si="11"/>
        <v>5.5228000000000002</v>
      </c>
    </row>
    <row r="93" spans="3:20">
      <c r="C93" s="48">
        <v>38968</v>
      </c>
      <c r="D93">
        <v>29.563400000000001</v>
      </c>
      <c r="F93">
        <f t="shared" si="6"/>
        <v>29.563400000000001</v>
      </c>
      <c r="H93">
        <f t="shared" si="7"/>
        <v>29.563400000000001</v>
      </c>
      <c r="J93">
        <f t="shared" si="8"/>
        <v>0</v>
      </c>
      <c r="K93">
        <f t="shared" si="9"/>
        <v>29.563400000000001</v>
      </c>
      <c r="M93" s="48">
        <v>38975</v>
      </c>
      <c r="N93">
        <v>5.1496000000000004</v>
      </c>
      <c r="S93">
        <f t="shared" si="10"/>
        <v>0</v>
      </c>
      <c r="T93">
        <f t="shared" si="11"/>
        <v>5.1496000000000004</v>
      </c>
    </row>
    <row r="94" spans="3:20">
      <c r="C94" s="48">
        <v>38975</v>
      </c>
      <c r="D94">
        <v>27.577999999999999</v>
      </c>
      <c r="F94">
        <f t="shared" si="6"/>
        <v>27.577999999999999</v>
      </c>
      <c r="H94">
        <f t="shared" si="7"/>
        <v>27.577999999999999</v>
      </c>
      <c r="J94">
        <f t="shared" si="8"/>
        <v>0</v>
      </c>
      <c r="K94">
        <f t="shared" si="9"/>
        <v>27.577999999999999</v>
      </c>
      <c r="M94" s="48">
        <v>38982</v>
      </c>
      <c r="N94">
        <v>4.7981999999999996</v>
      </c>
      <c r="S94">
        <f t="shared" si="10"/>
        <v>0</v>
      </c>
      <c r="T94">
        <f t="shared" si="11"/>
        <v>4.7981999999999996</v>
      </c>
    </row>
    <row r="95" spans="3:20">
      <c r="C95" s="48">
        <v>38982</v>
      </c>
      <c r="D95">
        <v>27.479600000000001</v>
      </c>
      <c r="F95">
        <f t="shared" si="6"/>
        <v>27.479600000000001</v>
      </c>
      <c r="H95">
        <f t="shared" si="7"/>
        <v>27.479600000000001</v>
      </c>
      <c r="J95">
        <f t="shared" si="8"/>
        <v>0</v>
      </c>
      <c r="K95">
        <f t="shared" si="9"/>
        <v>27.479600000000001</v>
      </c>
      <c r="M95" s="48">
        <v>38989</v>
      </c>
      <c r="N95">
        <v>4.1668000000000003</v>
      </c>
      <c r="S95">
        <f t="shared" si="10"/>
        <v>0</v>
      </c>
      <c r="T95">
        <f t="shared" si="11"/>
        <v>4.1668000000000003</v>
      </c>
    </row>
    <row r="96" spans="3:20">
      <c r="C96" s="48">
        <v>38989</v>
      </c>
      <c r="D96">
        <v>27.3642</v>
      </c>
      <c r="F96">
        <f t="shared" si="6"/>
        <v>27.3642</v>
      </c>
      <c r="H96">
        <f t="shared" si="7"/>
        <v>27.3642</v>
      </c>
      <c r="J96">
        <f t="shared" si="8"/>
        <v>0</v>
      </c>
      <c r="K96">
        <f t="shared" si="9"/>
        <v>27.3642</v>
      </c>
      <c r="M96" s="48">
        <v>38996</v>
      </c>
      <c r="N96">
        <v>4.3179999999999996</v>
      </c>
      <c r="S96">
        <f t="shared" si="10"/>
        <v>0</v>
      </c>
      <c r="T96">
        <f t="shared" si="11"/>
        <v>4.3179999999999996</v>
      </c>
    </row>
    <row r="97" spans="3:20">
      <c r="C97" s="48">
        <v>38996</v>
      </c>
      <c r="D97">
        <v>27.2318</v>
      </c>
      <c r="F97">
        <f t="shared" si="6"/>
        <v>27.2318</v>
      </c>
      <c r="H97">
        <f t="shared" si="7"/>
        <v>27.2318</v>
      </c>
      <c r="J97">
        <f t="shared" si="8"/>
        <v>0</v>
      </c>
      <c r="K97">
        <f t="shared" si="9"/>
        <v>27.2318</v>
      </c>
      <c r="M97" s="48">
        <v>39003</v>
      </c>
      <c r="N97">
        <v>5.0708000000000002</v>
      </c>
      <c r="S97">
        <f t="shared" si="10"/>
        <v>0</v>
      </c>
      <c r="T97">
        <f t="shared" si="11"/>
        <v>5.0708000000000002</v>
      </c>
    </row>
    <row r="98" spans="3:20">
      <c r="C98" s="48">
        <v>39003</v>
      </c>
      <c r="D98">
        <v>27.7331</v>
      </c>
      <c r="F98">
        <f t="shared" si="6"/>
        <v>27.7331</v>
      </c>
      <c r="H98">
        <f t="shared" si="7"/>
        <v>27.7331</v>
      </c>
      <c r="J98">
        <f t="shared" si="8"/>
        <v>0</v>
      </c>
      <c r="K98">
        <f t="shared" si="9"/>
        <v>27.7331</v>
      </c>
      <c r="M98" s="48">
        <v>39010</v>
      </c>
      <c r="N98">
        <v>6.2195</v>
      </c>
      <c r="S98">
        <f t="shared" si="10"/>
        <v>0</v>
      </c>
      <c r="T98">
        <f t="shared" si="11"/>
        <v>6.2195</v>
      </c>
    </row>
    <row r="99" spans="3:20">
      <c r="C99" s="48">
        <v>39010</v>
      </c>
      <c r="D99">
        <v>28.955200000000001</v>
      </c>
      <c r="F99">
        <f t="shared" si="6"/>
        <v>28.955200000000001</v>
      </c>
      <c r="H99">
        <f t="shared" si="7"/>
        <v>28.955200000000001</v>
      </c>
      <c r="J99">
        <f t="shared" si="8"/>
        <v>0</v>
      </c>
      <c r="K99">
        <f t="shared" si="9"/>
        <v>28.955200000000001</v>
      </c>
      <c r="M99" s="48">
        <v>39017</v>
      </c>
      <c r="N99">
        <v>7.3884999999999996</v>
      </c>
      <c r="S99">
        <f t="shared" si="10"/>
        <v>0</v>
      </c>
      <c r="T99">
        <f t="shared" si="11"/>
        <v>7.3884999999999996</v>
      </c>
    </row>
    <row r="100" spans="3:20">
      <c r="C100" s="48">
        <v>39017</v>
      </c>
      <c r="D100">
        <v>29.825399999999998</v>
      </c>
      <c r="F100">
        <f t="shared" si="6"/>
        <v>29.825399999999998</v>
      </c>
      <c r="H100">
        <f t="shared" si="7"/>
        <v>29.825399999999998</v>
      </c>
      <c r="J100">
        <f t="shared" si="8"/>
        <v>0</v>
      </c>
      <c r="K100">
        <f t="shared" si="9"/>
        <v>29.825399999999998</v>
      </c>
      <c r="M100" s="48">
        <v>39024</v>
      </c>
      <c r="N100">
        <v>7.1081000000000003</v>
      </c>
      <c r="S100">
        <f t="shared" si="10"/>
        <v>0</v>
      </c>
      <c r="T100">
        <f t="shared" si="11"/>
        <v>7.1081000000000003</v>
      </c>
    </row>
    <row r="101" spans="3:20">
      <c r="C101" s="48">
        <v>39024</v>
      </c>
      <c r="D101">
        <v>30.3078</v>
      </c>
      <c r="F101">
        <f t="shared" si="6"/>
        <v>30.3078</v>
      </c>
      <c r="H101">
        <f t="shared" si="7"/>
        <v>30.3078</v>
      </c>
      <c r="J101">
        <f t="shared" si="8"/>
        <v>0</v>
      </c>
      <c r="K101">
        <f t="shared" si="9"/>
        <v>30.3078</v>
      </c>
      <c r="M101" s="48">
        <v>39031</v>
      </c>
      <c r="N101">
        <v>7.0406000000000004</v>
      </c>
      <c r="S101">
        <f t="shared" si="10"/>
        <v>0</v>
      </c>
      <c r="T101">
        <f t="shared" si="11"/>
        <v>7.0406000000000004</v>
      </c>
    </row>
    <row r="102" spans="3:20">
      <c r="C102" s="48">
        <v>39031</v>
      </c>
      <c r="D102">
        <v>30.5518</v>
      </c>
      <c r="F102">
        <f t="shared" si="6"/>
        <v>30.5518</v>
      </c>
      <c r="H102">
        <f t="shared" si="7"/>
        <v>30.5518</v>
      </c>
      <c r="J102">
        <f t="shared" si="8"/>
        <v>0</v>
      </c>
      <c r="K102">
        <f t="shared" si="9"/>
        <v>30.5518</v>
      </c>
      <c r="M102" s="48">
        <v>39038</v>
      </c>
      <c r="N102">
        <v>7.3901000000000003</v>
      </c>
      <c r="S102">
        <f t="shared" si="10"/>
        <v>0</v>
      </c>
      <c r="T102">
        <f t="shared" si="11"/>
        <v>7.3901000000000003</v>
      </c>
    </row>
    <row r="103" spans="3:20">
      <c r="C103" s="48">
        <v>39038</v>
      </c>
      <c r="D103">
        <v>30.602899999999998</v>
      </c>
      <c r="F103">
        <f t="shared" si="6"/>
        <v>30.602899999999998</v>
      </c>
      <c r="H103">
        <f t="shared" si="7"/>
        <v>30.602899999999998</v>
      </c>
      <c r="J103">
        <f t="shared" si="8"/>
        <v>0</v>
      </c>
      <c r="K103">
        <f t="shared" si="9"/>
        <v>30.602899999999998</v>
      </c>
      <c r="M103" s="48">
        <v>39045</v>
      </c>
      <c r="N103">
        <v>7.5926</v>
      </c>
      <c r="S103">
        <f t="shared" si="10"/>
        <v>0</v>
      </c>
      <c r="T103">
        <f t="shared" si="11"/>
        <v>7.5926</v>
      </c>
    </row>
    <row r="104" spans="3:20">
      <c r="C104" s="48">
        <v>39045</v>
      </c>
      <c r="D104">
        <v>30.854500000000002</v>
      </c>
      <c r="F104">
        <f t="shared" si="6"/>
        <v>30.854500000000002</v>
      </c>
      <c r="H104">
        <f t="shared" si="7"/>
        <v>30.854500000000002</v>
      </c>
      <c r="J104">
        <f t="shared" si="8"/>
        <v>0</v>
      </c>
      <c r="K104">
        <f t="shared" si="9"/>
        <v>30.854500000000002</v>
      </c>
      <c r="M104" s="48">
        <v>39052</v>
      </c>
      <c r="N104">
        <v>7.9324000000000003</v>
      </c>
      <c r="S104">
        <f t="shared" si="10"/>
        <v>0</v>
      </c>
      <c r="T104">
        <f t="shared" si="11"/>
        <v>7.9324000000000003</v>
      </c>
    </row>
    <row r="105" spans="3:20">
      <c r="C105" s="48">
        <v>39052</v>
      </c>
      <c r="D105">
        <v>31.6907</v>
      </c>
      <c r="F105">
        <f t="shared" si="6"/>
        <v>31.6907</v>
      </c>
      <c r="H105">
        <f t="shared" si="7"/>
        <v>31.6907</v>
      </c>
      <c r="J105">
        <f t="shared" si="8"/>
        <v>0</v>
      </c>
      <c r="K105">
        <f t="shared" si="9"/>
        <v>31.6907</v>
      </c>
      <c r="M105" s="48">
        <v>39059</v>
      </c>
      <c r="N105">
        <v>7.5068000000000001</v>
      </c>
      <c r="S105">
        <f t="shared" si="10"/>
        <v>0</v>
      </c>
      <c r="T105">
        <f t="shared" si="11"/>
        <v>7.5068000000000001</v>
      </c>
    </row>
    <row r="106" spans="3:20">
      <c r="C106" s="48">
        <v>39059</v>
      </c>
      <c r="D106">
        <v>31.567699999999999</v>
      </c>
      <c r="F106">
        <f t="shared" si="6"/>
        <v>31.567699999999999</v>
      </c>
      <c r="H106">
        <f t="shared" si="7"/>
        <v>31.567699999999999</v>
      </c>
      <c r="J106">
        <f t="shared" si="8"/>
        <v>0</v>
      </c>
      <c r="K106">
        <f t="shared" si="9"/>
        <v>31.567699999999999</v>
      </c>
      <c r="M106" s="48">
        <v>39066</v>
      </c>
      <c r="N106">
        <v>7.0042</v>
      </c>
      <c r="S106">
        <f t="shared" si="10"/>
        <v>0</v>
      </c>
      <c r="T106">
        <f t="shared" si="11"/>
        <v>7.0042</v>
      </c>
    </row>
    <row r="107" spans="3:20">
      <c r="C107" s="48">
        <v>39066</v>
      </c>
      <c r="D107">
        <v>29.6797</v>
      </c>
      <c r="F107">
        <f t="shared" si="6"/>
        <v>29.6797</v>
      </c>
      <c r="H107">
        <f t="shared" si="7"/>
        <v>29.6797</v>
      </c>
      <c r="J107">
        <f t="shared" si="8"/>
        <v>0</v>
      </c>
      <c r="K107">
        <f t="shared" si="9"/>
        <v>29.6797</v>
      </c>
      <c r="M107" s="48">
        <v>39073</v>
      </c>
      <c r="N107">
        <v>6.2568000000000001</v>
      </c>
      <c r="S107">
        <f t="shared" si="10"/>
        <v>0</v>
      </c>
      <c r="T107">
        <f t="shared" si="11"/>
        <v>6.2568000000000001</v>
      </c>
    </row>
    <row r="108" spans="3:20">
      <c r="C108" s="48">
        <v>39073</v>
      </c>
      <c r="D108">
        <v>28.745200000000001</v>
      </c>
      <c r="F108">
        <f t="shared" si="6"/>
        <v>28.745200000000001</v>
      </c>
      <c r="H108">
        <f t="shared" si="7"/>
        <v>28.745200000000001</v>
      </c>
      <c r="J108">
        <f t="shared" si="8"/>
        <v>0</v>
      </c>
      <c r="K108">
        <f t="shared" si="9"/>
        <v>28.745200000000001</v>
      </c>
      <c r="M108" s="48">
        <v>39080</v>
      </c>
      <c r="N108">
        <v>5.5987999999999998</v>
      </c>
      <c r="S108">
        <f t="shared" si="10"/>
        <v>0</v>
      </c>
      <c r="T108">
        <f t="shared" si="11"/>
        <v>5.5987999999999998</v>
      </c>
    </row>
    <row r="109" spans="3:20">
      <c r="C109" s="48">
        <v>39080</v>
      </c>
      <c r="D109">
        <v>27.718900000000001</v>
      </c>
      <c r="F109">
        <f t="shared" si="6"/>
        <v>27.718900000000001</v>
      </c>
      <c r="H109">
        <f t="shared" si="7"/>
        <v>27.718900000000001</v>
      </c>
      <c r="J109">
        <f t="shared" si="8"/>
        <v>0</v>
      </c>
      <c r="K109">
        <f t="shared" si="9"/>
        <v>27.718900000000001</v>
      </c>
      <c r="M109" s="48">
        <v>39087</v>
      </c>
      <c r="N109">
        <v>5.4969000000000001</v>
      </c>
      <c r="S109">
        <f t="shared" si="10"/>
        <v>0</v>
      </c>
      <c r="T109">
        <f t="shared" si="11"/>
        <v>5.4969000000000001</v>
      </c>
    </row>
    <row r="110" spans="3:20">
      <c r="C110" s="48">
        <v>39087</v>
      </c>
      <c r="D110">
        <v>26.326899999999998</v>
      </c>
      <c r="F110">
        <f t="shared" si="6"/>
        <v>26.326899999999998</v>
      </c>
      <c r="H110">
        <f t="shared" si="7"/>
        <v>26.326899999999998</v>
      </c>
      <c r="J110">
        <f t="shared" si="8"/>
        <v>0</v>
      </c>
      <c r="K110">
        <f t="shared" si="9"/>
        <v>26.326899999999998</v>
      </c>
      <c r="M110" s="48">
        <v>39094</v>
      </c>
      <c r="N110">
        <v>6.1303999999999998</v>
      </c>
      <c r="S110">
        <f t="shared" si="10"/>
        <v>0</v>
      </c>
      <c r="T110">
        <f t="shared" si="11"/>
        <v>6.1303999999999998</v>
      </c>
    </row>
    <row r="111" spans="3:20">
      <c r="C111" s="48">
        <v>39094</v>
      </c>
      <c r="D111">
        <v>26.261299999999999</v>
      </c>
      <c r="F111">
        <f t="shared" si="6"/>
        <v>26.261299999999999</v>
      </c>
      <c r="H111">
        <f t="shared" si="7"/>
        <v>26.261299999999999</v>
      </c>
      <c r="J111">
        <f t="shared" si="8"/>
        <v>0</v>
      </c>
      <c r="K111">
        <f t="shared" si="9"/>
        <v>26.261299999999999</v>
      </c>
      <c r="M111" s="48">
        <v>39101</v>
      </c>
      <c r="N111">
        <v>6.5172999999999996</v>
      </c>
      <c r="S111">
        <f t="shared" si="10"/>
        <v>0</v>
      </c>
      <c r="T111">
        <f t="shared" si="11"/>
        <v>6.5172999999999996</v>
      </c>
    </row>
    <row r="112" spans="3:20">
      <c r="C112" s="48">
        <v>39101</v>
      </c>
      <c r="D112">
        <v>26.7896</v>
      </c>
      <c r="F112">
        <f t="shared" si="6"/>
        <v>26.7896</v>
      </c>
      <c r="H112">
        <f t="shared" si="7"/>
        <v>26.7896</v>
      </c>
      <c r="J112">
        <f t="shared" si="8"/>
        <v>0</v>
      </c>
      <c r="K112">
        <f t="shared" si="9"/>
        <v>26.7896</v>
      </c>
      <c r="M112" s="48">
        <v>39108</v>
      </c>
      <c r="N112">
        <v>7.2474999999999996</v>
      </c>
      <c r="S112">
        <f t="shared" si="10"/>
        <v>0</v>
      </c>
      <c r="T112">
        <f t="shared" si="11"/>
        <v>7.2474999999999996</v>
      </c>
    </row>
    <row r="113" spans="3:20">
      <c r="C113" s="48">
        <v>39108</v>
      </c>
      <c r="D113">
        <v>27.7728</v>
      </c>
      <c r="F113">
        <f t="shared" si="6"/>
        <v>27.7728</v>
      </c>
      <c r="H113">
        <f t="shared" si="7"/>
        <v>27.7728</v>
      </c>
      <c r="J113">
        <f t="shared" si="8"/>
        <v>0</v>
      </c>
      <c r="K113">
        <f t="shared" si="9"/>
        <v>27.7728</v>
      </c>
      <c r="M113" s="48">
        <v>39115</v>
      </c>
      <c r="N113">
        <v>7.7074999999999996</v>
      </c>
      <c r="S113">
        <f t="shared" si="10"/>
        <v>0</v>
      </c>
      <c r="T113">
        <f t="shared" si="11"/>
        <v>7.7074999999999996</v>
      </c>
    </row>
    <row r="114" spans="3:20">
      <c r="C114" s="48">
        <v>39115</v>
      </c>
      <c r="D114">
        <v>27.770900000000001</v>
      </c>
      <c r="F114">
        <f t="shared" si="6"/>
        <v>27.770900000000001</v>
      </c>
      <c r="H114">
        <f t="shared" si="7"/>
        <v>27.770900000000001</v>
      </c>
      <c r="J114">
        <f t="shared" si="8"/>
        <v>0</v>
      </c>
      <c r="K114">
        <f t="shared" si="9"/>
        <v>27.770900000000001</v>
      </c>
      <c r="M114" s="48">
        <v>39122</v>
      </c>
      <c r="N114">
        <v>8.3076000000000008</v>
      </c>
      <c r="S114">
        <f t="shared" si="10"/>
        <v>0</v>
      </c>
      <c r="T114">
        <f t="shared" si="11"/>
        <v>8.3076000000000008</v>
      </c>
    </row>
    <row r="115" spans="3:20">
      <c r="C115" s="48">
        <v>39122</v>
      </c>
      <c r="D115">
        <v>27.821999999999999</v>
      </c>
      <c r="F115">
        <f t="shared" si="6"/>
        <v>27.821999999999999</v>
      </c>
      <c r="H115">
        <f t="shared" si="7"/>
        <v>27.821999999999999</v>
      </c>
      <c r="J115">
        <f t="shared" si="8"/>
        <v>0</v>
      </c>
      <c r="K115">
        <f t="shared" si="9"/>
        <v>27.821999999999999</v>
      </c>
      <c r="M115" s="48">
        <v>39129</v>
      </c>
      <c r="N115">
        <v>8.4259000000000004</v>
      </c>
      <c r="S115">
        <f t="shared" si="10"/>
        <v>0</v>
      </c>
      <c r="T115">
        <f t="shared" si="11"/>
        <v>8.4259000000000004</v>
      </c>
    </row>
    <row r="116" spans="3:20">
      <c r="C116" s="48">
        <v>39129</v>
      </c>
      <c r="D116">
        <v>27.865500000000001</v>
      </c>
      <c r="F116">
        <f t="shared" si="6"/>
        <v>27.865500000000001</v>
      </c>
      <c r="H116">
        <f t="shared" si="7"/>
        <v>27.865500000000001</v>
      </c>
      <c r="J116">
        <f t="shared" si="8"/>
        <v>0</v>
      </c>
      <c r="K116">
        <f t="shared" si="9"/>
        <v>27.865500000000001</v>
      </c>
      <c r="M116" s="48">
        <v>39136</v>
      </c>
      <c r="N116">
        <v>7.4617000000000004</v>
      </c>
      <c r="S116">
        <f t="shared" si="10"/>
        <v>0</v>
      </c>
      <c r="T116">
        <f t="shared" si="11"/>
        <v>7.4617000000000004</v>
      </c>
    </row>
    <row r="117" spans="3:20">
      <c r="C117" s="48">
        <v>39136</v>
      </c>
      <c r="D117">
        <v>28.0642</v>
      </c>
      <c r="F117">
        <f t="shared" si="6"/>
        <v>28.0642</v>
      </c>
      <c r="H117">
        <f t="shared" si="7"/>
        <v>28.0642</v>
      </c>
      <c r="J117">
        <f t="shared" si="8"/>
        <v>0</v>
      </c>
      <c r="K117">
        <f t="shared" si="9"/>
        <v>28.0642</v>
      </c>
      <c r="M117" s="48">
        <v>39143</v>
      </c>
      <c r="N117">
        <v>7.3377999999999997</v>
      </c>
      <c r="S117">
        <f t="shared" si="10"/>
        <v>0</v>
      </c>
      <c r="T117">
        <f t="shared" si="11"/>
        <v>7.3377999999999997</v>
      </c>
    </row>
    <row r="118" spans="3:20">
      <c r="C118" s="48">
        <v>39143</v>
      </c>
      <c r="D118">
        <v>28.826499999999999</v>
      </c>
      <c r="F118">
        <f t="shared" si="6"/>
        <v>28.826499999999999</v>
      </c>
      <c r="H118">
        <f t="shared" si="7"/>
        <v>28.826499999999999</v>
      </c>
      <c r="J118">
        <f t="shared" si="8"/>
        <v>0</v>
      </c>
      <c r="K118">
        <f t="shared" si="9"/>
        <v>28.826499999999999</v>
      </c>
      <c r="M118" s="48">
        <v>39150</v>
      </c>
      <c r="N118">
        <v>7.3207000000000004</v>
      </c>
      <c r="S118">
        <f t="shared" si="10"/>
        <v>0</v>
      </c>
      <c r="T118">
        <f t="shared" si="11"/>
        <v>7.3207000000000004</v>
      </c>
    </row>
    <row r="119" spans="3:20">
      <c r="C119" s="48">
        <v>39150</v>
      </c>
      <c r="D119">
        <v>28.504899999999999</v>
      </c>
      <c r="F119">
        <f t="shared" si="6"/>
        <v>28.504899999999999</v>
      </c>
      <c r="H119">
        <f t="shared" si="7"/>
        <v>28.504899999999999</v>
      </c>
      <c r="J119">
        <f t="shared" si="8"/>
        <v>0</v>
      </c>
      <c r="K119">
        <f t="shared" si="9"/>
        <v>28.504899999999999</v>
      </c>
      <c r="M119" s="48">
        <v>39157</v>
      </c>
      <c r="N119">
        <v>6.8615000000000004</v>
      </c>
      <c r="S119">
        <f t="shared" si="10"/>
        <v>0</v>
      </c>
      <c r="T119">
        <f t="shared" si="11"/>
        <v>6.8615000000000004</v>
      </c>
    </row>
    <row r="120" spans="3:20">
      <c r="C120" s="48">
        <v>39157</v>
      </c>
      <c r="D120">
        <v>28.075500000000002</v>
      </c>
      <c r="F120">
        <f t="shared" si="6"/>
        <v>28.075500000000002</v>
      </c>
      <c r="H120">
        <f t="shared" si="7"/>
        <v>28.075500000000002</v>
      </c>
      <c r="J120">
        <f t="shared" si="8"/>
        <v>0</v>
      </c>
      <c r="K120">
        <f t="shared" si="9"/>
        <v>28.075500000000002</v>
      </c>
      <c r="M120" s="48">
        <v>39164</v>
      </c>
      <c r="N120">
        <v>6.9149000000000003</v>
      </c>
      <c r="S120">
        <f t="shared" si="10"/>
        <v>0</v>
      </c>
      <c r="T120">
        <f t="shared" si="11"/>
        <v>6.9149000000000003</v>
      </c>
    </row>
    <row r="121" spans="3:20">
      <c r="C121" s="48">
        <v>39164</v>
      </c>
      <c r="D121">
        <v>28.902200000000001</v>
      </c>
      <c r="F121">
        <f t="shared" si="6"/>
        <v>28.902200000000001</v>
      </c>
      <c r="H121">
        <f t="shared" si="7"/>
        <v>28.902200000000001</v>
      </c>
      <c r="J121">
        <f t="shared" si="8"/>
        <v>0</v>
      </c>
      <c r="K121">
        <f t="shared" si="9"/>
        <v>28.902200000000001</v>
      </c>
      <c r="M121" s="48">
        <v>39171</v>
      </c>
      <c r="N121">
        <v>7.3242000000000003</v>
      </c>
      <c r="S121">
        <f t="shared" si="10"/>
        <v>0</v>
      </c>
      <c r="T121">
        <f t="shared" si="11"/>
        <v>7.3242000000000003</v>
      </c>
    </row>
    <row r="122" spans="3:20">
      <c r="C122" s="48">
        <v>39171</v>
      </c>
      <c r="D122">
        <v>29.339200000000002</v>
      </c>
      <c r="F122">
        <f t="shared" si="6"/>
        <v>29.339200000000002</v>
      </c>
      <c r="H122">
        <f t="shared" si="7"/>
        <v>29.339200000000002</v>
      </c>
      <c r="J122">
        <f t="shared" si="8"/>
        <v>0</v>
      </c>
      <c r="K122">
        <f t="shared" si="9"/>
        <v>29.339200000000002</v>
      </c>
      <c r="M122" s="48">
        <v>39178</v>
      </c>
      <c r="N122">
        <v>7.5441000000000003</v>
      </c>
      <c r="S122">
        <f t="shared" si="10"/>
        <v>0</v>
      </c>
      <c r="T122">
        <f t="shared" si="11"/>
        <v>7.5441000000000003</v>
      </c>
    </row>
    <row r="123" spans="3:20">
      <c r="C123" s="48">
        <v>39178</v>
      </c>
      <c r="D123">
        <v>30.334299999999999</v>
      </c>
      <c r="F123">
        <f t="shared" si="6"/>
        <v>30.334299999999999</v>
      </c>
      <c r="H123">
        <f t="shared" si="7"/>
        <v>30.334299999999999</v>
      </c>
      <c r="J123">
        <f t="shared" si="8"/>
        <v>0</v>
      </c>
      <c r="K123">
        <f t="shared" si="9"/>
        <v>30.334299999999999</v>
      </c>
      <c r="M123" s="48">
        <v>39185</v>
      </c>
      <c r="N123">
        <v>7.8286999999999995</v>
      </c>
      <c r="S123">
        <f t="shared" si="10"/>
        <v>0</v>
      </c>
      <c r="T123">
        <f t="shared" si="11"/>
        <v>7.8286999999999995</v>
      </c>
    </row>
    <row r="124" spans="3:20">
      <c r="C124" s="48">
        <v>39185</v>
      </c>
      <c r="D124">
        <v>31.4693</v>
      </c>
      <c r="F124">
        <f t="shared" si="6"/>
        <v>31.4693</v>
      </c>
      <c r="H124">
        <f t="shared" si="7"/>
        <v>31.4693</v>
      </c>
      <c r="J124">
        <f t="shared" si="8"/>
        <v>0</v>
      </c>
      <c r="K124">
        <f t="shared" si="9"/>
        <v>31.4693</v>
      </c>
      <c r="M124" s="48">
        <v>39192</v>
      </c>
      <c r="N124">
        <v>7.5115999999999996</v>
      </c>
      <c r="S124">
        <f t="shared" si="10"/>
        <v>0</v>
      </c>
      <c r="T124">
        <f t="shared" si="11"/>
        <v>7.5115999999999996</v>
      </c>
    </row>
    <row r="125" spans="3:20">
      <c r="C125" s="48">
        <v>39192</v>
      </c>
      <c r="D125">
        <v>31.231000000000002</v>
      </c>
      <c r="F125">
        <f t="shared" si="6"/>
        <v>31.231000000000002</v>
      </c>
      <c r="H125">
        <f t="shared" si="7"/>
        <v>31.231000000000002</v>
      </c>
      <c r="J125">
        <f t="shared" si="8"/>
        <v>0</v>
      </c>
      <c r="K125">
        <f t="shared" si="9"/>
        <v>31.231000000000002</v>
      </c>
      <c r="M125" s="48">
        <v>39199</v>
      </c>
      <c r="N125">
        <v>7.4791999999999996</v>
      </c>
      <c r="S125">
        <f t="shared" si="10"/>
        <v>0</v>
      </c>
      <c r="T125">
        <f t="shared" si="11"/>
        <v>7.4791999999999996</v>
      </c>
    </row>
    <row r="126" spans="3:20">
      <c r="C126" s="48">
        <v>39199</v>
      </c>
      <c r="D126">
        <v>31.584700000000002</v>
      </c>
      <c r="F126">
        <f t="shared" si="6"/>
        <v>31.584700000000002</v>
      </c>
      <c r="H126">
        <f t="shared" si="7"/>
        <v>31.584700000000002</v>
      </c>
      <c r="J126">
        <f t="shared" si="8"/>
        <v>0</v>
      </c>
      <c r="K126">
        <f t="shared" si="9"/>
        <v>31.584700000000002</v>
      </c>
      <c r="M126" s="48">
        <v>39206</v>
      </c>
      <c r="N126">
        <v>7.6784999999999997</v>
      </c>
      <c r="S126">
        <f t="shared" si="10"/>
        <v>0</v>
      </c>
      <c r="T126">
        <f t="shared" si="11"/>
        <v>7.6784999999999997</v>
      </c>
    </row>
    <row r="127" spans="3:20">
      <c r="C127" s="48">
        <v>39206</v>
      </c>
      <c r="D127">
        <v>33.1965</v>
      </c>
      <c r="F127">
        <f t="shared" si="6"/>
        <v>33.1965</v>
      </c>
      <c r="H127">
        <f t="shared" si="7"/>
        <v>33.1965</v>
      </c>
      <c r="J127">
        <f t="shared" si="8"/>
        <v>0</v>
      </c>
      <c r="K127">
        <f t="shared" si="9"/>
        <v>33.1965</v>
      </c>
      <c r="M127" s="48">
        <v>39213</v>
      </c>
      <c r="N127">
        <v>7.5598999999999998</v>
      </c>
      <c r="S127">
        <f t="shared" si="10"/>
        <v>0</v>
      </c>
      <c r="T127">
        <f t="shared" si="11"/>
        <v>7.5598999999999998</v>
      </c>
    </row>
    <row r="128" spans="3:20">
      <c r="C128" s="48">
        <v>39213</v>
      </c>
      <c r="D128">
        <v>32.821899999999999</v>
      </c>
      <c r="F128">
        <f t="shared" si="6"/>
        <v>32.821899999999999</v>
      </c>
      <c r="H128">
        <f t="shared" si="7"/>
        <v>32.821899999999999</v>
      </c>
      <c r="J128">
        <f t="shared" si="8"/>
        <v>0</v>
      </c>
      <c r="K128">
        <f t="shared" si="9"/>
        <v>32.821899999999999</v>
      </c>
      <c r="M128" s="48">
        <v>39220</v>
      </c>
      <c r="N128">
        <v>7.7432999999999996</v>
      </c>
      <c r="S128">
        <f t="shared" si="10"/>
        <v>0</v>
      </c>
      <c r="T128">
        <f t="shared" si="11"/>
        <v>7.7432999999999996</v>
      </c>
    </row>
    <row r="129" spans="3:20">
      <c r="C129" s="48">
        <v>39220</v>
      </c>
      <c r="D129">
        <v>32.751899999999999</v>
      </c>
      <c r="F129">
        <f t="shared" si="6"/>
        <v>32.751899999999999</v>
      </c>
      <c r="H129">
        <f t="shared" si="7"/>
        <v>32.751899999999999</v>
      </c>
      <c r="J129">
        <f t="shared" si="8"/>
        <v>0</v>
      </c>
      <c r="K129">
        <f t="shared" si="9"/>
        <v>32.751899999999999</v>
      </c>
      <c r="M129" s="48">
        <v>39227</v>
      </c>
      <c r="N129">
        <v>7.5618999999999996</v>
      </c>
      <c r="S129">
        <f t="shared" si="10"/>
        <v>0</v>
      </c>
      <c r="T129">
        <f t="shared" si="11"/>
        <v>7.5618999999999996</v>
      </c>
    </row>
    <row r="130" spans="3:20">
      <c r="C130" s="48">
        <v>39227</v>
      </c>
      <c r="D130">
        <v>33.228700000000003</v>
      </c>
      <c r="F130">
        <f t="shared" si="6"/>
        <v>33.228700000000003</v>
      </c>
      <c r="H130">
        <f t="shared" si="7"/>
        <v>33.228700000000003</v>
      </c>
      <c r="J130">
        <f t="shared" si="8"/>
        <v>0</v>
      </c>
      <c r="K130">
        <f t="shared" si="9"/>
        <v>33.228700000000003</v>
      </c>
      <c r="M130" s="48">
        <v>39234</v>
      </c>
      <c r="N130">
        <v>7.6440999999999999</v>
      </c>
      <c r="S130">
        <f t="shared" si="10"/>
        <v>0</v>
      </c>
      <c r="T130">
        <f t="shared" si="11"/>
        <v>7.6440999999999999</v>
      </c>
    </row>
    <row r="131" spans="3:20">
      <c r="C131" s="48">
        <v>39234</v>
      </c>
      <c r="D131">
        <v>33.046599999999998</v>
      </c>
      <c r="F131">
        <f t="shared" si="6"/>
        <v>33.046599999999998</v>
      </c>
      <c r="H131">
        <f t="shared" si="7"/>
        <v>33.046599999999998</v>
      </c>
      <c r="J131">
        <f t="shared" si="8"/>
        <v>0</v>
      </c>
      <c r="K131">
        <f t="shared" si="9"/>
        <v>33.046599999999998</v>
      </c>
      <c r="M131" s="48">
        <v>39241</v>
      </c>
      <c r="N131">
        <v>7.7606999999999999</v>
      </c>
      <c r="S131">
        <f t="shared" si="10"/>
        <v>0</v>
      </c>
      <c r="T131">
        <f t="shared" si="11"/>
        <v>7.7606999999999999</v>
      </c>
    </row>
    <row r="132" spans="3:20">
      <c r="C132" s="48">
        <v>39241</v>
      </c>
      <c r="D132">
        <v>33.9163</v>
      </c>
      <c r="F132">
        <f t="shared" si="6"/>
        <v>33.9163</v>
      </c>
      <c r="H132">
        <f t="shared" si="7"/>
        <v>33.9163</v>
      </c>
      <c r="J132">
        <f t="shared" si="8"/>
        <v>0</v>
      </c>
      <c r="K132">
        <f t="shared" si="9"/>
        <v>33.9163</v>
      </c>
      <c r="M132" s="48">
        <v>39248</v>
      </c>
      <c r="N132">
        <v>7.5083000000000002</v>
      </c>
      <c r="S132">
        <f t="shared" si="10"/>
        <v>0</v>
      </c>
      <c r="T132">
        <f t="shared" si="11"/>
        <v>7.5083000000000002</v>
      </c>
    </row>
    <row r="133" spans="3:20">
      <c r="C133" s="48">
        <v>39248</v>
      </c>
      <c r="D133">
        <v>34.308900000000001</v>
      </c>
      <c r="F133">
        <f t="shared" ref="F133:F196" si="12">D133</f>
        <v>34.308900000000001</v>
      </c>
      <c r="H133">
        <f t="shared" ref="H133:H196" si="13">F133</f>
        <v>34.308900000000001</v>
      </c>
      <c r="J133">
        <f t="shared" ref="J133:J196" si="14">K133-F133</f>
        <v>0</v>
      </c>
      <c r="K133">
        <f t="shared" ref="K133:K196" si="15">H133</f>
        <v>34.308900000000001</v>
      </c>
      <c r="M133" s="48">
        <v>39255</v>
      </c>
      <c r="N133">
        <v>7.3665000000000003</v>
      </c>
      <c r="S133">
        <f t="shared" ref="S133:S196" si="16">T133-N133</f>
        <v>0</v>
      </c>
      <c r="T133">
        <f t="shared" ref="T133:T196" si="17">N133</f>
        <v>7.3665000000000003</v>
      </c>
    </row>
    <row r="134" spans="3:20">
      <c r="C134" s="48">
        <v>39255</v>
      </c>
      <c r="D134">
        <v>34.936900000000001</v>
      </c>
      <c r="F134">
        <f t="shared" si="12"/>
        <v>34.936900000000001</v>
      </c>
      <c r="H134">
        <f t="shared" si="13"/>
        <v>34.936900000000001</v>
      </c>
      <c r="J134">
        <f t="shared" si="14"/>
        <v>0</v>
      </c>
      <c r="K134">
        <f t="shared" si="15"/>
        <v>34.936900000000001</v>
      </c>
      <c r="M134" s="48">
        <v>39262</v>
      </c>
      <c r="N134">
        <v>6.7107999999999999</v>
      </c>
      <c r="S134">
        <f t="shared" si="16"/>
        <v>0</v>
      </c>
      <c r="T134">
        <f t="shared" si="17"/>
        <v>6.7107999999999999</v>
      </c>
    </row>
    <row r="135" spans="3:20">
      <c r="C135" s="48">
        <v>39262</v>
      </c>
      <c r="D135">
        <v>33.077300000000001</v>
      </c>
      <c r="F135">
        <f t="shared" si="12"/>
        <v>33.077300000000001</v>
      </c>
      <c r="H135">
        <f t="shared" si="13"/>
        <v>33.077300000000001</v>
      </c>
      <c r="J135">
        <f t="shared" si="14"/>
        <v>0</v>
      </c>
      <c r="K135">
        <f t="shared" si="15"/>
        <v>33.077300000000001</v>
      </c>
      <c r="M135" s="48">
        <v>39269</v>
      </c>
      <c r="N135">
        <v>6.2633000000000001</v>
      </c>
      <c r="S135">
        <f t="shared" si="16"/>
        <v>0</v>
      </c>
      <c r="T135">
        <f t="shared" si="17"/>
        <v>6.2633000000000001</v>
      </c>
    </row>
    <row r="136" spans="3:20">
      <c r="C136" s="48">
        <v>39269</v>
      </c>
      <c r="D136">
        <v>33.3185</v>
      </c>
      <c r="F136">
        <f t="shared" si="12"/>
        <v>33.3185</v>
      </c>
      <c r="H136">
        <f t="shared" si="13"/>
        <v>33.3185</v>
      </c>
      <c r="J136">
        <f t="shared" si="14"/>
        <v>0</v>
      </c>
      <c r="K136">
        <f t="shared" si="15"/>
        <v>33.3185</v>
      </c>
      <c r="M136" s="48">
        <v>39276</v>
      </c>
      <c r="N136">
        <v>6.4046000000000003</v>
      </c>
      <c r="S136">
        <f t="shared" si="16"/>
        <v>0</v>
      </c>
      <c r="T136">
        <f t="shared" si="17"/>
        <v>6.4046000000000003</v>
      </c>
    </row>
    <row r="137" spans="3:20">
      <c r="C137" s="48">
        <v>39276</v>
      </c>
      <c r="D137">
        <v>33.521900000000002</v>
      </c>
      <c r="F137">
        <f t="shared" si="12"/>
        <v>33.521900000000002</v>
      </c>
      <c r="H137">
        <f t="shared" si="13"/>
        <v>33.521900000000002</v>
      </c>
      <c r="J137">
        <f t="shared" si="14"/>
        <v>0</v>
      </c>
      <c r="K137">
        <f t="shared" si="15"/>
        <v>33.521900000000002</v>
      </c>
      <c r="M137" s="48">
        <v>39283</v>
      </c>
      <c r="N137">
        <v>6.3689</v>
      </c>
      <c r="S137">
        <f t="shared" si="16"/>
        <v>0</v>
      </c>
      <c r="T137">
        <f t="shared" si="17"/>
        <v>6.3689</v>
      </c>
    </row>
    <row r="138" spans="3:20">
      <c r="C138" s="48">
        <v>39283</v>
      </c>
      <c r="D138">
        <v>34.365600000000001</v>
      </c>
      <c r="F138">
        <f t="shared" si="12"/>
        <v>34.365600000000001</v>
      </c>
      <c r="H138">
        <f t="shared" si="13"/>
        <v>34.365600000000001</v>
      </c>
      <c r="J138">
        <f t="shared" si="14"/>
        <v>0</v>
      </c>
      <c r="K138">
        <f t="shared" si="15"/>
        <v>34.365600000000001</v>
      </c>
      <c r="M138" s="48">
        <v>39290</v>
      </c>
      <c r="N138">
        <v>5.7637</v>
      </c>
      <c r="S138">
        <f t="shared" si="16"/>
        <v>0</v>
      </c>
      <c r="T138">
        <f t="shared" si="17"/>
        <v>5.7637</v>
      </c>
    </row>
    <row r="139" spans="3:20">
      <c r="C139" s="48">
        <v>39290</v>
      </c>
      <c r="D139">
        <v>32.574100000000001</v>
      </c>
      <c r="F139">
        <f t="shared" si="12"/>
        <v>32.574100000000001</v>
      </c>
      <c r="H139">
        <f t="shared" si="13"/>
        <v>32.574100000000001</v>
      </c>
      <c r="J139">
        <f t="shared" si="14"/>
        <v>0</v>
      </c>
      <c r="K139">
        <f t="shared" si="15"/>
        <v>32.574100000000001</v>
      </c>
      <c r="M139" s="48">
        <v>39297</v>
      </c>
      <c r="N139">
        <v>6.2952000000000004</v>
      </c>
      <c r="S139">
        <f t="shared" si="16"/>
        <v>0</v>
      </c>
      <c r="T139">
        <f t="shared" si="17"/>
        <v>6.2952000000000004</v>
      </c>
    </row>
    <row r="140" spans="3:20">
      <c r="C140" s="48">
        <v>39297</v>
      </c>
      <c r="D140">
        <v>32.587400000000002</v>
      </c>
      <c r="F140">
        <f t="shared" si="12"/>
        <v>32.587400000000002</v>
      </c>
      <c r="H140">
        <f t="shared" si="13"/>
        <v>32.587400000000002</v>
      </c>
      <c r="J140">
        <f t="shared" si="14"/>
        <v>0</v>
      </c>
      <c r="K140">
        <f t="shared" si="15"/>
        <v>32.587400000000002</v>
      </c>
      <c r="M140" s="48">
        <v>39304</v>
      </c>
      <c r="N140">
        <v>6.3486000000000002</v>
      </c>
      <c r="S140">
        <f t="shared" si="16"/>
        <v>0</v>
      </c>
      <c r="T140">
        <f t="shared" si="17"/>
        <v>6.3486000000000002</v>
      </c>
    </row>
    <row r="141" spans="3:20">
      <c r="C141" s="48">
        <v>39304</v>
      </c>
      <c r="D141">
        <v>33.018700000000003</v>
      </c>
      <c r="F141">
        <f t="shared" si="12"/>
        <v>33.018700000000003</v>
      </c>
      <c r="H141">
        <f t="shared" si="13"/>
        <v>33.018700000000003</v>
      </c>
      <c r="J141">
        <f t="shared" si="14"/>
        <v>0</v>
      </c>
      <c r="K141">
        <f t="shared" si="15"/>
        <v>33.018700000000003</v>
      </c>
      <c r="M141" s="48">
        <v>39311</v>
      </c>
      <c r="N141">
        <v>7.0838999999999999</v>
      </c>
      <c r="S141">
        <f t="shared" si="16"/>
        <v>0</v>
      </c>
      <c r="T141">
        <f t="shared" si="17"/>
        <v>7.0838999999999999</v>
      </c>
    </row>
    <row r="142" spans="3:20">
      <c r="C142" s="48">
        <v>39311</v>
      </c>
      <c r="D142">
        <v>31.5885</v>
      </c>
      <c r="F142">
        <f t="shared" si="12"/>
        <v>31.5885</v>
      </c>
      <c r="H142">
        <f t="shared" si="13"/>
        <v>31.5885</v>
      </c>
      <c r="J142">
        <f t="shared" si="14"/>
        <v>0</v>
      </c>
      <c r="K142">
        <f t="shared" si="15"/>
        <v>31.5885</v>
      </c>
      <c r="M142" s="48">
        <v>39318</v>
      </c>
      <c r="N142">
        <v>5.9295999999999998</v>
      </c>
      <c r="S142">
        <f t="shared" si="16"/>
        <v>0</v>
      </c>
      <c r="T142">
        <f t="shared" si="17"/>
        <v>5.9295999999999998</v>
      </c>
    </row>
    <row r="143" spans="3:20">
      <c r="C143" s="48">
        <v>39318</v>
      </c>
      <c r="D143">
        <v>31.074000000000002</v>
      </c>
      <c r="F143">
        <f t="shared" si="12"/>
        <v>31.074000000000002</v>
      </c>
      <c r="H143">
        <f t="shared" si="13"/>
        <v>31.074000000000002</v>
      </c>
      <c r="J143">
        <f t="shared" si="14"/>
        <v>0</v>
      </c>
      <c r="K143">
        <f t="shared" si="15"/>
        <v>31.074000000000002</v>
      </c>
      <c r="M143" s="48">
        <v>39325</v>
      </c>
      <c r="N143">
        <v>5.5153999999999996</v>
      </c>
      <c r="S143">
        <f t="shared" si="16"/>
        <v>0</v>
      </c>
      <c r="T143">
        <f t="shared" si="17"/>
        <v>5.5153999999999996</v>
      </c>
    </row>
    <row r="144" spans="3:20">
      <c r="C144" s="48">
        <v>39325</v>
      </c>
      <c r="D144">
        <v>30.290800000000001</v>
      </c>
      <c r="F144">
        <f t="shared" si="12"/>
        <v>30.290800000000001</v>
      </c>
      <c r="H144">
        <f t="shared" si="13"/>
        <v>30.290800000000001</v>
      </c>
      <c r="J144">
        <f t="shared" si="14"/>
        <v>0</v>
      </c>
      <c r="K144">
        <f t="shared" si="15"/>
        <v>30.290800000000001</v>
      </c>
      <c r="M144" s="48">
        <v>39332</v>
      </c>
      <c r="N144">
        <v>5.6643999999999997</v>
      </c>
      <c r="S144">
        <f t="shared" si="16"/>
        <v>0</v>
      </c>
      <c r="T144">
        <f t="shared" si="17"/>
        <v>5.6643999999999997</v>
      </c>
    </row>
    <row r="145" spans="3:20">
      <c r="C145" s="48">
        <v>39332</v>
      </c>
      <c r="D145">
        <v>31.845300000000002</v>
      </c>
      <c r="F145">
        <f t="shared" si="12"/>
        <v>31.845300000000002</v>
      </c>
      <c r="H145">
        <f t="shared" si="13"/>
        <v>31.845300000000002</v>
      </c>
      <c r="J145">
        <f t="shared" si="14"/>
        <v>0</v>
      </c>
      <c r="K145">
        <f t="shared" si="15"/>
        <v>31.845300000000002</v>
      </c>
      <c r="M145" s="48">
        <v>39339</v>
      </c>
      <c r="N145">
        <v>6.0320999999999998</v>
      </c>
      <c r="S145">
        <f t="shared" si="16"/>
        <v>0</v>
      </c>
      <c r="T145">
        <f t="shared" si="17"/>
        <v>6.0320999999999998</v>
      </c>
    </row>
    <row r="146" spans="3:20">
      <c r="C146" s="48">
        <v>39339</v>
      </c>
      <c r="D146">
        <v>32.676299999999998</v>
      </c>
      <c r="F146">
        <f t="shared" si="12"/>
        <v>32.676299999999998</v>
      </c>
      <c r="H146">
        <f t="shared" si="13"/>
        <v>32.676299999999998</v>
      </c>
      <c r="J146">
        <f t="shared" si="14"/>
        <v>0</v>
      </c>
      <c r="K146">
        <f t="shared" si="15"/>
        <v>32.676299999999998</v>
      </c>
      <c r="M146" s="48">
        <v>39346</v>
      </c>
      <c r="N146">
        <v>6.2049000000000003</v>
      </c>
      <c r="S146">
        <f t="shared" si="16"/>
        <v>0</v>
      </c>
      <c r="T146">
        <f t="shared" si="17"/>
        <v>6.2049000000000003</v>
      </c>
    </row>
    <row r="147" spans="3:20">
      <c r="C147" s="48">
        <v>39346</v>
      </c>
      <c r="D147">
        <v>33.491599999999998</v>
      </c>
      <c r="F147">
        <f t="shared" si="12"/>
        <v>33.491599999999998</v>
      </c>
      <c r="H147">
        <f t="shared" si="13"/>
        <v>33.491599999999998</v>
      </c>
      <c r="J147">
        <f t="shared" si="14"/>
        <v>0</v>
      </c>
      <c r="K147">
        <f t="shared" si="15"/>
        <v>33.491599999999998</v>
      </c>
      <c r="M147" s="48">
        <v>39353</v>
      </c>
      <c r="N147">
        <v>6.3323999999999998</v>
      </c>
      <c r="S147">
        <f t="shared" si="16"/>
        <v>0</v>
      </c>
      <c r="T147">
        <f t="shared" si="17"/>
        <v>6.3323999999999998</v>
      </c>
    </row>
    <row r="148" spans="3:20">
      <c r="C148" s="48">
        <v>39353</v>
      </c>
      <c r="D148">
        <v>33.266500000000001</v>
      </c>
      <c r="F148">
        <f t="shared" si="12"/>
        <v>33.266500000000001</v>
      </c>
      <c r="H148">
        <f t="shared" si="13"/>
        <v>33.266500000000001</v>
      </c>
      <c r="J148">
        <f t="shared" si="14"/>
        <v>0</v>
      </c>
      <c r="K148">
        <f t="shared" si="15"/>
        <v>33.266500000000001</v>
      </c>
      <c r="M148" s="48">
        <v>39360</v>
      </c>
      <c r="N148">
        <v>6.6512000000000002</v>
      </c>
      <c r="S148">
        <f t="shared" si="16"/>
        <v>0</v>
      </c>
      <c r="T148">
        <f t="shared" si="17"/>
        <v>6.6512000000000002</v>
      </c>
    </row>
    <row r="149" spans="3:20">
      <c r="C149" s="48">
        <v>39360</v>
      </c>
      <c r="D149">
        <v>34.276699999999998</v>
      </c>
      <c r="F149">
        <f t="shared" si="12"/>
        <v>34.276699999999998</v>
      </c>
      <c r="H149">
        <f t="shared" si="13"/>
        <v>34.276699999999998</v>
      </c>
      <c r="J149">
        <f t="shared" si="14"/>
        <v>0</v>
      </c>
      <c r="K149">
        <f t="shared" si="15"/>
        <v>34.276699999999998</v>
      </c>
      <c r="M149" s="48">
        <v>39367</v>
      </c>
      <c r="N149">
        <v>6.6841999999999997</v>
      </c>
      <c r="S149">
        <f t="shared" si="16"/>
        <v>0</v>
      </c>
      <c r="T149">
        <f t="shared" si="17"/>
        <v>6.6841999999999997</v>
      </c>
    </row>
    <row r="150" spans="3:20">
      <c r="C150" s="48">
        <v>39367</v>
      </c>
      <c r="D150">
        <v>35.042900000000003</v>
      </c>
      <c r="F150">
        <f t="shared" si="12"/>
        <v>35.042900000000003</v>
      </c>
      <c r="H150">
        <f t="shared" si="13"/>
        <v>35.042900000000003</v>
      </c>
      <c r="J150">
        <f t="shared" si="14"/>
        <v>0</v>
      </c>
      <c r="K150">
        <f t="shared" si="15"/>
        <v>35.042900000000003</v>
      </c>
      <c r="M150" s="48">
        <v>39374</v>
      </c>
      <c r="N150">
        <v>7.1020000000000003</v>
      </c>
      <c r="S150">
        <f t="shared" si="16"/>
        <v>0</v>
      </c>
      <c r="T150">
        <f t="shared" si="17"/>
        <v>7.1020000000000003</v>
      </c>
    </row>
    <row r="151" spans="3:20">
      <c r="C151" s="48">
        <v>39374</v>
      </c>
      <c r="D151">
        <v>35.778700000000001</v>
      </c>
      <c r="F151">
        <f t="shared" si="12"/>
        <v>35.778700000000001</v>
      </c>
      <c r="H151">
        <f t="shared" si="13"/>
        <v>35.778700000000001</v>
      </c>
      <c r="J151">
        <f t="shared" si="14"/>
        <v>0</v>
      </c>
      <c r="K151">
        <f t="shared" si="15"/>
        <v>35.778700000000001</v>
      </c>
      <c r="M151" s="48">
        <v>39381</v>
      </c>
      <c r="N151">
        <v>6.3937999999999997</v>
      </c>
      <c r="S151">
        <f t="shared" si="16"/>
        <v>0</v>
      </c>
      <c r="T151">
        <f t="shared" si="17"/>
        <v>6.3937999999999997</v>
      </c>
    </row>
    <row r="152" spans="3:20">
      <c r="C152" s="48">
        <v>39381</v>
      </c>
      <c r="D152">
        <v>35.619799999999998</v>
      </c>
      <c r="F152">
        <f t="shared" si="12"/>
        <v>35.619799999999998</v>
      </c>
      <c r="H152">
        <f t="shared" si="13"/>
        <v>35.619799999999998</v>
      </c>
      <c r="J152">
        <f t="shared" si="14"/>
        <v>0</v>
      </c>
      <c r="K152">
        <f t="shared" si="15"/>
        <v>35.619799999999998</v>
      </c>
      <c r="M152" s="48">
        <v>39388</v>
      </c>
      <c r="N152">
        <v>6.9301000000000004</v>
      </c>
      <c r="S152">
        <f t="shared" si="16"/>
        <v>0</v>
      </c>
      <c r="T152">
        <f t="shared" si="17"/>
        <v>6.9301000000000004</v>
      </c>
    </row>
    <row r="153" spans="3:20">
      <c r="C153" s="48">
        <v>39388</v>
      </c>
      <c r="D153">
        <v>37.127600000000001</v>
      </c>
      <c r="F153">
        <f t="shared" si="12"/>
        <v>37.127600000000001</v>
      </c>
      <c r="H153">
        <f t="shared" si="13"/>
        <v>37.127600000000001</v>
      </c>
      <c r="J153">
        <f t="shared" si="14"/>
        <v>0</v>
      </c>
      <c r="K153">
        <f t="shared" si="15"/>
        <v>37.127600000000001</v>
      </c>
      <c r="M153" s="48">
        <v>39395</v>
      </c>
      <c r="N153">
        <v>6.9447999999999999</v>
      </c>
      <c r="S153">
        <f t="shared" si="16"/>
        <v>0</v>
      </c>
      <c r="T153">
        <f t="shared" si="17"/>
        <v>6.9447999999999999</v>
      </c>
    </row>
    <row r="154" spans="3:20">
      <c r="C154" s="48">
        <v>39395</v>
      </c>
      <c r="D154">
        <v>38.154800000000002</v>
      </c>
      <c r="F154">
        <f t="shared" si="12"/>
        <v>38.154800000000002</v>
      </c>
      <c r="H154">
        <f t="shared" si="13"/>
        <v>38.154800000000002</v>
      </c>
      <c r="J154">
        <f t="shared" si="14"/>
        <v>0</v>
      </c>
      <c r="K154">
        <f t="shared" si="15"/>
        <v>38.154800000000002</v>
      </c>
      <c r="M154" s="48">
        <v>39402</v>
      </c>
      <c r="N154">
        <v>7.1910999999999996</v>
      </c>
      <c r="S154">
        <f t="shared" si="16"/>
        <v>0</v>
      </c>
      <c r="T154">
        <f t="shared" si="17"/>
        <v>7.1910999999999996</v>
      </c>
    </row>
    <row r="155" spans="3:20">
      <c r="C155" s="48">
        <v>39402</v>
      </c>
      <c r="D155">
        <v>36.537300000000002</v>
      </c>
      <c r="F155">
        <f t="shared" si="12"/>
        <v>36.537300000000002</v>
      </c>
      <c r="H155">
        <f t="shared" si="13"/>
        <v>36.537300000000002</v>
      </c>
      <c r="J155">
        <f t="shared" si="14"/>
        <v>0</v>
      </c>
      <c r="K155">
        <f t="shared" si="15"/>
        <v>36.537300000000002</v>
      </c>
      <c r="M155" s="48">
        <v>39409</v>
      </c>
      <c r="N155">
        <v>6.9542000000000002</v>
      </c>
      <c r="S155">
        <f t="shared" si="16"/>
        <v>0</v>
      </c>
      <c r="T155">
        <f t="shared" si="17"/>
        <v>6.9542000000000002</v>
      </c>
    </row>
    <row r="156" spans="3:20">
      <c r="C156" s="48">
        <v>39409</v>
      </c>
      <c r="D156">
        <v>35.768299999999996</v>
      </c>
      <c r="F156">
        <f t="shared" si="12"/>
        <v>35.768299999999996</v>
      </c>
      <c r="H156">
        <f t="shared" si="13"/>
        <v>35.768299999999996</v>
      </c>
      <c r="J156">
        <f t="shared" si="14"/>
        <v>0</v>
      </c>
      <c r="K156">
        <f t="shared" si="15"/>
        <v>35.768299999999996</v>
      </c>
      <c r="M156" s="48">
        <v>39416</v>
      </c>
      <c r="N156">
        <v>7.4396000000000004</v>
      </c>
      <c r="S156">
        <f t="shared" si="16"/>
        <v>0</v>
      </c>
      <c r="T156">
        <f t="shared" si="17"/>
        <v>7.4396000000000004</v>
      </c>
    </row>
    <row r="157" spans="3:20">
      <c r="C157" s="48">
        <v>39416</v>
      </c>
      <c r="D157">
        <v>35.754199999999997</v>
      </c>
      <c r="F157">
        <f t="shared" si="12"/>
        <v>35.754199999999997</v>
      </c>
      <c r="H157">
        <f t="shared" si="13"/>
        <v>35.754199999999997</v>
      </c>
      <c r="J157">
        <f t="shared" si="14"/>
        <v>0</v>
      </c>
      <c r="K157">
        <f t="shared" si="15"/>
        <v>35.754199999999997</v>
      </c>
      <c r="M157" s="48">
        <v>39423</v>
      </c>
      <c r="N157">
        <v>7.1210000000000004</v>
      </c>
      <c r="S157">
        <f t="shared" si="16"/>
        <v>0</v>
      </c>
      <c r="T157">
        <f t="shared" si="17"/>
        <v>7.1210000000000004</v>
      </c>
    </row>
    <row r="158" spans="3:20">
      <c r="C158" s="48">
        <v>39423</v>
      </c>
      <c r="D158">
        <v>35.824100000000001</v>
      </c>
      <c r="F158">
        <f t="shared" si="12"/>
        <v>35.824100000000001</v>
      </c>
      <c r="H158">
        <f t="shared" si="13"/>
        <v>35.824100000000001</v>
      </c>
      <c r="J158">
        <f t="shared" si="14"/>
        <v>0</v>
      </c>
      <c r="K158">
        <f t="shared" si="15"/>
        <v>35.824100000000001</v>
      </c>
      <c r="M158" s="48">
        <v>39430</v>
      </c>
      <c r="N158">
        <v>7.1738</v>
      </c>
      <c r="S158">
        <f t="shared" si="16"/>
        <v>0</v>
      </c>
      <c r="T158">
        <f t="shared" si="17"/>
        <v>7.1738</v>
      </c>
    </row>
    <row r="159" spans="3:20">
      <c r="C159" s="48">
        <v>39430</v>
      </c>
      <c r="D159">
        <v>36.332999999999998</v>
      </c>
      <c r="F159">
        <f t="shared" si="12"/>
        <v>36.332999999999998</v>
      </c>
      <c r="H159">
        <f t="shared" si="13"/>
        <v>36.332999999999998</v>
      </c>
      <c r="J159">
        <f t="shared" si="14"/>
        <v>0</v>
      </c>
      <c r="K159">
        <f t="shared" si="15"/>
        <v>36.332999999999998</v>
      </c>
      <c r="M159" s="48">
        <v>39437</v>
      </c>
      <c r="N159">
        <v>7.1239999999999997</v>
      </c>
      <c r="S159">
        <f t="shared" si="16"/>
        <v>0</v>
      </c>
      <c r="T159">
        <f t="shared" si="17"/>
        <v>7.1239999999999997</v>
      </c>
    </row>
    <row r="160" spans="3:20">
      <c r="C160" s="48">
        <v>39437</v>
      </c>
      <c r="D160">
        <v>36.228999999999999</v>
      </c>
      <c r="F160">
        <f t="shared" si="12"/>
        <v>36.228999999999999</v>
      </c>
      <c r="H160">
        <f t="shared" si="13"/>
        <v>36.228999999999999</v>
      </c>
      <c r="J160">
        <f t="shared" si="14"/>
        <v>0</v>
      </c>
      <c r="K160">
        <f t="shared" si="15"/>
        <v>36.228999999999999</v>
      </c>
      <c r="M160" s="48">
        <v>39444</v>
      </c>
      <c r="N160">
        <v>6.9515000000000002</v>
      </c>
      <c r="S160">
        <f t="shared" si="16"/>
        <v>0</v>
      </c>
      <c r="T160">
        <f t="shared" si="17"/>
        <v>6.9515000000000002</v>
      </c>
    </row>
    <row r="161" spans="3:20">
      <c r="C161" s="48">
        <v>39444</v>
      </c>
      <c r="D161">
        <v>37.109099999999998</v>
      </c>
      <c r="F161">
        <f t="shared" si="12"/>
        <v>37.109099999999998</v>
      </c>
      <c r="H161">
        <f t="shared" si="13"/>
        <v>37.109099999999998</v>
      </c>
      <c r="J161">
        <f t="shared" si="14"/>
        <v>0</v>
      </c>
      <c r="K161">
        <f t="shared" si="15"/>
        <v>37.109099999999998</v>
      </c>
      <c r="M161" s="48">
        <v>39451</v>
      </c>
      <c r="N161">
        <v>7.6594999999999995</v>
      </c>
      <c r="S161">
        <f t="shared" si="16"/>
        <v>0</v>
      </c>
      <c r="T161">
        <f t="shared" si="17"/>
        <v>7.6594999999999995</v>
      </c>
    </row>
    <row r="162" spans="3:20">
      <c r="C162" s="48">
        <v>39451</v>
      </c>
      <c r="D162">
        <v>37.605699999999999</v>
      </c>
      <c r="F162">
        <f t="shared" si="12"/>
        <v>37.605699999999999</v>
      </c>
      <c r="H162">
        <f t="shared" si="13"/>
        <v>37.605699999999999</v>
      </c>
      <c r="J162">
        <f t="shared" si="14"/>
        <v>0</v>
      </c>
      <c r="K162">
        <f t="shared" si="15"/>
        <v>37.605699999999999</v>
      </c>
      <c r="M162" s="48">
        <v>39458</v>
      </c>
      <c r="N162">
        <v>7.8334999999999999</v>
      </c>
      <c r="S162">
        <f t="shared" si="16"/>
        <v>0</v>
      </c>
      <c r="T162">
        <f t="shared" si="17"/>
        <v>7.8334999999999999</v>
      </c>
    </row>
    <row r="163" spans="3:20">
      <c r="C163" s="48">
        <v>39458</v>
      </c>
      <c r="D163">
        <v>36.997</v>
      </c>
      <c r="F163">
        <f t="shared" si="12"/>
        <v>36.997</v>
      </c>
      <c r="H163">
        <f t="shared" si="13"/>
        <v>36.997</v>
      </c>
      <c r="J163">
        <f t="shared" si="14"/>
        <v>0</v>
      </c>
      <c r="K163">
        <f t="shared" si="15"/>
        <v>36.997</v>
      </c>
      <c r="M163" s="48">
        <v>39465</v>
      </c>
      <c r="N163">
        <v>8.3279999999999994</v>
      </c>
      <c r="S163">
        <f t="shared" si="16"/>
        <v>0</v>
      </c>
      <c r="T163">
        <f t="shared" si="17"/>
        <v>8.3279999999999994</v>
      </c>
    </row>
    <row r="164" spans="3:20">
      <c r="C164" s="48">
        <v>39465</v>
      </c>
      <c r="D164">
        <v>36.421900000000001</v>
      </c>
      <c r="F164">
        <f t="shared" si="12"/>
        <v>36.421900000000001</v>
      </c>
      <c r="H164">
        <f t="shared" si="13"/>
        <v>36.421900000000001</v>
      </c>
      <c r="J164">
        <f t="shared" si="14"/>
        <v>0</v>
      </c>
      <c r="K164">
        <f t="shared" si="15"/>
        <v>36.421900000000001</v>
      </c>
      <c r="M164" s="48">
        <v>39472</v>
      </c>
      <c r="N164">
        <v>7.8651999999999997</v>
      </c>
      <c r="S164">
        <f t="shared" si="16"/>
        <v>0</v>
      </c>
      <c r="T164">
        <f t="shared" si="17"/>
        <v>7.8651999999999997</v>
      </c>
    </row>
    <row r="165" spans="3:20">
      <c r="C165" s="48">
        <v>39472</v>
      </c>
      <c r="D165">
        <v>34.321100000000001</v>
      </c>
      <c r="F165">
        <f t="shared" si="12"/>
        <v>34.321100000000001</v>
      </c>
      <c r="H165">
        <f t="shared" si="13"/>
        <v>34.321100000000001</v>
      </c>
      <c r="J165">
        <f t="shared" si="14"/>
        <v>0</v>
      </c>
      <c r="K165">
        <f t="shared" si="15"/>
        <v>34.321100000000001</v>
      </c>
      <c r="M165" s="48">
        <v>39479</v>
      </c>
      <c r="N165">
        <v>8.0250000000000004</v>
      </c>
      <c r="S165">
        <f t="shared" si="16"/>
        <v>0</v>
      </c>
      <c r="T165">
        <f t="shared" si="17"/>
        <v>8.0250000000000004</v>
      </c>
    </row>
    <row r="166" spans="3:20">
      <c r="C166" s="48">
        <v>39479</v>
      </c>
      <c r="D166">
        <v>35.029600000000002</v>
      </c>
      <c r="F166">
        <f t="shared" si="12"/>
        <v>35.029600000000002</v>
      </c>
      <c r="H166">
        <f t="shared" si="13"/>
        <v>35.029600000000002</v>
      </c>
      <c r="J166">
        <f t="shared" si="14"/>
        <v>0</v>
      </c>
      <c r="K166">
        <f t="shared" si="15"/>
        <v>35.029600000000002</v>
      </c>
      <c r="M166" s="48">
        <v>39486</v>
      </c>
      <c r="N166">
        <v>7.8725000000000005</v>
      </c>
      <c r="S166">
        <f t="shared" si="16"/>
        <v>0</v>
      </c>
      <c r="T166">
        <f t="shared" si="17"/>
        <v>7.8725000000000005</v>
      </c>
    </row>
    <row r="167" spans="3:20">
      <c r="C167" s="48">
        <v>39486</v>
      </c>
      <c r="D167">
        <v>35.523400000000002</v>
      </c>
      <c r="F167">
        <f t="shared" si="12"/>
        <v>35.523400000000002</v>
      </c>
      <c r="H167">
        <f t="shared" si="13"/>
        <v>35.523400000000002</v>
      </c>
      <c r="J167">
        <f t="shared" si="14"/>
        <v>0</v>
      </c>
      <c r="K167">
        <f t="shared" si="15"/>
        <v>35.523400000000002</v>
      </c>
      <c r="M167" s="48">
        <v>39493</v>
      </c>
      <c r="N167">
        <v>8.4652999999999992</v>
      </c>
      <c r="S167">
        <f t="shared" si="16"/>
        <v>0</v>
      </c>
      <c r="T167">
        <f t="shared" si="17"/>
        <v>8.4652999999999992</v>
      </c>
    </row>
    <row r="168" spans="3:20">
      <c r="C168" s="48">
        <v>39493</v>
      </c>
      <c r="D168">
        <v>39.851700000000001</v>
      </c>
      <c r="F168">
        <f t="shared" si="12"/>
        <v>39.851700000000001</v>
      </c>
      <c r="H168">
        <f t="shared" si="13"/>
        <v>39.851700000000001</v>
      </c>
      <c r="J168">
        <f t="shared" si="14"/>
        <v>0</v>
      </c>
      <c r="K168">
        <f t="shared" si="15"/>
        <v>39.851700000000001</v>
      </c>
      <c r="M168" s="48">
        <v>39500</v>
      </c>
      <c r="N168">
        <v>8.8841999999999999</v>
      </c>
      <c r="S168">
        <f t="shared" si="16"/>
        <v>0</v>
      </c>
      <c r="T168">
        <f t="shared" si="17"/>
        <v>8.8841999999999999</v>
      </c>
    </row>
    <row r="169" spans="3:20">
      <c r="C169" s="48">
        <v>39500</v>
      </c>
      <c r="D169">
        <v>41.883400000000002</v>
      </c>
      <c r="F169">
        <f t="shared" si="12"/>
        <v>41.883400000000002</v>
      </c>
      <c r="H169">
        <f t="shared" si="13"/>
        <v>41.883400000000002</v>
      </c>
      <c r="J169">
        <f t="shared" si="14"/>
        <v>0</v>
      </c>
      <c r="K169">
        <f t="shared" si="15"/>
        <v>41.883400000000002</v>
      </c>
      <c r="M169" s="48">
        <v>39507</v>
      </c>
      <c r="N169">
        <v>9.1564999999999994</v>
      </c>
      <c r="S169">
        <f t="shared" si="16"/>
        <v>0</v>
      </c>
      <c r="T169">
        <f t="shared" si="17"/>
        <v>9.1564999999999994</v>
      </c>
    </row>
    <row r="170" spans="3:20">
      <c r="C170" s="48">
        <v>39507</v>
      </c>
      <c r="D170">
        <v>43.377899999999997</v>
      </c>
      <c r="F170">
        <f t="shared" si="12"/>
        <v>43.377899999999997</v>
      </c>
      <c r="H170">
        <f t="shared" si="13"/>
        <v>43.377899999999997</v>
      </c>
      <c r="J170">
        <f t="shared" si="14"/>
        <v>0</v>
      </c>
      <c r="K170">
        <f t="shared" si="15"/>
        <v>43.377899999999997</v>
      </c>
      <c r="M170" s="48">
        <v>39514</v>
      </c>
      <c r="N170">
        <v>9.4384999999999994</v>
      </c>
      <c r="S170">
        <f t="shared" si="16"/>
        <v>0</v>
      </c>
      <c r="T170">
        <f t="shared" si="17"/>
        <v>9.4384999999999994</v>
      </c>
    </row>
    <row r="171" spans="3:20">
      <c r="C171" s="48">
        <v>39514</v>
      </c>
      <c r="D171">
        <v>43.253100000000003</v>
      </c>
      <c r="F171">
        <f t="shared" si="12"/>
        <v>43.253100000000003</v>
      </c>
      <c r="H171">
        <f t="shared" si="13"/>
        <v>43.253100000000003</v>
      </c>
      <c r="J171">
        <f t="shared" si="14"/>
        <v>0</v>
      </c>
      <c r="K171">
        <f t="shared" si="15"/>
        <v>43.253100000000003</v>
      </c>
      <c r="M171" s="48">
        <v>39521</v>
      </c>
      <c r="N171">
        <v>9.7433999999999994</v>
      </c>
      <c r="S171">
        <f t="shared" si="16"/>
        <v>0</v>
      </c>
      <c r="T171">
        <f t="shared" si="17"/>
        <v>9.7433999999999994</v>
      </c>
    </row>
    <row r="172" spans="3:20">
      <c r="C172" s="48">
        <v>39521</v>
      </c>
      <c r="D172">
        <v>44.200800000000001</v>
      </c>
      <c r="F172">
        <f t="shared" si="12"/>
        <v>44.200800000000001</v>
      </c>
      <c r="H172">
        <f t="shared" si="13"/>
        <v>44.200800000000001</v>
      </c>
      <c r="J172">
        <f t="shared" si="14"/>
        <v>0</v>
      </c>
      <c r="K172">
        <f t="shared" si="15"/>
        <v>44.200800000000001</v>
      </c>
      <c r="M172" s="48">
        <v>39528</v>
      </c>
      <c r="N172">
        <v>9.0869</v>
      </c>
      <c r="S172">
        <f t="shared" si="16"/>
        <v>0</v>
      </c>
      <c r="T172">
        <f t="shared" si="17"/>
        <v>9.0869</v>
      </c>
    </row>
    <row r="173" spans="3:20">
      <c r="C173" s="48">
        <v>39528</v>
      </c>
      <c r="D173">
        <v>43.110700000000001</v>
      </c>
      <c r="F173">
        <f t="shared" si="12"/>
        <v>43.110700000000001</v>
      </c>
      <c r="H173">
        <f t="shared" si="13"/>
        <v>43.110700000000001</v>
      </c>
      <c r="J173">
        <f t="shared" si="14"/>
        <v>0</v>
      </c>
      <c r="K173">
        <f t="shared" si="15"/>
        <v>43.110700000000001</v>
      </c>
      <c r="M173" s="48">
        <v>39535</v>
      </c>
      <c r="N173">
        <v>9.2373999999999992</v>
      </c>
      <c r="S173">
        <f t="shared" si="16"/>
        <v>0</v>
      </c>
      <c r="T173">
        <f t="shared" si="17"/>
        <v>9.2373999999999992</v>
      </c>
    </row>
    <row r="174" spans="3:20">
      <c r="C174" s="48">
        <v>39535</v>
      </c>
      <c r="D174">
        <v>43.580300000000001</v>
      </c>
      <c r="F174">
        <f t="shared" si="12"/>
        <v>43.580300000000001</v>
      </c>
      <c r="H174">
        <f t="shared" si="13"/>
        <v>43.580300000000001</v>
      </c>
      <c r="J174">
        <f t="shared" si="14"/>
        <v>0</v>
      </c>
      <c r="K174">
        <f t="shared" si="15"/>
        <v>43.580300000000001</v>
      </c>
      <c r="M174" s="48">
        <v>39542</v>
      </c>
      <c r="N174">
        <v>9.6826000000000008</v>
      </c>
      <c r="S174">
        <f t="shared" si="16"/>
        <v>0</v>
      </c>
      <c r="T174">
        <f t="shared" si="17"/>
        <v>9.6826000000000008</v>
      </c>
    </row>
    <row r="175" spans="3:20">
      <c r="C175" s="48">
        <v>39542</v>
      </c>
      <c r="D175">
        <v>43.835700000000003</v>
      </c>
      <c r="F175">
        <f t="shared" si="12"/>
        <v>43.835700000000003</v>
      </c>
      <c r="H175">
        <f t="shared" si="13"/>
        <v>43.835700000000003</v>
      </c>
      <c r="J175">
        <f t="shared" si="14"/>
        <v>0</v>
      </c>
      <c r="K175">
        <f t="shared" si="15"/>
        <v>43.835700000000003</v>
      </c>
      <c r="M175" s="48">
        <v>39549</v>
      </c>
      <c r="N175">
        <v>9.8790999999999993</v>
      </c>
      <c r="S175">
        <f t="shared" si="16"/>
        <v>0</v>
      </c>
      <c r="T175">
        <f t="shared" si="17"/>
        <v>9.8790999999999993</v>
      </c>
    </row>
    <row r="176" spans="3:20">
      <c r="C176" s="48">
        <v>39549</v>
      </c>
      <c r="D176">
        <v>45.509900000000002</v>
      </c>
      <c r="F176">
        <f t="shared" si="12"/>
        <v>45.509900000000002</v>
      </c>
      <c r="H176">
        <f t="shared" si="13"/>
        <v>45.509900000000002</v>
      </c>
      <c r="J176">
        <f t="shared" si="14"/>
        <v>0</v>
      </c>
      <c r="K176">
        <f t="shared" si="15"/>
        <v>45.509900000000002</v>
      </c>
      <c r="M176" s="48">
        <v>39556</v>
      </c>
      <c r="N176">
        <v>10.1296</v>
      </c>
      <c r="S176">
        <f t="shared" si="16"/>
        <v>0</v>
      </c>
      <c r="T176">
        <f t="shared" si="17"/>
        <v>10.1296</v>
      </c>
    </row>
    <row r="177" spans="3:20">
      <c r="C177" s="48">
        <v>39556</v>
      </c>
      <c r="D177">
        <v>47.061199999999999</v>
      </c>
      <c r="F177">
        <f t="shared" si="12"/>
        <v>47.061199999999999</v>
      </c>
      <c r="H177">
        <f t="shared" si="13"/>
        <v>47.061199999999999</v>
      </c>
      <c r="J177">
        <f t="shared" si="14"/>
        <v>0</v>
      </c>
      <c r="K177">
        <f t="shared" si="15"/>
        <v>47.061199999999999</v>
      </c>
      <c r="M177" s="48">
        <v>39563</v>
      </c>
      <c r="N177">
        <v>10.537000000000001</v>
      </c>
      <c r="S177">
        <f t="shared" si="16"/>
        <v>0</v>
      </c>
      <c r="T177">
        <f t="shared" si="17"/>
        <v>10.537000000000001</v>
      </c>
    </row>
    <row r="178" spans="3:20">
      <c r="C178" s="48">
        <v>39563</v>
      </c>
      <c r="D178">
        <v>50.120100000000001</v>
      </c>
      <c r="F178">
        <f t="shared" si="12"/>
        <v>50.120100000000001</v>
      </c>
      <c r="H178">
        <f t="shared" si="13"/>
        <v>50.120100000000001</v>
      </c>
      <c r="J178">
        <f t="shared" si="14"/>
        <v>0</v>
      </c>
      <c r="K178">
        <f t="shared" si="15"/>
        <v>50.120100000000001</v>
      </c>
      <c r="M178" s="48">
        <v>39570</v>
      </c>
      <c r="N178">
        <v>10.7437</v>
      </c>
      <c r="S178">
        <f t="shared" si="16"/>
        <v>0</v>
      </c>
      <c r="T178">
        <f t="shared" si="17"/>
        <v>10.7437</v>
      </c>
    </row>
    <row r="179" spans="3:20">
      <c r="C179" s="48">
        <v>39570</v>
      </c>
      <c r="D179">
        <v>49.270699999999998</v>
      </c>
      <c r="F179">
        <f t="shared" si="12"/>
        <v>49.270699999999998</v>
      </c>
      <c r="H179">
        <f t="shared" si="13"/>
        <v>49.270699999999998</v>
      </c>
      <c r="J179">
        <f t="shared" si="14"/>
        <v>0</v>
      </c>
      <c r="K179">
        <f t="shared" si="15"/>
        <v>49.270699999999998</v>
      </c>
      <c r="M179" s="48">
        <v>39577</v>
      </c>
      <c r="N179">
        <v>11.112299999999999</v>
      </c>
      <c r="S179">
        <f t="shared" si="16"/>
        <v>0</v>
      </c>
      <c r="T179">
        <f t="shared" si="17"/>
        <v>11.112299999999999</v>
      </c>
    </row>
    <row r="180" spans="3:20">
      <c r="C180" s="48">
        <v>39577</v>
      </c>
      <c r="D180">
        <v>53.158299999999997</v>
      </c>
      <c r="F180">
        <f t="shared" si="12"/>
        <v>53.158299999999997</v>
      </c>
      <c r="H180">
        <f t="shared" si="13"/>
        <v>53.158299999999997</v>
      </c>
      <c r="J180">
        <f t="shared" si="14"/>
        <v>0</v>
      </c>
      <c r="K180">
        <f t="shared" si="15"/>
        <v>53.158299999999997</v>
      </c>
      <c r="M180" s="48">
        <v>39584</v>
      </c>
      <c r="N180">
        <v>11.3588</v>
      </c>
      <c r="S180">
        <f t="shared" si="16"/>
        <v>0</v>
      </c>
      <c r="T180">
        <f t="shared" si="17"/>
        <v>11.3588</v>
      </c>
    </row>
    <row r="181" spans="3:20">
      <c r="C181" s="48">
        <v>39584</v>
      </c>
      <c r="D181">
        <v>54.342500000000001</v>
      </c>
      <c r="F181">
        <f t="shared" si="12"/>
        <v>54.342500000000001</v>
      </c>
      <c r="H181">
        <f t="shared" si="13"/>
        <v>54.342500000000001</v>
      </c>
      <c r="J181">
        <f t="shared" si="14"/>
        <v>0</v>
      </c>
      <c r="K181">
        <f t="shared" si="15"/>
        <v>54.342500000000001</v>
      </c>
      <c r="M181" s="48">
        <v>39591</v>
      </c>
      <c r="N181">
        <v>11.3165</v>
      </c>
      <c r="S181">
        <f t="shared" si="16"/>
        <v>0</v>
      </c>
      <c r="T181">
        <f t="shared" si="17"/>
        <v>11.3165</v>
      </c>
    </row>
    <row r="182" spans="3:20">
      <c r="C182" s="48">
        <v>39591</v>
      </c>
      <c r="D182">
        <v>52.692900000000002</v>
      </c>
      <c r="F182">
        <f t="shared" si="12"/>
        <v>52.692900000000002</v>
      </c>
      <c r="H182">
        <f t="shared" si="13"/>
        <v>52.692900000000002</v>
      </c>
      <c r="J182">
        <f t="shared" si="14"/>
        <v>0</v>
      </c>
      <c r="K182">
        <f t="shared" si="15"/>
        <v>52.692900000000002</v>
      </c>
      <c r="M182" s="48">
        <v>39598</v>
      </c>
      <c r="N182">
        <v>11.672700000000001</v>
      </c>
      <c r="S182">
        <f t="shared" si="16"/>
        <v>0</v>
      </c>
      <c r="T182">
        <f t="shared" si="17"/>
        <v>11.672700000000001</v>
      </c>
    </row>
    <row r="183" spans="3:20">
      <c r="C183" s="48">
        <v>39598</v>
      </c>
      <c r="D183">
        <v>50.639899999999997</v>
      </c>
      <c r="F183">
        <f t="shared" si="12"/>
        <v>50.639899999999997</v>
      </c>
      <c r="H183">
        <f t="shared" si="13"/>
        <v>50.639899999999997</v>
      </c>
      <c r="J183">
        <f t="shared" si="14"/>
        <v>0</v>
      </c>
      <c r="K183">
        <f t="shared" si="15"/>
        <v>50.639899999999997</v>
      </c>
      <c r="M183" s="48">
        <v>39605</v>
      </c>
      <c r="N183">
        <v>12.2896</v>
      </c>
      <c r="S183">
        <f t="shared" si="16"/>
        <v>0</v>
      </c>
      <c r="T183">
        <f t="shared" si="17"/>
        <v>12.2896</v>
      </c>
    </row>
    <row r="184" spans="3:20">
      <c r="C184" s="48">
        <v>39605</v>
      </c>
      <c r="D184">
        <v>52.736400000000003</v>
      </c>
      <c r="F184">
        <f t="shared" si="12"/>
        <v>52.736400000000003</v>
      </c>
      <c r="H184">
        <f t="shared" si="13"/>
        <v>52.736400000000003</v>
      </c>
      <c r="J184">
        <f t="shared" si="14"/>
        <v>0</v>
      </c>
      <c r="K184">
        <f t="shared" si="15"/>
        <v>52.736400000000003</v>
      </c>
      <c r="M184" s="48">
        <v>39612</v>
      </c>
      <c r="N184">
        <v>12.5869</v>
      </c>
      <c r="S184">
        <f t="shared" si="16"/>
        <v>0</v>
      </c>
      <c r="T184">
        <f t="shared" si="17"/>
        <v>12.5869</v>
      </c>
    </row>
    <row r="185" spans="3:20">
      <c r="C185" s="48">
        <v>39612</v>
      </c>
      <c r="D185">
        <v>56.026200000000003</v>
      </c>
      <c r="F185">
        <f t="shared" si="12"/>
        <v>56.026200000000003</v>
      </c>
      <c r="H185">
        <f t="shared" si="13"/>
        <v>56.026200000000003</v>
      </c>
      <c r="J185">
        <f t="shared" si="14"/>
        <v>0</v>
      </c>
      <c r="K185">
        <f t="shared" si="15"/>
        <v>56.026200000000003</v>
      </c>
      <c r="M185" s="48">
        <v>39619</v>
      </c>
      <c r="N185">
        <v>12.8751</v>
      </c>
      <c r="S185">
        <f t="shared" si="16"/>
        <v>0</v>
      </c>
      <c r="T185">
        <f t="shared" si="17"/>
        <v>12.8751</v>
      </c>
    </row>
    <row r="186" spans="3:20">
      <c r="C186" s="48">
        <v>39619</v>
      </c>
      <c r="D186">
        <v>60.223999999999997</v>
      </c>
      <c r="F186">
        <f t="shared" si="12"/>
        <v>60.223999999999997</v>
      </c>
      <c r="H186">
        <f t="shared" si="13"/>
        <v>60.223999999999997</v>
      </c>
      <c r="J186">
        <f t="shared" si="14"/>
        <v>0</v>
      </c>
      <c r="K186">
        <f t="shared" si="15"/>
        <v>60.223999999999997</v>
      </c>
      <c r="M186" s="48">
        <v>39626</v>
      </c>
      <c r="N186">
        <v>12.8871</v>
      </c>
      <c r="S186">
        <f t="shared" si="16"/>
        <v>0</v>
      </c>
      <c r="T186">
        <f t="shared" si="17"/>
        <v>12.8871</v>
      </c>
    </row>
    <row r="187" spans="3:20">
      <c r="C187" s="48">
        <v>39626</v>
      </c>
      <c r="D187">
        <v>61.2928</v>
      </c>
      <c r="F187">
        <f t="shared" si="12"/>
        <v>61.2928</v>
      </c>
      <c r="H187">
        <f t="shared" si="13"/>
        <v>61.2928</v>
      </c>
      <c r="J187">
        <f t="shared" si="14"/>
        <v>0</v>
      </c>
      <c r="K187">
        <f t="shared" si="15"/>
        <v>61.2928</v>
      </c>
      <c r="M187" s="48">
        <v>39633</v>
      </c>
      <c r="N187">
        <v>13.1953</v>
      </c>
      <c r="S187">
        <f t="shared" si="16"/>
        <v>0</v>
      </c>
      <c r="T187">
        <f t="shared" si="17"/>
        <v>13.1953</v>
      </c>
    </row>
    <row r="188" spans="3:20">
      <c r="C188" s="48">
        <v>39633</v>
      </c>
      <c r="D188">
        <v>63.728499999999997</v>
      </c>
      <c r="F188">
        <f t="shared" si="12"/>
        <v>63.728499999999997</v>
      </c>
      <c r="H188">
        <f t="shared" si="13"/>
        <v>63.728499999999997</v>
      </c>
      <c r="J188">
        <f t="shared" si="14"/>
        <v>0</v>
      </c>
      <c r="K188">
        <f t="shared" si="15"/>
        <v>63.728499999999997</v>
      </c>
      <c r="M188" s="48">
        <v>39640</v>
      </c>
      <c r="N188">
        <v>12.2994</v>
      </c>
      <c r="S188">
        <f t="shared" si="16"/>
        <v>0</v>
      </c>
      <c r="T188">
        <f t="shared" si="17"/>
        <v>12.2994</v>
      </c>
    </row>
    <row r="189" spans="3:20">
      <c r="C189" s="48">
        <v>39640</v>
      </c>
      <c r="D189">
        <v>58.400300000000001</v>
      </c>
      <c r="F189">
        <f t="shared" si="12"/>
        <v>58.400300000000001</v>
      </c>
      <c r="H189">
        <f t="shared" si="13"/>
        <v>58.400300000000001</v>
      </c>
      <c r="J189">
        <f t="shared" si="14"/>
        <v>0</v>
      </c>
      <c r="K189">
        <f t="shared" si="15"/>
        <v>58.400300000000001</v>
      </c>
      <c r="M189" s="48">
        <v>39647</v>
      </c>
      <c r="N189">
        <v>11.2972</v>
      </c>
      <c r="S189">
        <f t="shared" si="16"/>
        <v>0</v>
      </c>
      <c r="T189">
        <f t="shared" si="17"/>
        <v>11.2972</v>
      </c>
    </row>
    <row r="190" spans="3:20">
      <c r="C190" s="48">
        <v>39647</v>
      </c>
      <c r="D190">
        <v>54.526000000000003</v>
      </c>
      <c r="F190">
        <f t="shared" si="12"/>
        <v>54.526000000000003</v>
      </c>
      <c r="H190">
        <f t="shared" si="13"/>
        <v>54.526000000000003</v>
      </c>
      <c r="J190">
        <f t="shared" si="14"/>
        <v>0</v>
      </c>
      <c r="K190">
        <f t="shared" si="15"/>
        <v>54.526000000000003</v>
      </c>
      <c r="M190" s="48">
        <v>39654</v>
      </c>
      <c r="N190">
        <v>9.9326000000000008</v>
      </c>
      <c r="S190">
        <f t="shared" si="16"/>
        <v>0</v>
      </c>
      <c r="T190">
        <f t="shared" si="17"/>
        <v>9.9326000000000008</v>
      </c>
    </row>
    <row r="191" spans="3:20">
      <c r="C191" s="48">
        <v>39654</v>
      </c>
      <c r="D191">
        <v>47.530299999999997</v>
      </c>
      <c r="F191">
        <f t="shared" si="12"/>
        <v>47.530299999999997</v>
      </c>
      <c r="H191">
        <f t="shared" si="13"/>
        <v>47.530299999999997</v>
      </c>
      <c r="J191">
        <f t="shared" si="14"/>
        <v>0</v>
      </c>
      <c r="K191">
        <f t="shared" si="15"/>
        <v>47.530299999999997</v>
      </c>
      <c r="M191" s="48">
        <v>39661</v>
      </c>
      <c r="N191">
        <v>9.1496999999999993</v>
      </c>
      <c r="S191">
        <f t="shared" si="16"/>
        <v>0</v>
      </c>
      <c r="T191">
        <f t="shared" si="17"/>
        <v>9.1496999999999993</v>
      </c>
    </row>
    <row r="192" spans="3:20">
      <c r="C192" s="48">
        <v>39661</v>
      </c>
      <c r="D192">
        <v>46.618499999999997</v>
      </c>
      <c r="F192">
        <f t="shared" si="12"/>
        <v>46.618499999999997</v>
      </c>
      <c r="H192">
        <f t="shared" si="13"/>
        <v>46.618499999999997</v>
      </c>
      <c r="J192">
        <f t="shared" si="14"/>
        <v>0</v>
      </c>
      <c r="K192">
        <f t="shared" si="15"/>
        <v>46.618499999999997</v>
      </c>
      <c r="M192" s="48">
        <v>39668</v>
      </c>
      <c r="N192">
        <v>8.7123000000000008</v>
      </c>
      <c r="S192">
        <f t="shared" si="16"/>
        <v>0</v>
      </c>
      <c r="T192">
        <f t="shared" si="17"/>
        <v>8.7123000000000008</v>
      </c>
    </row>
    <row r="193" spans="3:20">
      <c r="C193" s="48">
        <v>39668</v>
      </c>
      <c r="D193">
        <v>42.545499999999997</v>
      </c>
      <c r="F193">
        <f t="shared" si="12"/>
        <v>42.545499999999997</v>
      </c>
      <c r="H193">
        <f t="shared" si="13"/>
        <v>42.545499999999997</v>
      </c>
      <c r="J193">
        <f t="shared" si="14"/>
        <v>0</v>
      </c>
      <c r="K193">
        <f t="shared" si="15"/>
        <v>42.545499999999997</v>
      </c>
      <c r="M193" s="48">
        <v>39675</v>
      </c>
      <c r="N193">
        <v>8.0985999999999994</v>
      </c>
      <c r="S193">
        <f t="shared" si="16"/>
        <v>0</v>
      </c>
      <c r="T193">
        <f t="shared" si="17"/>
        <v>8.0985999999999994</v>
      </c>
    </row>
    <row r="194" spans="3:20">
      <c r="C194" s="48">
        <v>39675</v>
      </c>
      <c r="D194">
        <v>43.054400000000001</v>
      </c>
      <c r="F194">
        <f t="shared" si="12"/>
        <v>43.054400000000001</v>
      </c>
      <c r="H194">
        <f t="shared" si="13"/>
        <v>43.054400000000001</v>
      </c>
      <c r="J194">
        <f t="shared" si="14"/>
        <v>0</v>
      </c>
      <c r="K194">
        <f t="shared" si="15"/>
        <v>43.054400000000001</v>
      </c>
      <c r="M194" s="48">
        <v>39682</v>
      </c>
      <c r="N194">
        <v>7.9005000000000001</v>
      </c>
      <c r="S194">
        <f t="shared" si="16"/>
        <v>0</v>
      </c>
      <c r="T194">
        <f t="shared" si="17"/>
        <v>7.9005000000000001</v>
      </c>
    </row>
    <row r="195" spans="3:20">
      <c r="C195" s="48">
        <v>39682</v>
      </c>
      <c r="D195">
        <v>44.929200000000002</v>
      </c>
      <c r="F195">
        <f t="shared" si="12"/>
        <v>44.929200000000002</v>
      </c>
      <c r="H195">
        <f t="shared" si="13"/>
        <v>44.929200000000002</v>
      </c>
      <c r="J195">
        <f t="shared" si="14"/>
        <v>0</v>
      </c>
      <c r="K195">
        <f t="shared" si="15"/>
        <v>44.929200000000002</v>
      </c>
      <c r="M195" s="48">
        <v>39689</v>
      </c>
      <c r="N195">
        <v>8.157</v>
      </c>
      <c r="S195">
        <f t="shared" si="16"/>
        <v>0</v>
      </c>
      <c r="T195">
        <f t="shared" si="17"/>
        <v>8.157</v>
      </c>
    </row>
    <row r="196" spans="3:20">
      <c r="C196" s="48">
        <v>39689</v>
      </c>
      <c r="D196">
        <v>46.478499999999997</v>
      </c>
      <c r="F196">
        <f t="shared" si="12"/>
        <v>46.478499999999997</v>
      </c>
      <c r="H196">
        <f t="shared" si="13"/>
        <v>46.478499999999997</v>
      </c>
      <c r="J196">
        <f t="shared" si="14"/>
        <v>0</v>
      </c>
      <c r="K196">
        <f t="shared" si="15"/>
        <v>46.478499999999997</v>
      </c>
      <c r="M196" s="48">
        <v>39696</v>
      </c>
      <c r="N196">
        <v>7.2983000000000002</v>
      </c>
      <c r="S196">
        <f t="shared" si="16"/>
        <v>0</v>
      </c>
      <c r="T196">
        <f t="shared" si="17"/>
        <v>7.2983000000000002</v>
      </c>
    </row>
    <row r="197" spans="3:20">
      <c r="C197" s="48">
        <v>39696</v>
      </c>
      <c r="D197">
        <v>42.422600000000003</v>
      </c>
      <c r="F197">
        <f t="shared" ref="F197:F260" si="18">D197</f>
        <v>42.422600000000003</v>
      </c>
      <c r="H197">
        <f t="shared" ref="H197:H260" si="19">F197</f>
        <v>42.422600000000003</v>
      </c>
      <c r="J197">
        <f t="shared" ref="J197:J260" si="20">K197-F197</f>
        <v>0</v>
      </c>
      <c r="K197">
        <f t="shared" ref="K197:K260" si="21">H197</f>
        <v>42.422600000000003</v>
      </c>
      <c r="M197" s="48">
        <v>39703</v>
      </c>
      <c r="N197">
        <v>7.6921999999999997</v>
      </c>
      <c r="S197">
        <f t="shared" ref="S197:S260" si="22">T197-N197</f>
        <v>0</v>
      </c>
      <c r="T197">
        <f t="shared" ref="T197:T260" si="23">N197</f>
        <v>7.6921999999999997</v>
      </c>
    </row>
    <row r="198" spans="3:20">
      <c r="C198" s="48">
        <v>39703</v>
      </c>
      <c r="D198">
        <v>38.625799999999998</v>
      </c>
      <c r="F198">
        <f t="shared" si="18"/>
        <v>38.625799999999998</v>
      </c>
      <c r="H198">
        <f t="shared" si="19"/>
        <v>38.625799999999998</v>
      </c>
      <c r="J198">
        <f t="shared" si="20"/>
        <v>0</v>
      </c>
      <c r="K198">
        <f t="shared" si="21"/>
        <v>38.625799999999998</v>
      </c>
      <c r="M198" s="48">
        <v>39710</v>
      </c>
      <c r="N198">
        <v>7.9063999999999997</v>
      </c>
      <c r="S198">
        <f t="shared" si="22"/>
        <v>0</v>
      </c>
      <c r="T198">
        <f t="shared" si="23"/>
        <v>7.9063999999999997</v>
      </c>
    </row>
    <row r="199" spans="3:20">
      <c r="C199" s="48">
        <v>39710</v>
      </c>
      <c r="D199">
        <v>36.785200000000003</v>
      </c>
      <c r="F199">
        <f t="shared" si="18"/>
        <v>36.785200000000003</v>
      </c>
      <c r="H199">
        <f t="shared" si="19"/>
        <v>36.785200000000003</v>
      </c>
      <c r="J199">
        <f t="shared" si="20"/>
        <v>0</v>
      </c>
      <c r="K199">
        <f t="shared" si="21"/>
        <v>36.785200000000003</v>
      </c>
      <c r="M199" s="48">
        <v>39717</v>
      </c>
      <c r="N199">
        <v>7.7393999999999998</v>
      </c>
      <c r="S199">
        <f t="shared" si="22"/>
        <v>0</v>
      </c>
      <c r="T199">
        <f t="shared" si="23"/>
        <v>7.7393999999999998</v>
      </c>
    </row>
    <row r="200" spans="3:20">
      <c r="C200" s="48">
        <v>39717</v>
      </c>
      <c r="D200">
        <v>37.802900000000001</v>
      </c>
      <c r="F200">
        <f t="shared" si="18"/>
        <v>37.802900000000001</v>
      </c>
      <c r="H200">
        <f t="shared" si="19"/>
        <v>37.802900000000001</v>
      </c>
      <c r="J200">
        <f t="shared" si="20"/>
        <v>0</v>
      </c>
      <c r="K200">
        <f t="shared" si="21"/>
        <v>37.802900000000001</v>
      </c>
      <c r="M200" s="48">
        <v>39724</v>
      </c>
      <c r="N200">
        <v>7.3025000000000002</v>
      </c>
      <c r="S200">
        <f t="shared" si="22"/>
        <v>0</v>
      </c>
      <c r="T200">
        <f t="shared" si="23"/>
        <v>7.3025000000000002</v>
      </c>
    </row>
    <row r="201" spans="3:20">
      <c r="C201" s="48">
        <v>39724</v>
      </c>
      <c r="D201">
        <v>30.5991</v>
      </c>
      <c r="F201">
        <f t="shared" si="18"/>
        <v>30.5991</v>
      </c>
      <c r="H201">
        <f t="shared" si="19"/>
        <v>30.5991</v>
      </c>
      <c r="J201">
        <f t="shared" si="20"/>
        <v>0</v>
      </c>
      <c r="K201">
        <f t="shared" si="21"/>
        <v>30.5991</v>
      </c>
      <c r="M201" s="48">
        <v>39731</v>
      </c>
      <c r="N201">
        <v>6.6802000000000001</v>
      </c>
      <c r="S201">
        <f t="shared" si="22"/>
        <v>0</v>
      </c>
      <c r="T201">
        <f t="shared" si="23"/>
        <v>6.6802000000000001</v>
      </c>
    </row>
    <row r="202" spans="3:20">
      <c r="C202" s="48">
        <v>39731</v>
      </c>
      <c r="D202">
        <v>19.965599999999998</v>
      </c>
      <c r="F202">
        <f t="shared" si="18"/>
        <v>19.965599999999998</v>
      </c>
      <c r="H202">
        <f t="shared" si="19"/>
        <v>19.965599999999998</v>
      </c>
      <c r="J202">
        <f t="shared" si="20"/>
        <v>0</v>
      </c>
      <c r="K202">
        <f t="shared" si="21"/>
        <v>19.965599999999998</v>
      </c>
      <c r="M202" s="48">
        <v>39738</v>
      </c>
      <c r="N202">
        <v>6.6813000000000002</v>
      </c>
      <c r="S202">
        <f t="shared" si="22"/>
        <v>0</v>
      </c>
      <c r="T202">
        <f t="shared" si="23"/>
        <v>6.6813000000000002</v>
      </c>
    </row>
    <row r="203" spans="3:20">
      <c r="C203" s="48">
        <v>39738</v>
      </c>
      <c r="D203">
        <v>18.338699999999999</v>
      </c>
      <c r="F203">
        <f t="shared" si="18"/>
        <v>18.338699999999999</v>
      </c>
      <c r="H203">
        <f t="shared" si="19"/>
        <v>18.338699999999999</v>
      </c>
      <c r="J203">
        <f t="shared" si="20"/>
        <v>0</v>
      </c>
      <c r="K203">
        <f t="shared" si="21"/>
        <v>18.338699999999999</v>
      </c>
      <c r="M203" s="48">
        <v>39745</v>
      </c>
      <c r="N203">
        <v>6.7461000000000002</v>
      </c>
      <c r="S203">
        <f t="shared" si="22"/>
        <v>0</v>
      </c>
      <c r="T203">
        <f t="shared" si="23"/>
        <v>6.7461000000000002</v>
      </c>
    </row>
    <row r="204" spans="3:20">
      <c r="C204" s="48">
        <v>39745</v>
      </c>
      <c r="D204">
        <v>20.735500000000002</v>
      </c>
      <c r="F204">
        <f t="shared" si="18"/>
        <v>20.735500000000002</v>
      </c>
      <c r="H204">
        <f t="shared" si="19"/>
        <v>20.735500000000002</v>
      </c>
      <c r="J204">
        <f t="shared" si="20"/>
        <v>0</v>
      </c>
      <c r="K204">
        <f t="shared" si="21"/>
        <v>20.735500000000002</v>
      </c>
      <c r="M204" s="48">
        <v>39752</v>
      </c>
      <c r="N204">
        <v>6.4332000000000003</v>
      </c>
      <c r="S204">
        <f t="shared" si="22"/>
        <v>0</v>
      </c>
      <c r="T204">
        <f t="shared" si="23"/>
        <v>6.4332000000000003</v>
      </c>
    </row>
    <row r="205" spans="3:20">
      <c r="C205" s="48">
        <v>39752</v>
      </c>
      <c r="D205">
        <v>19.259900000000002</v>
      </c>
      <c r="F205">
        <f t="shared" si="18"/>
        <v>19.259900000000002</v>
      </c>
      <c r="H205">
        <f t="shared" si="19"/>
        <v>19.259900000000002</v>
      </c>
      <c r="J205">
        <f t="shared" si="20"/>
        <v>0</v>
      </c>
      <c r="K205">
        <f t="shared" si="21"/>
        <v>19.259900000000002</v>
      </c>
      <c r="M205" s="48">
        <v>39759</v>
      </c>
      <c r="N205">
        <v>6.7622999999999998</v>
      </c>
      <c r="S205">
        <f t="shared" si="22"/>
        <v>0</v>
      </c>
      <c r="T205">
        <f t="shared" si="23"/>
        <v>6.7622999999999998</v>
      </c>
    </row>
    <row r="206" spans="3:20">
      <c r="C206" s="48">
        <v>39759</v>
      </c>
      <c r="D206">
        <v>21.628399999999999</v>
      </c>
      <c r="F206">
        <f t="shared" si="18"/>
        <v>21.628399999999999</v>
      </c>
      <c r="H206">
        <f t="shared" si="19"/>
        <v>21.628399999999999</v>
      </c>
      <c r="J206">
        <f t="shared" si="20"/>
        <v>0</v>
      </c>
      <c r="K206">
        <f t="shared" si="21"/>
        <v>21.628399999999999</v>
      </c>
      <c r="M206" s="48">
        <v>39766</v>
      </c>
      <c r="N206">
        <v>6.6752000000000002</v>
      </c>
      <c r="S206">
        <f t="shared" si="22"/>
        <v>0</v>
      </c>
      <c r="T206">
        <f t="shared" si="23"/>
        <v>6.6752000000000002</v>
      </c>
    </row>
    <row r="207" spans="3:20">
      <c r="C207" s="48">
        <v>39766</v>
      </c>
      <c r="D207">
        <v>20.659800000000001</v>
      </c>
      <c r="F207">
        <f t="shared" si="18"/>
        <v>20.659800000000001</v>
      </c>
      <c r="H207">
        <f t="shared" si="19"/>
        <v>20.659800000000001</v>
      </c>
      <c r="J207">
        <f t="shared" si="20"/>
        <v>0</v>
      </c>
      <c r="K207">
        <f t="shared" si="21"/>
        <v>20.659800000000001</v>
      </c>
      <c r="M207" s="48">
        <v>39773</v>
      </c>
      <c r="N207">
        <v>6.6746999999999996</v>
      </c>
      <c r="S207">
        <f t="shared" si="22"/>
        <v>0</v>
      </c>
      <c r="T207">
        <f t="shared" si="23"/>
        <v>6.6746999999999996</v>
      </c>
    </row>
    <row r="208" spans="3:20">
      <c r="C208" s="48">
        <v>39773</v>
      </c>
      <c r="D208">
        <v>17.483599999999999</v>
      </c>
      <c r="F208">
        <f t="shared" si="18"/>
        <v>17.483599999999999</v>
      </c>
      <c r="H208">
        <f t="shared" si="19"/>
        <v>17.483599999999999</v>
      </c>
      <c r="J208">
        <f t="shared" si="20"/>
        <v>0</v>
      </c>
      <c r="K208">
        <f t="shared" si="21"/>
        <v>17.483599999999999</v>
      </c>
      <c r="M208" s="48">
        <v>39780</v>
      </c>
      <c r="N208">
        <v>6.6611000000000002</v>
      </c>
      <c r="S208">
        <f t="shared" si="22"/>
        <v>0</v>
      </c>
      <c r="T208">
        <f t="shared" si="23"/>
        <v>6.6611000000000002</v>
      </c>
    </row>
    <row r="209" spans="3:20">
      <c r="C209" s="48">
        <v>39780</v>
      </c>
      <c r="D209">
        <v>17.479800000000001</v>
      </c>
      <c r="F209">
        <f t="shared" si="18"/>
        <v>17.479800000000001</v>
      </c>
      <c r="H209">
        <f t="shared" si="19"/>
        <v>17.479800000000001</v>
      </c>
      <c r="J209">
        <f t="shared" si="20"/>
        <v>0</v>
      </c>
      <c r="K209">
        <f t="shared" si="21"/>
        <v>17.479800000000001</v>
      </c>
      <c r="M209" s="48">
        <v>39787</v>
      </c>
      <c r="N209">
        <v>6.4379999999999997</v>
      </c>
      <c r="S209">
        <f t="shared" si="22"/>
        <v>0</v>
      </c>
      <c r="T209">
        <f t="shared" si="23"/>
        <v>6.4379999999999997</v>
      </c>
    </row>
    <row r="210" spans="3:20">
      <c r="C210" s="48">
        <v>39787</v>
      </c>
      <c r="D210">
        <v>12.582100000000001</v>
      </c>
      <c r="F210">
        <f t="shared" si="18"/>
        <v>12.582100000000001</v>
      </c>
      <c r="H210">
        <f t="shared" si="19"/>
        <v>12.582100000000001</v>
      </c>
      <c r="J210">
        <f t="shared" si="20"/>
        <v>0</v>
      </c>
      <c r="K210">
        <f t="shared" si="21"/>
        <v>12.582100000000001</v>
      </c>
      <c r="M210" s="48">
        <v>39794</v>
      </c>
      <c r="N210">
        <v>5.6798999999999999</v>
      </c>
      <c r="S210">
        <f t="shared" si="22"/>
        <v>0</v>
      </c>
      <c r="T210">
        <f t="shared" si="23"/>
        <v>5.6798999999999999</v>
      </c>
    </row>
    <row r="211" spans="3:20">
      <c r="C211" s="48">
        <v>39794</v>
      </c>
      <c r="D211">
        <v>15.0565</v>
      </c>
      <c r="F211">
        <f t="shared" si="18"/>
        <v>15.0565</v>
      </c>
      <c r="H211">
        <f t="shared" si="19"/>
        <v>15.0565</v>
      </c>
      <c r="J211">
        <f t="shared" si="20"/>
        <v>0</v>
      </c>
      <c r="K211">
        <f t="shared" si="21"/>
        <v>15.0565</v>
      </c>
      <c r="M211" s="48">
        <v>39801</v>
      </c>
      <c r="N211">
        <v>5.7179000000000002</v>
      </c>
      <c r="S211">
        <f t="shared" si="22"/>
        <v>0</v>
      </c>
      <c r="T211">
        <f t="shared" si="23"/>
        <v>5.7179000000000002</v>
      </c>
    </row>
    <row r="212" spans="3:20">
      <c r="C212" s="48">
        <v>39801</v>
      </c>
      <c r="D212">
        <v>15.077299999999999</v>
      </c>
      <c r="F212">
        <f t="shared" si="18"/>
        <v>15.077299999999999</v>
      </c>
      <c r="H212">
        <f t="shared" si="19"/>
        <v>15.077299999999999</v>
      </c>
      <c r="J212">
        <f t="shared" si="20"/>
        <v>0</v>
      </c>
      <c r="K212">
        <f t="shared" si="21"/>
        <v>15.077299999999999</v>
      </c>
      <c r="M212" s="48">
        <v>39808</v>
      </c>
      <c r="N212">
        <v>5.3994999999999997</v>
      </c>
      <c r="S212">
        <f t="shared" si="22"/>
        <v>0</v>
      </c>
      <c r="T212">
        <f t="shared" si="23"/>
        <v>5.3994999999999997</v>
      </c>
    </row>
    <row r="213" spans="3:20">
      <c r="C213" s="48">
        <v>39808</v>
      </c>
      <c r="D213">
        <v>14.528700000000001</v>
      </c>
      <c r="F213">
        <f t="shared" si="18"/>
        <v>14.528700000000001</v>
      </c>
      <c r="H213">
        <f t="shared" si="19"/>
        <v>14.528700000000001</v>
      </c>
      <c r="J213">
        <f t="shared" si="20"/>
        <v>0</v>
      </c>
      <c r="K213">
        <f t="shared" si="21"/>
        <v>14.528700000000001</v>
      </c>
      <c r="M213" s="48">
        <v>39815</v>
      </c>
      <c r="N213">
        <v>5.64</v>
      </c>
      <c r="S213">
        <f t="shared" si="22"/>
        <v>0</v>
      </c>
      <c r="T213">
        <f t="shared" si="23"/>
        <v>5.64</v>
      </c>
    </row>
    <row r="214" spans="3:20">
      <c r="C214" s="48">
        <v>39815</v>
      </c>
      <c r="D214">
        <v>15.2972</v>
      </c>
      <c r="F214">
        <f t="shared" si="18"/>
        <v>15.2972</v>
      </c>
      <c r="H214">
        <f t="shared" si="19"/>
        <v>15.2972</v>
      </c>
      <c r="J214">
        <f t="shared" si="20"/>
        <v>0</v>
      </c>
      <c r="K214">
        <f t="shared" si="21"/>
        <v>15.2972</v>
      </c>
      <c r="M214" s="48">
        <v>39822</v>
      </c>
      <c r="N214">
        <v>5.8773</v>
      </c>
      <c r="S214">
        <f t="shared" si="22"/>
        <v>0</v>
      </c>
      <c r="T214">
        <f t="shared" si="23"/>
        <v>5.8773</v>
      </c>
    </row>
    <row r="215" spans="3:20">
      <c r="C215" s="48">
        <v>39822</v>
      </c>
      <c r="D215">
        <v>16.988</v>
      </c>
      <c r="F215">
        <f t="shared" si="18"/>
        <v>16.988</v>
      </c>
      <c r="H215">
        <f t="shared" si="19"/>
        <v>16.988</v>
      </c>
      <c r="J215">
        <f t="shared" si="20"/>
        <v>0</v>
      </c>
      <c r="K215">
        <f t="shared" si="21"/>
        <v>16.988</v>
      </c>
      <c r="M215" s="48">
        <v>39829</v>
      </c>
      <c r="N215">
        <v>5.4226000000000001</v>
      </c>
      <c r="S215">
        <f t="shared" si="22"/>
        <v>0</v>
      </c>
      <c r="T215">
        <f t="shared" si="23"/>
        <v>5.4226000000000001</v>
      </c>
    </row>
    <row r="216" spans="3:20">
      <c r="C216" s="48">
        <v>39829</v>
      </c>
      <c r="D216">
        <v>14.8124</v>
      </c>
      <c r="F216">
        <f t="shared" si="18"/>
        <v>14.8124</v>
      </c>
      <c r="H216">
        <f t="shared" si="19"/>
        <v>14.8124</v>
      </c>
      <c r="J216">
        <f t="shared" si="20"/>
        <v>0</v>
      </c>
      <c r="K216">
        <f t="shared" si="21"/>
        <v>14.8124</v>
      </c>
      <c r="M216" s="48">
        <v>39836</v>
      </c>
      <c r="N216">
        <v>4.7972999999999999</v>
      </c>
      <c r="S216">
        <f t="shared" si="22"/>
        <v>0</v>
      </c>
      <c r="T216">
        <f t="shared" si="23"/>
        <v>4.7972999999999999</v>
      </c>
    </row>
    <row r="217" spans="3:20">
      <c r="C217" s="48">
        <v>39836</v>
      </c>
      <c r="D217">
        <v>13.7081</v>
      </c>
      <c r="F217">
        <f t="shared" si="18"/>
        <v>13.7081</v>
      </c>
      <c r="H217">
        <f t="shared" si="19"/>
        <v>13.7081</v>
      </c>
      <c r="J217">
        <f t="shared" si="20"/>
        <v>0</v>
      </c>
      <c r="K217">
        <f t="shared" si="21"/>
        <v>13.7081</v>
      </c>
      <c r="M217" s="48">
        <v>39843</v>
      </c>
      <c r="N217">
        <v>4.7389999999999999</v>
      </c>
      <c r="S217">
        <f t="shared" si="22"/>
        <v>0</v>
      </c>
      <c r="T217">
        <f t="shared" si="23"/>
        <v>4.7389999999999999</v>
      </c>
    </row>
    <row r="218" spans="3:20">
      <c r="C218" s="48">
        <v>39843</v>
      </c>
      <c r="D218">
        <v>15.266500000000001</v>
      </c>
      <c r="F218">
        <f t="shared" si="18"/>
        <v>15.266500000000001</v>
      </c>
      <c r="H218">
        <f t="shared" si="19"/>
        <v>15.266500000000001</v>
      </c>
      <c r="J218">
        <f t="shared" si="20"/>
        <v>0</v>
      </c>
      <c r="K218">
        <f t="shared" si="21"/>
        <v>15.266500000000001</v>
      </c>
      <c r="M218" s="48">
        <v>39850</v>
      </c>
      <c r="N218">
        <v>4.8085000000000004</v>
      </c>
      <c r="S218">
        <f t="shared" si="22"/>
        <v>0</v>
      </c>
      <c r="T218">
        <f t="shared" si="23"/>
        <v>4.8085000000000004</v>
      </c>
    </row>
    <row r="219" spans="3:20">
      <c r="C219" s="48">
        <v>39850</v>
      </c>
      <c r="D219">
        <v>16.142299999999999</v>
      </c>
      <c r="F219">
        <f t="shared" si="18"/>
        <v>16.142299999999999</v>
      </c>
      <c r="H219">
        <f t="shared" si="19"/>
        <v>16.142299999999999</v>
      </c>
      <c r="J219">
        <f t="shared" si="20"/>
        <v>0</v>
      </c>
      <c r="K219">
        <f t="shared" si="21"/>
        <v>16.142299999999999</v>
      </c>
      <c r="M219" s="48">
        <v>39857</v>
      </c>
      <c r="N219">
        <v>4.7211999999999996</v>
      </c>
      <c r="S219">
        <f t="shared" si="22"/>
        <v>0</v>
      </c>
      <c r="T219">
        <f t="shared" si="23"/>
        <v>4.7211999999999996</v>
      </c>
    </row>
    <row r="220" spans="3:20">
      <c r="C220" s="48">
        <v>39857</v>
      </c>
      <c r="D220">
        <v>17.388999999999999</v>
      </c>
      <c r="F220">
        <f t="shared" si="18"/>
        <v>17.388999999999999</v>
      </c>
      <c r="H220">
        <f t="shared" si="19"/>
        <v>17.388999999999999</v>
      </c>
      <c r="J220">
        <f t="shared" si="20"/>
        <v>0</v>
      </c>
      <c r="K220">
        <f t="shared" si="21"/>
        <v>17.388999999999999</v>
      </c>
      <c r="M220" s="48">
        <v>39864</v>
      </c>
      <c r="N220">
        <v>4.3434999999999997</v>
      </c>
      <c r="S220">
        <f t="shared" si="22"/>
        <v>0</v>
      </c>
      <c r="T220">
        <f t="shared" si="23"/>
        <v>4.3434999999999997</v>
      </c>
    </row>
    <row r="221" spans="3:20">
      <c r="C221" s="48">
        <v>39864</v>
      </c>
      <c r="D221">
        <v>15.588100000000001</v>
      </c>
      <c r="F221">
        <f t="shared" si="18"/>
        <v>15.588100000000001</v>
      </c>
      <c r="H221">
        <f t="shared" si="19"/>
        <v>15.588100000000001</v>
      </c>
      <c r="J221">
        <f t="shared" si="20"/>
        <v>0</v>
      </c>
      <c r="K221">
        <f t="shared" si="21"/>
        <v>15.588100000000001</v>
      </c>
      <c r="M221" s="48">
        <v>39871</v>
      </c>
      <c r="N221">
        <v>4.1520000000000001</v>
      </c>
      <c r="S221">
        <f t="shared" si="22"/>
        <v>0</v>
      </c>
      <c r="T221">
        <f t="shared" si="23"/>
        <v>4.1520000000000001</v>
      </c>
    </row>
    <row r="222" spans="3:20">
      <c r="C222" s="48">
        <v>39871</v>
      </c>
      <c r="D222">
        <v>14.6706</v>
      </c>
      <c r="F222">
        <f t="shared" si="18"/>
        <v>14.6706</v>
      </c>
      <c r="H222">
        <f t="shared" si="19"/>
        <v>14.6706</v>
      </c>
      <c r="J222">
        <f t="shared" si="20"/>
        <v>0</v>
      </c>
      <c r="K222">
        <f t="shared" si="21"/>
        <v>14.6706</v>
      </c>
      <c r="M222" s="48">
        <v>39878</v>
      </c>
      <c r="N222">
        <v>4.2313999999999998</v>
      </c>
      <c r="S222">
        <f t="shared" si="22"/>
        <v>0</v>
      </c>
      <c r="T222">
        <f t="shared" si="23"/>
        <v>4.2313999999999998</v>
      </c>
    </row>
    <row r="223" spans="3:20">
      <c r="C223" s="48">
        <v>39878</v>
      </c>
      <c r="D223">
        <v>13.386100000000001</v>
      </c>
      <c r="F223">
        <f t="shared" si="18"/>
        <v>13.386100000000001</v>
      </c>
      <c r="H223">
        <f t="shared" si="19"/>
        <v>13.386100000000001</v>
      </c>
      <c r="J223">
        <f t="shared" si="20"/>
        <v>0</v>
      </c>
      <c r="K223">
        <f t="shared" si="21"/>
        <v>13.386100000000001</v>
      </c>
      <c r="M223" s="48">
        <v>39885</v>
      </c>
      <c r="N223">
        <v>3.8849999999999998</v>
      </c>
      <c r="S223">
        <f t="shared" si="22"/>
        <v>0</v>
      </c>
      <c r="T223">
        <f t="shared" si="23"/>
        <v>3.8849999999999998</v>
      </c>
    </row>
    <row r="224" spans="3:20">
      <c r="C224" s="48">
        <v>39885</v>
      </c>
      <c r="D224">
        <v>14.3414</v>
      </c>
      <c r="F224">
        <f t="shared" si="18"/>
        <v>14.3414</v>
      </c>
      <c r="H224">
        <f t="shared" si="19"/>
        <v>14.3414</v>
      </c>
      <c r="J224">
        <f t="shared" si="20"/>
        <v>0</v>
      </c>
      <c r="K224">
        <f t="shared" si="21"/>
        <v>14.3414</v>
      </c>
      <c r="M224" s="48">
        <v>39892</v>
      </c>
      <c r="N224">
        <v>3.7955000000000001</v>
      </c>
      <c r="S224">
        <f t="shared" si="22"/>
        <v>0</v>
      </c>
      <c r="T224">
        <f t="shared" si="23"/>
        <v>3.7955000000000001</v>
      </c>
    </row>
    <row r="225" spans="3:20">
      <c r="C225" s="48">
        <v>39892</v>
      </c>
      <c r="D225">
        <v>16.2653</v>
      </c>
      <c r="F225">
        <f t="shared" si="18"/>
        <v>16.2653</v>
      </c>
      <c r="H225">
        <f t="shared" si="19"/>
        <v>16.2653</v>
      </c>
      <c r="J225">
        <f t="shared" si="20"/>
        <v>0</v>
      </c>
      <c r="K225">
        <f t="shared" si="21"/>
        <v>16.2653</v>
      </c>
      <c r="M225" s="48">
        <v>39899</v>
      </c>
      <c r="N225">
        <v>4.0646000000000004</v>
      </c>
      <c r="S225">
        <f t="shared" si="22"/>
        <v>0</v>
      </c>
      <c r="T225">
        <f t="shared" si="23"/>
        <v>4.0646000000000004</v>
      </c>
    </row>
    <row r="226" spans="3:20">
      <c r="C226" s="48">
        <v>39899</v>
      </c>
      <c r="D226">
        <v>18.0871</v>
      </c>
      <c r="F226">
        <f t="shared" si="18"/>
        <v>18.0871</v>
      </c>
      <c r="H226">
        <f t="shared" si="19"/>
        <v>18.0871</v>
      </c>
      <c r="J226">
        <f t="shared" si="20"/>
        <v>0</v>
      </c>
      <c r="K226">
        <f t="shared" si="21"/>
        <v>18.0871</v>
      </c>
      <c r="M226" s="48">
        <v>39906</v>
      </c>
      <c r="N226">
        <v>3.6268000000000002</v>
      </c>
      <c r="S226">
        <f t="shared" si="22"/>
        <v>0</v>
      </c>
      <c r="T226">
        <f t="shared" si="23"/>
        <v>3.6268000000000002</v>
      </c>
    </row>
    <row r="227" spans="3:20">
      <c r="C227" s="48">
        <v>39906</v>
      </c>
      <c r="D227">
        <v>17.186599999999999</v>
      </c>
      <c r="F227">
        <f t="shared" si="18"/>
        <v>17.186599999999999</v>
      </c>
      <c r="H227">
        <f t="shared" si="19"/>
        <v>17.186599999999999</v>
      </c>
      <c r="J227">
        <f t="shared" si="20"/>
        <v>0</v>
      </c>
      <c r="K227">
        <f t="shared" si="21"/>
        <v>17.186599999999999</v>
      </c>
      <c r="M227" s="48">
        <v>39913</v>
      </c>
      <c r="N227">
        <v>3.6059000000000001</v>
      </c>
      <c r="S227">
        <f t="shared" si="22"/>
        <v>0</v>
      </c>
      <c r="T227">
        <f t="shared" si="23"/>
        <v>3.6059000000000001</v>
      </c>
    </row>
    <row r="228" spans="3:20">
      <c r="C228" s="48">
        <v>39913</v>
      </c>
      <c r="D228">
        <v>18.5794</v>
      </c>
      <c r="F228">
        <f t="shared" si="18"/>
        <v>18.5794</v>
      </c>
      <c r="H228">
        <f t="shared" si="19"/>
        <v>18.5794</v>
      </c>
      <c r="J228">
        <f t="shared" si="20"/>
        <v>0</v>
      </c>
      <c r="K228">
        <f t="shared" si="21"/>
        <v>18.5794</v>
      </c>
      <c r="M228" s="48">
        <v>39920</v>
      </c>
      <c r="N228">
        <v>3.532</v>
      </c>
      <c r="S228">
        <f t="shared" si="22"/>
        <v>0</v>
      </c>
      <c r="T228">
        <f t="shared" si="23"/>
        <v>3.532</v>
      </c>
    </row>
    <row r="229" spans="3:20">
      <c r="C229" s="48">
        <v>39920</v>
      </c>
      <c r="D229">
        <v>19.9069</v>
      </c>
      <c r="F229">
        <f t="shared" si="18"/>
        <v>19.9069</v>
      </c>
      <c r="H229">
        <f t="shared" si="19"/>
        <v>19.9069</v>
      </c>
      <c r="J229">
        <f t="shared" si="20"/>
        <v>0</v>
      </c>
      <c r="K229">
        <f t="shared" si="21"/>
        <v>19.9069</v>
      </c>
      <c r="M229" s="48">
        <v>39927</v>
      </c>
      <c r="N229">
        <v>3.4445999999999999</v>
      </c>
      <c r="S229">
        <f t="shared" si="22"/>
        <v>0</v>
      </c>
      <c r="T229">
        <f t="shared" si="23"/>
        <v>3.4445999999999999</v>
      </c>
    </row>
    <row r="230" spans="3:20">
      <c r="C230" s="48">
        <v>39927</v>
      </c>
      <c r="D230">
        <v>18.796500000000002</v>
      </c>
      <c r="F230">
        <f t="shared" si="18"/>
        <v>18.796500000000002</v>
      </c>
      <c r="H230">
        <f t="shared" si="19"/>
        <v>18.796500000000002</v>
      </c>
      <c r="J230">
        <f t="shared" si="20"/>
        <v>0</v>
      </c>
      <c r="K230">
        <f t="shared" si="21"/>
        <v>18.796500000000002</v>
      </c>
      <c r="M230" s="48">
        <v>39934</v>
      </c>
      <c r="N230">
        <v>3.2913999999999999</v>
      </c>
      <c r="S230">
        <f t="shared" si="22"/>
        <v>0</v>
      </c>
      <c r="T230">
        <f t="shared" si="23"/>
        <v>3.2913999999999999</v>
      </c>
    </row>
    <row r="231" spans="3:20">
      <c r="C231" s="48">
        <v>39934</v>
      </c>
      <c r="D231">
        <v>19.053699999999999</v>
      </c>
      <c r="F231">
        <f t="shared" si="18"/>
        <v>19.053699999999999</v>
      </c>
      <c r="H231">
        <f t="shared" si="19"/>
        <v>19.053699999999999</v>
      </c>
      <c r="J231">
        <f t="shared" si="20"/>
        <v>0</v>
      </c>
      <c r="K231">
        <f t="shared" si="21"/>
        <v>19.053699999999999</v>
      </c>
      <c r="M231" s="48">
        <v>39941</v>
      </c>
      <c r="N231">
        <v>3.7753999999999999</v>
      </c>
      <c r="S231">
        <f t="shared" si="22"/>
        <v>0</v>
      </c>
      <c r="T231">
        <f t="shared" si="23"/>
        <v>3.7753999999999999</v>
      </c>
    </row>
    <row r="232" spans="3:20">
      <c r="C232" s="48">
        <v>39941</v>
      </c>
      <c r="D232">
        <v>20.879300000000001</v>
      </c>
      <c r="F232">
        <f t="shared" si="18"/>
        <v>20.879300000000001</v>
      </c>
      <c r="H232">
        <f t="shared" si="19"/>
        <v>20.879300000000001</v>
      </c>
      <c r="J232">
        <f t="shared" si="20"/>
        <v>0</v>
      </c>
      <c r="K232">
        <f t="shared" si="21"/>
        <v>20.879300000000001</v>
      </c>
      <c r="M232" s="48">
        <v>39948</v>
      </c>
      <c r="N232">
        <v>4.2430000000000003</v>
      </c>
      <c r="S232">
        <f t="shared" si="22"/>
        <v>0</v>
      </c>
      <c r="T232">
        <f t="shared" si="23"/>
        <v>4.2430000000000003</v>
      </c>
    </row>
    <row r="233" spans="3:20">
      <c r="C233" s="48">
        <v>39948</v>
      </c>
      <c r="D233">
        <v>19.9939</v>
      </c>
      <c r="F233">
        <f t="shared" si="18"/>
        <v>19.9939</v>
      </c>
      <c r="H233">
        <f t="shared" si="19"/>
        <v>19.9939</v>
      </c>
      <c r="J233">
        <f t="shared" si="20"/>
        <v>0</v>
      </c>
      <c r="K233">
        <f t="shared" si="21"/>
        <v>19.9939</v>
      </c>
      <c r="M233" s="48">
        <v>39955</v>
      </c>
      <c r="N233">
        <v>3.7869000000000002</v>
      </c>
      <c r="S233">
        <f t="shared" si="22"/>
        <v>0</v>
      </c>
      <c r="T233">
        <f t="shared" si="23"/>
        <v>3.7869000000000002</v>
      </c>
    </row>
    <row r="234" spans="3:20">
      <c r="C234" s="48">
        <v>39955</v>
      </c>
      <c r="D234">
        <v>20.067699999999999</v>
      </c>
      <c r="F234">
        <f t="shared" si="18"/>
        <v>20.067699999999999</v>
      </c>
      <c r="H234">
        <f t="shared" si="19"/>
        <v>20.067699999999999</v>
      </c>
      <c r="J234">
        <f t="shared" si="20"/>
        <v>0</v>
      </c>
      <c r="K234">
        <f t="shared" si="21"/>
        <v>20.067699999999999</v>
      </c>
      <c r="M234" s="48">
        <v>39962</v>
      </c>
      <c r="N234">
        <v>3.5781999999999998</v>
      </c>
      <c r="S234">
        <f t="shared" si="22"/>
        <v>0</v>
      </c>
      <c r="T234">
        <f t="shared" si="23"/>
        <v>3.5781999999999998</v>
      </c>
    </row>
    <row r="235" spans="3:20">
      <c r="C235" s="48">
        <v>39962</v>
      </c>
      <c r="D235">
        <v>20.501899999999999</v>
      </c>
      <c r="F235">
        <f t="shared" si="18"/>
        <v>20.501899999999999</v>
      </c>
      <c r="H235">
        <f t="shared" si="19"/>
        <v>20.501899999999999</v>
      </c>
      <c r="J235">
        <f t="shared" si="20"/>
        <v>0</v>
      </c>
      <c r="K235">
        <f t="shared" si="21"/>
        <v>20.501899999999999</v>
      </c>
      <c r="M235" s="48">
        <v>39969</v>
      </c>
      <c r="N235">
        <v>3.7645999999999997</v>
      </c>
      <c r="S235">
        <f t="shared" si="22"/>
        <v>0</v>
      </c>
      <c r="T235">
        <f t="shared" si="23"/>
        <v>3.7645999999999997</v>
      </c>
    </row>
    <row r="236" spans="3:20">
      <c r="C236" s="48">
        <v>39969</v>
      </c>
      <c r="D236">
        <v>22.317</v>
      </c>
      <c r="F236">
        <f t="shared" si="18"/>
        <v>22.317</v>
      </c>
      <c r="H236">
        <f t="shared" si="19"/>
        <v>22.317</v>
      </c>
      <c r="J236">
        <f t="shared" si="20"/>
        <v>0</v>
      </c>
      <c r="K236">
        <f t="shared" si="21"/>
        <v>22.317</v>
      </c>
      <c r="M236" s="48">
        <v>39976</v>
      </c>
      <c r="N236">
        <v>3.5345</v>
      </c>
      <c r="S236">
        <f t="shared" si="22"/>
        <v>0</v>
      </c>
      <c r="T236">
        <f t="shared" si="23"/>
        <v>3.5345</v>
      </c>
    </row>
    <row r="237" spans="3:20">
      <c r="C237" s="48">
        <v>39976</v>
      </c>
      <c r="D237">
        <v>22.298100000000002</v>
      </c>
      <c r="F237">
        <f t="shared" si="18"/>
        <v>22.298100000000002</v>
      </c>
      <c r="H237">
        <f t="shared" si="19"/>
        <v>22.298100000000002</v>
      </c>
      <c r="J237">
        <f t="shared" si="20"/>
        <v>0</v>
      </c>
      <c r="K237">
        <f t="shared" si="21"/>
        <v>22.298100000000002</v>
      </c>
      <c r="M237" s="48">
        <v>39983</v>
      </c>
      <c r="N237">
        <v>4.0340999999999996</v>
      </c>
      <c r="S237">
        <f t="shared" si="22"/>
        <v>0</v>
      </c>
      <c r="T237">
        <f t="shared" si="23"/>
        <v>4.0340999999999996</v>
      </c>
    </row>
    <row r="238" spans="3:20">
      <c r="C238" s="48">
        <v>39983</v>
      </c>
      <c r="D238">
        <v>20.8963</v>
      </c>
      <c r="F238">
        <f t="shared" si="18"/>
        <v>20.8963</v>
      </c>
      <c r="H238">
        <f t="shared" si="19"/>
        <v>20.8963</v>
      </c>
      <c r="J238">
        <f t="shared" si="20"/>
        <v>0</v>
      </c>
      <c r="K238">
        <f t="shared" si="21"/>
        <v>20.8963</v>
      </c>
      <c r="M238" s="48">
        <v>39990</v>
      </c>
      <c r="N238">
        <v>3.8693999999999997</v>
      </c>
      <c r="S238">
        <f t="shared" si="22"/>
        <v>0</v>
      </c>
      <c r="T238">
        <f t="shared" si="23"/>
        <v>3.8693999999999997</v>
      </c>
    </row>
    <row r="239" spans="3:20">
      <c r="C239" s="48">
        <v>39990</v>
      </c>
      <c r="D239">
        <v>18.433299999999999</v>
      </c>
      <c r="F239">
        <f t="shared" si="18"/>
        <v>18.433299999999999</v>
      </c>
      <c r="H239">
        <f t="shared" si="19"/>
        <v>18.433299999999999</v>
      </c>
      <c r="J239">
        <f t="shared" si="20"/>
        <v>0</v>
      </c>
      <c r="K239">
        <f t="shared" si="21"/>
        <v>18.433299999999999</v>
      </c>
      <c r="M239" s="48">
        <v>39997</v>
      </c>
      <c r="N239">
        <v>3.6789000000000001</v>
      </c>
      <c r="S239">
        <f t="shared" si="22"/>
        <v>0</v>
      </c>
      <c r="T239">
        <f t="shared" si="23"/>
        <v>3.6789000000000001</v>
      </c>
    </row>
    <row r="240" spans="3:20">
      <c r="C240" s="48">
        <v>39997</v>
      </c>
      <c r="D240">
        <v>18.359500000000001</v>
      </c>
      <c r="F240">
        <f t="shared" si="18"/>
        <v>18.359500000000001</v>
      </c>
      <c r="H240">
        <f t="shared" si="19"/>
        <v>18.359500000000001</v>
      </c>
      <c r="J240">
        <f t="shared" si="20"/>
        <v>0</v>
      </c>
      <c r="K240">
        <f t="shared" si="21"/>
        <v>18.359500000000001</v>
      </c>
      <c r="M240" s="48">
        <v>40004</v>
      </c>
      <c r="N240">
        <v>3.2719</v>
      </c>
      <c r="S240">
        <f t="shared" si="22"/>
        <v>0</v>
      </c>
      <c r="T240">
        <f t="shared" si="23"/>
        <v>3.2719</v>
      </c>
    </row>
    <row r="241" spans="3:20">
      <c r="C241" s="48">
        <v>40004</v>
      </c>
      <c r="D241">
        <v>16.779900000000001</v>
      </c>
      <c r="F241">
        <f t="shared" si="18"/>
        <v>16.779900000000001</v>
      </c>
      <c r="H241">
        <f t="shared" si="19"/>
        <v>16.779900000000001</v>
      </c>
      <c r="J241">
        <f t="shared" si="20"/>
        <v>0</v>
      </c>
      <c r="K241">
        <f t="shared" si="21"/>
        <v>16.779900000000001</v>
      </c>
      <c r="M241" s="48">
        <v>40011</v>
      </c>
      <c r="N241">
        <v>3.2875000000000001</v>
      </c>
      <c r="S241">
        <f t="shared" si="22"/>
        <v>0</v>
      </c>
      <c r="T241">
        <f t="shared" si="23"/>
        <v>3.2875000000000001</v>
      </c>
    </row>
    <row r="242" spans="3:20">
      <c r="C242" s="48">
        <v>40011</v>
      </c>
      <c r="D242">
        <v>18.128699999999998</v>
      </c>
      <c r="F242">
        <f t="shared" si="18"/>
        <v>18.128699999999998</v>
      </c>
      <c r="H242">
        <f t="shared" si="19"/>
        <v>18.128699999999998</v>
      </c>
      <c r="J242">
        <f t="shared" si="20"/>
        <v>0</v>
      </c>
      <c r="K242">
        <f t="shared" si="21"/>
        <v>18.128699999999998</v>
      </c>
      <c r="M242" s="48">
        <v>40018</v>
      </c>
      <c r="N242">
        <v>3.4967000000000001</v>
      </c>
      <c r="S242">
        <f t="shared" si="22"/>
        <v>0</v>
      </c>
      <c r="T242">
        <f t="shared" si="23"/>
        <v>3.4967000000000001</v>
      </c>
    </row>
    <row r="243" spans="3:20">
      <c r="C243" s="48">
        <v>40018</v>
      </c>
      <c r="D243">
        <v>19.621300000000002</v>
      </c>
      <c r="F243">
        <f t="shared" si="18"/>
        <v>19.621300000000002</v>
      </c>
      <c r="H243">
        <f t="shared" si="19"/>
        <v>19.621300000000002</v>
      </c>
      <c r="J243">
        <f t="shared" si="20"/>
        <v>0</v>
      </c>
      <c r="K243">
        <f t="shared" si="21"/>
        <v>19.621300000000002</v>
      </c>
      <c r="M243" s="48">
        <v>40025</v>
      </c>
      <c r="N243">
        <v>3.4077999999999999</v>
      </c>
      <c r="S243">
        <f t="shared" si="22"/>
        <v>0</v>
      </c>
      <c r="T243">
        <f t="shared" si="23"/>
        <v>3.4077999999999999</v>
      </c>
    </row>
    <row r="244" spans="3:20">
      <c r="C244" s="48">
        <v>40025</v>
      </c>
      <c r="D244">
        <v>20.027999999999999</v>
      </c>
      <c r="F244">
        <f t="shared" si="18"/>
        <v>20.027999999999999</v>
      </c>
      <c r="H244">
        <f t="shared" si="19"/>
        <v>20.027999999999999</v>
      </c>
      <c r="J244">
        <f t="shared" si="20"/>
        <v>0</v>
      </c>
      <c r="K244">
        <f t="shared" si="21"/>
        <v>20.027999999999999</v>
      </c>
      <c r="M244" s="48">
        <v>40032</v>
      </c>
      <c r="N244">
        <v>3.5819999999999999</v>
      </c>
      <c r="S244">
        <f t="shared" si="22"/>
        <v>0</v>
      </c>
      <c r="T244">
        <f t="shared" si="23"/>
        <v>3.5819999999999999</v>
      </c>
    </row>
    <row r="245" spans="3:20">
      <c r="C245" s="48">
        <v>40032</v>
      </c>
      <c r="D245">
        <v>22.288599999999999</v>
      </c>
      <c r="F245">
        <f t="shared" si="18"/>
        <v>22.288599999999999</v>
      </c>
      <c r="H245">
        <f t="shared" si="19"/>
        <v>22.288599999999999</v>
      </c>
      <c r="J245">
        <f t="shared" si="20"/>
        <v>0</v>
      </c>
      <c r="K245">
        <f t="shared" si="21"/>
        <v>22.288599999999999</v>
      </c>
      <c r="M245" s="48">
        <v>40039</v>
      </c>
      <c r="N245">
        <v>3.3944999999999999</v>
      </c>
      <c r="S245">
        <f t="shared" si="22"/>
        <v>0</v>
      </c>
      <c r="T245">
        <f t="shared" si="23"/>
        <v>3.3944999999999999</v>
      </c>
    </row>
    <row r="246" spans="3:20">
      <c r="C246" s="48">
        <v>40039</v>
      </c>
      <c r="D246">
        <v>22.695399999999999</v>
      </c>
      <c r="F246">
        <f t="shared" si="18"/>
        <v>22.695399999999999</v>
      </c>
      <c r="H246">
        <f t="shared" si="19"/>
        <v>22.695399999999999</v>
      </c>
      <c r="J246">
        <f t="shared" si="20"/>
        <v>0</v>
      </c>
      <c r="K246">
        <f t="shared" si="21"/>
        <v>22.695399999999999</v>
      </c>
      <c r="M246" s="48">
        <v>40046</v>
      </c>
      <c r="N246">
        <v>3.0124</v>
      </c>
      <c r="S246">
        <f t="shared" si="22"/>
        <v>0</v>
      </c>
      <c r="T246">
        <f t="shared" si="23"/>
        <v>3.0124</v>
      </c>
    </row>
    <row r="247" spans="3:20">
      <c r="C247" s="48">
        <v>40046</v>
      </c>
      <c r="D247">
        <v>21.677599999999998</v>
      </c>
      <c r="F247">
        <f t="shared" si="18"/>
        <v>21.677599999999998</v>
      </c>
      <c r="H247">
        <f t="shared" si="19"/>
        <v>21.677599999999998</v>
      </c>
      <c r="J247">
        <f t="shared" si="20"/>
        <v>0</v>
      </c>
      <c r="K247">
        <f t="shared" si="21"/>
        <v>21.677599999999998</v>
      </c>
      <c r="M247" s="48">
        <v>40053</v>
      </c>
      <c r="N247">
        <v>2.7176999999999998</v>
      </c>
      <c r="S247">
        <f t="shared" si="22"/>
        <v>0</v>
      </c>
      <c r="T247">
        <f t="shared" si="23"/>
        <v>2.7176999999999998</v>
      </c>
    </row>
    <row r="248" spans="3:20">
      <c r="C248" s="48">
        <v>40053</v>
      </c>
      <c r="D248">
        <v>22.2073</v>
      </c>
      <c r="F248">
        <f t="shared" si="18"/>
        <v>22.2073</v>
      </c>
      <c r="H248">
        <f t="shared" si="19"/>
        <v>22.2073</v>
      </c>
      <c r="J248">
        <f t="shared" si="20"/>
        <v>0</v>
      </c>
      <c r="K248">
        <f t="shared" si="21"/>
        <v>22.2073</v>
      </c>
      <c r="M248" s="48">
        <v>40060</v>
      </c>
      <c r="N248">
        <v>2.1823999999999999</v>
      </c>
      <c r="S248">
        <f t="shared" si="22"/>
        <v>0</v>
      </c>
      <c r="T248">
        <f t="shared" si="23"/>
        <v>2.1823999999999999</v>
      </c>
    </row>
    <row r="249" spans="3:20">
      <c r="C249" s="48">
        <v>40060</v>
      </c>
      <c r="D249">
        <v>21.0458</v>
      </c>
      <c r="F249">
        <f t="shared" si="18"/>
        <v>21.0458</v>
      </c>
      <c r="H249">
        <f t="shared" si="19"/>
        <v>21.0458</v>
      </c>
      <c r="J249">
        <f t="shared" si="20"/>
        <v>0</v>
      </c>
      <c r="K249">
        <f t="shared" si="21"/>
        <v>21.0458</v>
      </c>
      <c r="M249" s="48">
        <v>40067</v>
      </c>
      <c r="N249">
        <v>2.6926999999999999</v>
      </c>
      <c r="S249">
        <f t="shared" si="22"/>
        <v>0</v>
      </c>
      <c r="T249">
        <f t="shared" si="23"/>
        <v>2.6926999999999999</v>
      </c>
    </row>
    <row r="250" spans="3:20">
      <c r="C250" s="48">
        <v>40067</v>
      </c>
      <c r="D250">
        <v>23.2</v>
      </c>
      <c r="F250">
        <f t="shared" si="18"/>
        <v>23.2</v>
      </c>
      <c r="H250">
        <f t="shared" si="19"/>
        <v>23.2</v>
      </c>
      <c r="J250">
        <f t="shared" si="20"/>
        <v>0</v>
      </c>
      <c r="K250">
        <f t="shared" si="21"/>
        <v>23.2</v>
      </c>
      <c r="M250" s="48">
        <v>40074</v>
      </c>
      <c r="N250">
        <v>3.2076000000000002</v>
      </c>
      <c r="S250">
        <f t="shared" si="22"/>
        <v>0</v>
      </c>
      <c r="T250">
        <f t="shared" si="23"/>
        <v>3.2076000000000002</v>
      </c>
    </row>
    <row r="251" spans="3:20">
      <c r="C251" s="48">
        <v>40074</v>
      </c>
      <c r="D251">
        <v>26.510999999999999</v>
      </c>
      <c r="F251">
        <f t="shared" si="18"/>
        <v>26.510999999999999</v>
      </c>
      <c r="H251">
        <f t="shared" si="19"/>
        <v>26.510999999999999</v>
      </c>
      <c r="J251">
        <f t="shared" si="20"/>
        <v>0</v>
      </c>
      <c r="K251">
        <f t="shared" si="21"/>
        <v>26.510999999999999</v>
      </c>
      <c r="M251" s="48">
        <v>40081</v>
      </c>
      <c r="N251">
        <v>3.4622999999999999</v>
      </c>
      <c r="S251">
        <f t="shared" si="22"/>
        <v>0</v>
      </c>
      <c r="T251">
        <f t="shared" si="23"/>
        <v>3.4622999999999999</v>
      </c>
    </row>
    <row r="252" spans="3:20">
      <c r="C252" s="48">
        <v>40081</v>
      </c>
      <c r="D252">
        <v>26.649100000000001</v>
      </c>
      <c r="F252">
        <f t="shared" si="18"/>
        <v>26.649100000000001</v>
      </c>
      <c r="H252">
        <f t="shared" si="19"/>
        <v>26.649100000000001</v>
      </c>
      <c r="J252">
        <f t="shared" si="20"/>
        <v>0</v>
      </c>
      <c r="K252">
        <f t="shared" si="21"/>
        <v>26.649100000000001</v>
      </c>
      <c r="M252" s="48">
        <v>40088</v>
      </c>
      <c r="N252">
        <v>3.0632000000000001</v>
      </c>
      <c r="S252">
        <f t="shared" si="22"/>
        <v>0</v>
      </c>
      <c r="T252">
        <f t="shared" si="23"/>
        <v>3.0632000000000001</v>
      </c>
    </row>
    <row r="253" spans="3:20">
      <c r="C253" s="48">
        <v>40088</v>
      </c>
      <c r="D253">
        <v>26.174299999999999</v>
      </c>
      <c r="F253">
        <f t="shared" si="18"/>
        <v>26.174299999999999</v>
      </c>
      <c r="H253">
        <f t="shared" si="19"/>
        <v>26.174299999999999</v>
      </c>
      <c r="J253">
        <f t="shared" si="20"/>
        <v>0</v>
      </c>
      <c r="K253">
        <f t="shared" si="21"/>
        <v>26.174299999999999</v>
      </c>
      <c r="M253" s="48">
        <v>40095</v>
      </c>
      <c r="N253">
        <v>3.5964999999999998</v>
      </c>
      <c r="S253">
        <f t="shared" si="22"/>
        <v>0</v>
      </c>
      <c r="T253">
        <f t="shared" si="23"/>
        <v>3.5964999999999998</v>
      </c>
    </row>
    <row r="254" spans="3:20">
      <c r="C254" s="48">
        <v>40095</v>
      </c>
      <c r="D254">
        <v>26.440999999999999</v>
      </c>
      <c r="F254">
        <f t="shared" si="18"/>
        <v>26.440999999999999</v>
      </c>
      <c r="H254">
        <f t="shared" si="19"/>
        <v>26.440999999999999</v>
      </c>
      <c r="J254">
        <f t="shared" si="20"/>
        <v>0</v>
      </c>
      <c r="K254">
        <f t="shared" si="21"/>
        <v>26.440999999999999</v>
      </c>
      <c r="M254" s="48">
        <v>40102</v>
      </c>
      <c r="N254">
        <v>3.9260000000000002</v>
      </c>
      <c r="S254">
        <f t="shared" si="22"/>
        <v>0</v>
      </c>
      <c r="T254">
        <f t="shared" si="23"/>
        <v>3.9260000000000002</v>
      </c>
    </row>
    <row r="255" spans="3:20">
      <c r="C255" s="48">
        <v>40102</v>
      </c>
      <c r="D255">
        <v>27.347200000000001</v>
      </c>
      <c r="F255">
        <f t="shared" si="18"/>
        <v>27.347200000000001</v>
      </c>
      <c r="H255">
        <f t="shared" si="19"/>
        <v>27.347200000000001</v>
      </c>
      <c r="J255">
        <f t="shared" si="20"/>
        <v>0</v>
      </c>
      <c r="K255">
        <f t="shared" si="21"/>
        <v>27.347200000000001</v>
      </c>
      <c r="M255" s="48">
        <v>40109</v>
      </c>
      <c r="N255">
        <v>4.6638999999999999</v>
      </c>
      <c r="S255">
        <f t="shared" si="22"/>
        <v>0</v>
      </c>
      <c r="T255">
        <f t="shared" si="23"/>
        <v>4.6638999999999999</v>
      </c>
    </row>
    <row r="256" spans="3:20">
      <c r="C256" s="48">
        <v>40109</v>
      </c>
      <c r="D256">
        <v>26.734300000000001</v>
      </c>
      <c r="F256">
        <f t="shared" si="18"/>
        <v>26.734300000000001</v>
      </c>
      <c r="H256">
        <f t="shared" si="19"/>
        <v>26.734300000000001</v>
      </c>
      <c r="J256">
        <f t="shared" si="20"/>
        <v>0</v>
      </c>
      <c r="K256">
        <f t="shared" si="21"/>
        <v>26.734300000000001</v>
      </c>
      <c r="M256" s="48">
        <v>40116</v>
      </c>
      <c r="N256">
        <v>4.3666</v>
      </c>
      <c r="S256">
        <f t="shared" si="22"/>
        <v>0</v>
      </c>
      <c r="T256">
        <f t="shared" si="23"/>
        <v>4.3666</v>
      </c>
    </row>
    <row r="257" spans="3:20">
      <c r="C257" s="48">
        <v>40116</v>
      </c>
      <c r="D257">
        <v>24.097200000000001</v>
      </c>
      <c r="F257">
        <f t="shared" si="18"/>
        <v>24.097200000000001</v>
      </c>
      <c r="H257">
        <f t="shared" si="19"/>
        <v>24.097200000000001</v>
      </c>
      <c r="J257">
        <f t="shared" si="20"/>
        <v>0</v>
      </c>
      <c r="K257">
        <f t="shared" si="21"/>
        <v>24.097200000000001</v>
      </c>
      <c r="M257" s="48">
        <v>40123</v>
      </c>
      <c r="N257">
        <v>4.2750000000000004</v>
      </c>
      <c r="S257">
        <f t="shared" si="22"/>
        <v>0</v>
      </c>
      <c r="T257">
        <f t="shared" si="23"/>
        <v>4.2750000000000004</v>
      </c>
    </row>
    <row r="258" spans="3:20">
      <c r="C258" s="48">
        <v>40123</v>
      </c>
      <c r="D258">
        <v>23.087</v>
      </c>
      <c r="F258">
        <f t="shared" si="18"/>
        <v>23.087</v>
      </c>
      <c r="H258">
        <f t="shared" si="19"/>
        <v>23.087</v>
      </c>
      <c r="J258">
        <f t="shared" si="20"/>
        <v>0</v>
      </c>
      <c r="K258">
        <f t="shared" si="21"/>
        <v>23.087</v>
      </c>
      <c r="M258" s="48">
        <v>40130</v>
      </c>
      <c r="N258">
        <v>3.3748</v>
      </c>
      <c r="S258">
        <f t="shared" si="22"/>
        <v>0</v>
      </c>
      <c r="T258">
        <f t="shared" si="23"/>
        <v>3.3748</v>
      </c>
    </row>
    <row r="259" spans="3:20">
      <c r="C259" s="48">
        <v>40130</v>
      </c>
      <c r="D259">
        <v>23.7453</v>
      </c>
      <c r="F259">
        <f t="shared" si="18"/>
        <v>23.7453</v>
      </c>
      <c r="H259">
        <f t="shared" si="19"/>
        <v>23.7453</v>
      </c>
      <c r="J259">
        <f t="shared" si="20"/>
        <v>0</v>
      </c>
      <c r="K259">
        <f t="shared" si="21"/>
        <v>23.7453</v>
      </c>
      <c r="M259" s="48">
        <v>40137</v>
      </c>
      <c r="N259">
        <v>3.3025000000000002</v>
      </c>
      <c r="S259">
        <f t="shared" si="22"/>
        <v>0</v>
      </c>
      <c r="T259">
        <f t="shared" si="23"/>
        <v>3.3025000000000002</v>
      </c>
    </row>
    <row r="260" spans="3:20">
      <c r="C260" s="48">
        <v>40137</v>
      </c>
      <c r="D260">
        <v>22.687799999999999</v>
      </c>
      <c r="F260">
        <f t="shared" si="18"/>
        <v>22.687799999999999</v>
      </c>
      <c r="H260">
        <f t="shared" si="19"/>
        <v>22.687799999999999</v>
      </c>
      <c r="J260">
        <f t="shared" si="20"/>
        <v>0</v>
      </c>
      <c r="K260">
        <f t="shared" si="21"/>
        <v>22.687799999999999</v>
      </c>
      <c r="M260" s="48">
        <v>40144</v>
      </c>
      <c r="N260">
        <v>3.5765000000000002</v>
      </c>
      <c r="S260">
        <f t="shared" si="22"/>
        <v>0</v>
      </c>
      <c r="T260">
        <f t="shared" si="23"/>
        <v>3.5765000000000002</v>
      </c>
    </row>
    <row r="261" spans="3:20">
      <c r="C261" s="48">
        <v>40144</v>
      </c>
      <c r="D261">
        <v>22.672699999999999</v>
      </c>
      <c r="F261">
        <f t="shared" ref="F261:F324" si="24">D261</f>
        <v>22.672699999999999</v>
      </c>
      <c r="H261">
        <f t="shared" ref="H261:H324" si="25">F261</f>
        <v>22.672699999999999</v>
      </c>
      <c r="J261">
        <f t="shared" ref="J261:J324" si="26">K261-F261</f>
        <v>0</v>
      </c>
      <c r="K261">
        <f t="shared" ref="K261:K324" si="27">H261</f>
        <v>22.672699999999999</v>
      </c>
      <c r="M261" s="48">
        <v>40151</v>
      </c>
      <c r="N261">
        <v>4.4946999999999999</v>
      </c>
      <c r="S261">
        <f t="shared" ref="S261:S324" si="28">T261-N261</f>
        <v>0</v>
      </c>
      <c r="T261">
        <f t="shared" ref="T261:T324" si="29">N261</f>
        <v>4.4946999999999999</v>
      </c>
    </row>
    <row r="262" spans="3:20">
      <c r="C262" s="48">
        <v>40151</v>
      </c>
      <c r="D262">
        <v>22.1373</v>
      </c>
      <c r="F262">
        <f t="shared" si="24"/>
        <v>22.1373</v>
      </c>
      <c r="H262">
        <f t="shared" si="25"/>
        <v>22.1373</v>
      </c>
      <c r="J262">
        <f t="shared" si="26"/>
        <v>0</v>
      </c>
      <c r="K262">
        <f t="shared" si="27"/>
        <v>22.1373</v>
      </c>
      <c r="M262" s="48">
        <v>40158</v>
      </c>
      <c r="N262">
        <v>5.0753000000000004</v>
      </c>
      <c r="S262">
        <f t="shared" si="28"/>
        <v>0</v>
      </c>
      <c r="T262">
        <f t="shared" si="29"/>
        <v>5.0753000000000004</v>
      </c>
    </row>
    <row r="263" spans="3:20">
      <c r="C263" s="48">
        <v>40158</v>
      </c>
      <c r="D263">
        <v>21.5641</v>
      </c>
      <c r="F263">
        <f t="shared" si="24"/>
        <v>21.5641</v>
      </c>
      <c r="H263">
        <f t="shared" si="25"/>
        <v>21.5641</v>
      </c>
      <c r="J263">
        <f t="shared" si="26"/>
        <v>0</v>
      </c>
      <c r="K263">
        <f t="shared" si="27"/>
        <v>21.5641</v>
      </c>
      <c r="M263" s="48">
        <v>40165</v>
      </c>
      <c r="N263">
        <v>5.6041999999999996</v>
      </c>
      <c r="S263">
        <f t="shared" si="28"/>
        <v>0</v>
      </c>
      <c r="T263">
        <f t="shared" si="29"/>
        <v>5.6041999999999996</v>
      </c>
    </row>
    <row r="264" spans="3:20">
      <c r="C264" s="48">
        <v>40165</v>
      </c>
      <c r="D264">
        <v>23.624199999999998</v>
      </c>
      <c r="F264">
        <f t="shared" si="24"/>
        <v>23.624199999999998</v>
      </c>
      <c r="H264">
        <f t="shared" si="25"/>
        <v>23.624199999999998</v>
      </c>
      <c r="J264">
        <f t="shared" si="26"/>
        <v>0</v>
      </c>
      <c r="K264">
        <f t="shared" si="27"/>
        <v>23.624199999999998</v>
      </c>
      <c r="M264" s="48">
        <v>40172</v>
      </c>
      <c r="N264">
        <v>5.6634000000000002</v>
      </c>
      <c r="S264">
        <f t="shared" si="28"/>
        <v>0</v>
      </c>
      <c r="T264">
        <f t="shared" si="29"/>
        <v>5.6634000000000002</v>
      </c>
    </row>
    <row r="265" spans="3:20">
      <c r="C265" s="48">
        <v>40172</v>
      </c>
      <c r="D265">
        <v>25.6191</v>
      </c>
      <c r="F265">
        <f t="shared" si="24"/>
        <v>25.6191</v>
      </c>
      <c r="H265">
        <f t="shared" si="25"/>
        <v>25.6191</v>
      </c>
      <c r="J265">
        <f t="shared" si="26"/>
        <v>0</v>
      </c>
      <c r="K265">
        <f t="shared" si="27"/>
        <v>25.6191</v>
      </c>
      <c r="M265" s="48">
        <v>40179</v>
      </c>
      <c r="N265">
        <v>5.8815999999999997</v>
      </c>
      <c r="S265">
        <f t="shared" si="28"/>
        <v>0</v>
      </c>
      <c r="T265">
        <f t="shared" si="29"/>
        <v>5.8815999999999997</v>
      </c>
    </row>
    <row r="266" spans="3:20">
      <c r="C266" s="48">
        <v>40179</v>
      </c>
      <c r="D266">
        <v>25.1982</v>
      </c>
      <c r="F266">
        <f t="shared" si="24"/>
        <v>25.1982</v>
      </c>
      <c r="H266">
        <f t="shared" si="25"/>
        <v>25.1982</v>
      </c>
      <c r="J266">
        <f t="shared" si="26"/>
        <v>0</v>
      </c>
      <c r="K266">
        <f t="shared" si="27"/>
        <v>25.1982</v>
      </c>
      <c r="M266" s="48">
        <v>40186</v>
      </c>
      <c r="N266">
        <v>6.5629999999999997</v>
      </c>
      <c r="S266">
        <f t="shared" si="28"/>
        <v>0</v>
      </c>
      <c r="T266">
        <f t="shared" si="29"/>
        <v>6.5629999999999997</v>
      </c>
    </row>
    <row r="267" spans="3:20">
      <c r="C267" s="48">
        <v>40186</v>
      </c>
      <c r="D267">
        <v>27.116399999999999</v>
      </c>
      <c r="F267">
        <f t="shared" si="24"/>
        <v>27.116399999999999</v>
      </c>
      <c r="H267">
        <f t="shared" si="25"/>
        <v>27.116399999999999</v>
      </c>
      <c r="J267">
        <f t="shared" si="26"/>
        <v>0</v>
      </c>
      <c r="K267">
        <f t="shared" si="27"/>
        <v>27.116399999999999</v>
      </c>
      <c r="M267" s="48">
        <v>40193</v>
      </c>
      <c r="N267">
        <v>5.6767000000000003</v>
      </c>
      <c r="S267">
        <f t="shared" si="28"/>
        <v>0</v>
      </c>
      <c r="T267">
        <f t="shared" si="29"/>
        <v>5.6767000000000003</v>
      </c>
    </row>
    <row r="268" spans="3:20">
      <c r="C268" s="48">
        <v>40193</v>
      </c>
      <c r="D268">
        <v>26.291599999999999</v>
      </c>
      <c r="F268">
        <f t="shared" si="24"/>
        <v>26.291599999999999</v>
      </c>
      <c r="H268">
        <f t="shared" si="25"/>
        <v>26.291599999999999</v>
      </c>
      <c r="J268">
        <f t="shared" si="26"/>
        <v>0</v>
      </c>
      <c r="K268">
        <f t="shared" si="27"/>
        <v>26.291599999999999</v>
      </c>
      <c r="M268" s="48">
        <v>40200</v>
      </c>
      <c r="N268">
        <v>5.5612000000000004</v>
      </c>
      <c r="S268">
        <f t="shared" si="28"/>
        <v>0</v>
      </c>
      <c r="T268">
        <f t="shared" si="29"/>
        <v>5.5612000000000004</v>
      </c>
    </row>
    <row r="269" spans="3:20">
      <c r="C269" s="48">
        <v>40200</v>
      </c>
      <c r="D269">
        <v>25.933599999999998</v>
      </c>
      <c r="F269">
        <f t="shared" si="24"/>
        <v>25.933599999999998</v>
      </c>
      <c r="H269">
        <f t="shared" si="25"/>
        <v>25.933599999999998</v>
      </c>
      <c r="J269">
        <f t="shared" si="26"/>
        <v>0</v>
      </c>
      <c r="K269">
        <f t="shared" si="27"/>
        <v>25.933599999999998</v>
      </c>
      <c r="M269" s="48">
        <v>40207</v>
      </c>
      <c r="N269">
        <v>5.4719999999999995</v>
      </c>
      <c r="S269">
        <f t="shared" si="28"/>
        <v>0</v>
      </c>
      <c r="T269">
        <f t="shared" si="29"/>
        <v>5.4719999999999995</v>
      </c>
    </row>
    <row r="270" spans="3:20">
      <c r="C270" s="48">
        <v>40207</v>
      </c>
      <c r="D270">
        <v>24.5379</v>
      </c>
      <c r="F270">
        <f t="shared" si="24"/>
        <v>24.5379</v>
      </c>
      <c r="H270">
        <f t="shared" si="25"/>
        <v>24.5379</v>
      </c>
      <c r="J270">
        <f t="shared" si="26"/>
        <v>0</v>
      </c>
      <c r="K270">
        <f t="shared" si="27"/>
        <v>24.5379</v>
      </c>
      <c r="M270" s="48">
        <v>40214</v>
      </c>
      <c r="N270">
        <v>5.4692999999999996</v>
      </c>
      <c r="S270">
        <f t="shared" si="28"/>
        <v>0</v>
      </c>
      <c r="T270">
        <f t="shared" si="29"/>
        <v>5.4692999999999996</v>
      </c>
    </row>
    <row r="271" spans="3:20">
      <c r="C271" s="48">
        <v>40214</v>
      </c>
      <c r="D271">
        <v>23.9572</v>
      </c>
      <c r="F271">
        <f t="shared" si="24"/>
        <v>23.9572</v>
      </c>
      <c r="H271">
        <f t="shared" si="25"/>
        <v>23.9572</v>
      </c>
      <c r="J271">
        <f t="shared" si="26"/>
        <v>0</v>
      </c>
      <c r="K271">
        <f t="shared" si="27"/>
        <v>23.9572</v>
      </c>
      <c r="M271" s="48">
        <v>40221</v>
      </c>
      <c r="N271">
        <v>5.5513000000000003</v>
      </c>
      <c r="S271">
        <f t="shared" si="28"/>
        <v>0</v>
      </c>
      <c r="T271">
        <f t="shared" si="29"/>
        <v>5.5513000000000003</v>
      </c>
    </row>
    <row r="272" spans="3:20">
      <c r="C272" s="48">
        <v>40221</v>
      </c>
      <c r="D272">
        <v>23.314</v>
      </c>
      <c r="F272">
        <f t="shared" si="24"/>
        <v>23.314</v>
      </c>
      <c r="H272">
        <f t="shared" si="25"/>
        <v>23.314</v>
      </c>
      <c r="J272">
        <f t="shared" si="26"/>
        <v>0</v>
      </c>
      <c r="K272">
        <f t="shared" si="27"/>
        <v>23.314</v>
      </c>
      <c r="M272" s="48">
        <v>40228</v>
      </c>
      <c r="N272">
        <v>5.4048999999999996</v>
      </c>
      <c r="S272">
        <f t="shared" si="28"/>
        <v>0</v>
      </c>
      <c r="T272">
        <f t="shared" si="29"/>
        <v>5.4048999999999996</v>
      </c>
    </row>
    <row r="273" spans="3:20">
      <c r="C273" s="48">
        <v>40228</v>
      </c>
      <c r="D273">
        <v>25.359000000000002</v>
      </c>
      <c r="F273">
        <f t="shared" si="24"/>
        <v>25.359000000000002</v>
      </c>
      <c r="H273">
        <f t="shared" si="25"/>
        <v>25.359000000000002</v>
      </c>
      <c r="J273">
        <f t="shared" si="26"/>
        <v>0</v>
      </c>
      <c r="K273">
        <f t="shared" si="27"/>
        <v>25.359000000000002</v>
      </c>
      <c r="M273" s="48">
        <v>40235</v>
      </c>
      <c r="N273">
        <v>4.8586999999999998</v>
      </c>
      <c r="S273">
        <f t="shared" si="28"/>
        <v>0</v>
      </c>
      <c r="T273">
        <f t="shared" si="29"/>
        <v>4.8586999999999998</v>
      </c>
    </row>
    <row r="274" spans="3:20">
      <c r="C274" s="48">
        <v>40235</v>
      </c>
      <c r="D274">
        <v>25.2057</v>
      </c>
      <c r="F274">
        <f t="shared" si="24"/>
        <v>25.2057</v>
      </c>
      <c r="H274">
        <f t="shared" si="25"/>
        <v>25.2057</v>
      </c>
      <c r="J274">
        <f t="shared" si="26"/>
        <v>0</v>
      </c>
      <c r="K274">
        <f t="shared" si="27"/>
        <v>25.2057</v>
      </c>
      <c r="M274" s="48">
        <v>40242</v>
      </c>
      <c r="N274">
        <v>4.7393000000000001</v>
      </c>
      <c r="S274">
        <f t="shared" si="28"/>
        <v>0</v>
      </c>
      <c r="T274">
        <f t="shared" si="29"/>
        <v>4.7393000000000001</v>
      </c>
    </row>
    <row r="275" spans="3:20">
      <c r="C275" s="48">
        <v>40242</v>
      </c>
      <c r="D275">
        <v>25.107399999999998</v>
      </c>
      <c r="F275">
        <f t="shared" si="24"/>
        <v>25.107399999999998</v>
      </c>
      <c r="H275">
        <f t="shared" si="25"/>
        <v>25.107399999999998</v>
      </c>
      <c r="J275">
        <f t="shared" si="26"/>
        <v>0</v>
      </c>
      <c r="K275">
        <f t="shared" si="27"/>
        <v>25.107399999999998</v>
      </c>
      <c r="M275" s="48">
        <v>40249</v>
      </c>
      <c r="N275">
        <v>4.4474</v>
      </c>
      <c r="S275">
        <f t="shared" si="28"/>
        <v>0</v>
      </c>
      <c r="T275">
        <f t="shared" si="29"/>
        <v>4.4474</v>
      </c>
    </row>
    <row r="276" spans="3:20">
      <c r="C276" s="48">
        <v>40249</v>
      </c>
      <c r="D276">
        <v>24.286300000000001</v>
      </c>
      <c r="F276">
        <f t="shared" si="24"/>
        <v>24.286300000000001</v>
      </c>
      <c r="H276">
        <f t="shared" si="25"/>
        <v>24.286300000000001</v>
      </c>
      <c r="J276">
        <f t="shared" si="26"/>
        <v>0</v>
      </c>
      <c r="K276">
        <f t="shared" si="27"/>
        <v>24.286300000000001</v>
      </c>
      <c r="M276" s="48">
        <v>40256</v>
      </c>
      <c r="N276">
        <v>4.2275999999999998</v>
      </c>
      <c r="S276">
        <f t="shared" si="28"/>
        <v>0</v>
      </c>
      <c r="T276">
        <f t="shared" si="29"/>
        <v>4.2275999999999998</v>
      </c>
    </row>
    <row r="277" spans="3:20">
      <c r="C277" s="48">
        <v>40256</v>
      </c>
      <c r="D277">
        <v>23.436900000000001</v>
      </c>
      <c r="F277">
        <f t="shared" si="24"/>
        <v>23.436900000000001</v>
      </c>
      <c r="H277">
        <f t="shared" si="25"/>
        <v>23.436900000000001</v>
      </c>
      <c r="J277">
        <f t="shared" si="26"/>
        <v>0</v>
      </c>
      <c r="K277">
        <f t="shared" si="27"/>
        <v>23.436900000000001</v>
      </c>
      <c r="M277" s="48">
        <v>40263</v>
      </c>
      <c r="N277">
        <v>4.0129999999999999</v>
      </c>
      <c r="S277">
        <f t="shared" si="28"/>
        <v>0</v>
      </c>
      <c r="T277">
        <f t="shared" si="29"/>
        <v>4.0129999999999999</v>
      </c>
    </row>
    <row r="278" spans="3:20">
      <c r="C278" s="48">
        <v>40263</v>
      </c>
      <c r="D278">
        <v>21.645399999999999</v>
      </c>
      <c r="F278">
        <f t="shared" si="24"/>
        <v>21.645399999999999</v>
      </c>
      <c r="H278">
        <f t="shared" si="25"/>
        <v>21.645399999999999</v>
      </c>
      <c r="J278">
        <f t="shared" si="26"/>
        <v>0</v>
      </c>
      <c r="K278">
        <f t="shared" si="27"/>
        <v>21.645399999999999</v>
      </c>
      <c r="M278" s="48">
        <v>40270</v>
      </c>
      <c r="N278">
        <v>3.8157999999999999</v>
      </c>
      <c r="S278">
        <f t="shared" si="28"/>
        <v>0</v>
      </c>
      <c r="T278">
        <f t="shared" si="29"/>
        <v>3.8157999999999999</v>
      </c>
    </row>
    <row r="279" spans="3:20">
      <c r="C279" s="48">
        <v>40270</v>
      </c>
      <c r="D279">
        <v>22.3416</v>
      </c>
      <c r="F279">
        <f t="shared" si="24"/>
        <v>22.3416</v>
      </c>
      <c r="H279">
        <f t="shared" si="25"/>
        <v>22.3416</v>
      </c>
      <c r="J279">
        <f t="shared" si="26"/>
        <v>0</v>
      </c>
      <c r="K279">
        <f t="shared" si="27"/>
        <v>22.3416</v>
      </c>
      <c r="M279" s="48">
        <v>40277</v>
      </c>
      <c r="N279">
        <v>3.9973000000000001</v>
      </c>
      <c r="S279">
        <f t="shared" si="28"/>
        <v>0</v>
      </c>
      <c r="T279">
        <f t="shared" si="29"/>
        <v>3.9973000000000001</v>
      </c>
    </row>
    <row r="280" spans="3:20">
      <c r="C280" s="48">
        <v>40277</v>
      </c>
      <c r="D280">
        <v>23.052900000000001</v>
      </c>
      <c r="F280">
        <f t="shared" si="24"/>
        <v>23.052900000000001</v>
      </c>
      <c r="H280">
        <f t="shared" si="25"/>
        <v>23.052900000000001</v>
      </c>
      <c r="J280">
        <f t="shared" si="26"/>
        <v>0</v>
      </c>
      <c r="K280">
        <f t="shared" si="27"/>
        <v>23.052900000000001</v>
      </c>
      <c r="M280" s="48">
        <v>40284</v>
      </c>
      <c r="N280">
        <v>4.0545</v>
      </c>
      <c r="S280">
        <f t="shared" si="28"/>
        <v>0</v>
      </c>
      <c r="T280">
        <f t="shared" si="29"/>
        <v>4.0545</v>
      </c>
    </row>
    <row r="281" spans="3:20">
      <c r="C281" s="48">
        <v>40284</v>
      </c>
      <c r="D281">
        <v>23.0472</v>
      </c>
      <c r="F281">
        <f t="shared" si="24"/>
        <v>23.0472</v>
      </c>
      <c r="H281">
        <f t="shared" si="25"/>
        <v>23.0472</v>
      </c>
      <c r="J281">
        <f t="shared" si="26"/>
        <v>0</v>
      </c>
      <c r="K281">
        <f t="shared" si="27"/>
        <v>23.0472</v>
      </c>
      <c r="M281" s="48">
        <v>40291</v>
      </c>
      <c r="N281">
        <v>3.9842</v>
      </c>
      <c r="S281">
        <f t="shared" si="28"/>
        <v>0</v>
      </c>
      <c r="T281">
        <f t="shared" si="29"/>
        <v>3.9842</v>
      </c>
    </row>
    <row r="282" spans="3:20">
      <c r="C282" s="48">
        <v>40291</v>
      </c>
      <c r="D282">
        <v>22.714300000000001</v>
      </c>
      <c r="F282">
        <f t="shared" si="24"/>
        <v>22.714300000000001</v>
      </c>
      <c r="H282">
        <f t="shared" si="25"/>
        <v>22.714300000000001</v>
      </c>
      <c r="J282">
        <f t="shared" si="26"/>
        <v>0</v>
      </c>
      <c r="K282">
        <f t="shared" si="27"/>
        <v>22.714300000000001</v>
      </c>
      <c r="M282" s="48">
        <v>40298</v>
      </c>
      <c r="N282">
        <v>4.1543999999999999</v>
      </c>
      <c r="S282">
        <f t="shared" si="28"/>
        <v>0</v>
      </c>
      <c r="T282">
        <f t="shared" si="29"/>
        <v>4.1543999999999999</v>
      </c>
    </row>
    <row r="283" spans="3:20">
      <c r="C283" s="48">
        <v>40298</v>
      </c>
      <c r="D283">
        <v>22.559200000000001</v>
      </c>
      <c r="F283">
        <f t="shared" si="24"/>
        <v>22.559200000000001</v>
      </c>
      <c r="H283">
        <f t="shared" si="25"/>
        <v>22.559200000000001</v>
      </c>
      <c r="J283">
        <f t="shared" si="26"/>
        <v>0</v>
      </c>
      <c r="K283">
        <f t="shared" si="27"/>
        <v>22.559200000000001</v>
      </c>
      <c r="M283" s="48">
        <v>40305</v>
      </c>
      <c r="N283">
        <v>3.9380999999999999</v>
      </c>
      <c r="S283">
        <f t="shared" si="28"/>
        <v>0</v>
      </c>
      <c r="T283">
        <f t="shared" si="29"/>
        <v>3.9380999999999999</v>
      </c>
    </row>
    <row r="284" spans="3:20">
      <c r="C284" s="48">
        <v>40305</v>
      </c>
      <c r="D284">
        <v>21.802499999999998</v>
      </c>
      <c r="F284">
        <f t="shared" si="24"/>
        <v>21.802499999999998</v>
      </c>
      <c r="H284">
        <f t="shared" si="25"/>
        <v>21.802499999999998</v>
      </c>
      <c r="J284">
        <f t="shared" si="26"/>
        <v>0</v>
      </c>
      <c r="K284">
        <f t="shared" si="27"/>
        <v>21.802499999999998</v>
      </c>
      <c r="M284" s="48">
        <v>40312</v>
      </c>
      <c r="N284">
        <v>4.1871999999999998</v>
      </c>
      <c r="S284">
        <f t="shared" si="28"/>
        <v>0</v>
      </c>
      <c r="T284">
        <f t="shared" si="29"/>
        <v>4.1871999999999998</v>
      </c>
    </row>
    <row r="285" spans="3:20">
      <c r="C285" s="48">
        <v>40312</v>
      </c>
      <c r="D285">
        <v>21.910299999999999</v>
      </c>
      <c r="F285">
        <f t="shared" si="24"/>
        <v>21.910299999999999</v>
      </c>
      <c r="H285">
        <f t="shared" si="25"/>
        <v>21.910299999999999</v>
      </c>
      <c r="J285">
        <f t="shared" si="26"/>
        <v>0</v>
      </c>
      <c r="K285">
        <f t="shared" si="27"/>
        <v>21.910299999999999</v>
      </c>
      <c r="M285" s="48">
        <v>40319</v>
      </c>
      <c r="N285">
        <v>4.2561999999999998</v>
      </c>
      <c r="S285">
        <f t="shared" si="28"/>
        <v>0</v>
      </c>
      <c r="T285">
        <f t="shared" si="29"/>
        <v>4.2561999999999998</v>
      </c>
    </row>
    <row r="286" spans="3:20">
      <c r="C286" s="48">
        <v>40319</v>
      </c>
      <c r="D286">
        <v>20.557700000000001</v>
      </c>
      <c r="F286">
        <f t="shared" si="24"/>
        <v>20.557700000000001</v>
      </c>
      <c r="H286">
        <f t="shared" si="25"/>
        <v>20.557700000000001</v>
      </c>
      <c r="J286">
        <f t="shared" si="26"/>
        <v>0</v>
      </c>
      <c r="K286">
        <f t="shared" si="27"/>
        <v>20.557700000000001</v>
      </c>
      <c r="M286" s="48">
        <v>40326</v>
      </c>
      <c r="N286">
        <v>4.1768999999999998</v>
      </c>
      <c r="S286">
        <f t="shared" si="28"/>
        <v>0</v>
      </c>
      <c r="T286">
        <f t="shared" si="29"/>
        <v>4.1768999999999998</v>
      </c>
    </row>
    <row r="287" spans="3:20">
      <c r="C287" s="48">
        <v>40326</v>
      </c>
      <c r="D287">
        <v>20.291</v>
      </c>
      <c r="F287">
        <f t="shared" si="24"/>
        <v>20.291</v>
      </c>
      <c r="H287">
        <f t="shared" si="25"/>
        <v>20.291</v>
      </c>
      <c r="J287">
        <f t="shared" si="26"/>
        <v>0</v>
      </c>
      <c r="K287">
        <f t="shared" si="27"/>
        <v>20.291</v>
      </c>
      <c r="M287" s="48">
        <v>40333</v>
      </c>
      <c r="N287">
        <v>4.4424999999999999</v>
      </c>
      <c r="S287">
        <f t="shared" si="28"/>
        <v>0</v>
      </c>
      <c r="T287">
        <f t="shared" si="29"/>
        <v>4.4424999999999999</v>
      </c>
    </row>
    <row r="288" spans="3:20">
      <c r="C288" s="48">
        <v>40333</v>
      </c>
      <c r="D288">
        <v>22.202100000000002</v>
      </c>
      <c r="F288">
        <f t="shared" si="24"/>
        <v>22.202100000000002</v>
      </c>
      <c r="H288">
        <f t="shared" si="25"/>
        <v>22.202100000000002</v>
      </c>
      <c r="J288">
        <f t="shared" si="26"/>
        <v>0</v>
      </c>
      <c r="K288">
        <f t="shared" si="27"/>
        <v>22.202100000000002</v>
      </c>
      <c r="M288" s="48">
        <v>40340</v>
      </c>
      <c r="N288">
        <v>4.7338000000000005</v>
      </c>
      <c r="S288">
        <f t="shared" si="28"/>
        <v>0</v>
      </c>
      <c r="T288">
        <f t="shared" si="29"/>
        <v>4.7338000000000005</v>
      </c>
    </row>
    <row r="289" spans="3:20">
      <c r="C289" s="48">
        <v>40340</v>
      </c>
      <c r="D289">
        <v>22.782399999999999</v>
      </c>
      <c r="F289">
        <f t="shared" si="24"/>
        <v>22.782399999999999</v>
      </c>
      <c r="H289">
        <f t="shared" si="25"/>
        <v>22.782399999999999</v>
      </c>
      <c r="J289">
        <f t="shared" si="26"/>
        <v>0</v>
      </c>
      <c r="K289">
        <f t="shared" si="27"/>
        <v>22.782399999999999</v>
      </c>
      <c r="M289" s="48">
        <v>40347</v>
      </c>
      <c r="N289">
        <v>5.0975000000000001</v>
      </c>
      <c r="S289">
        <f t="shared" si="28"/>
        <v>0</v>
      </c>
      <c r="T289">
        <f t="shared" si="29"/>
        <v>5.0975000000000001</v>
      </c>
    </row>
    <row r="290" spans="3:20">
      <c r="C290" s="48">
        <v>40347</v>
      </c>
      <c r="D290">
        <v>23.5807</v>
      </c>
      <c r="F290">
        <f t="shared" si="24"/>
        <v>23.5807</v>
      </c>
      <c r="H290">
        <f t="shared" si="25"/>
        <v>23.5807</v>
      </c>
      <c r="J290">
        <f t="shared" si="26"/>
        <v>0</v>
      </c>
      <c r="K290">
        <f t="shared" si="27"/>
        <v>23.5807</v>
      </c>
      <c r="M290" s="48">
        <v>40354</v>
      </c>
      <c r="N290">
        <v>4.9269999999999996</v>
      </c>
      <c r="S290">
        <f t="shared" si="28"/>
        <v>0</v>
      </c>
      <c r="T290">
        <f t="shared" si="29"/>
        <v>4.9269999999999996</v>
      </c>
    </row>
    <row r="291" spans="3:20">
      <c r="C291" s="48">
        <v>40354</v>
      </c>
      <c r="D291">
        <v>22.228100000000001</v>
      </c>
      <c r="F291">
        <f t="shared" si="24"/>
        <v>22.228100000000001</v>
      </c>
      <c r="H291">
        <f t="shared" si="25"/>
        <v>22.228100000000001</v>
      </c>
      <c r="J291">
        <f t="shared" si="26"/>
        <v>0</v>
      </c>
      <c r="K291">
        <f t="shared" si="27"/>
        <v>22.228100000000001</v>
      </c>
      <c r="M291" s="48">
        <v>40361</v>
      </c>
      <c r="N291">
        <v>4.6634000000000002</v>
      </c>
      <c r="S291">
        <f t="shared" si="28"/>
        <v>0</v>
      </c>
      <c r="T291">
        <f t="shared" si="29"/>
        <v>4.6634000000000002</v>
      </c>
    </row>
    <row r="292" spans="3:20">
      <c r="C292" s="48">
        <v>40361</v>
      </c>
      <c r="D292">
        <v>20.052600000000002</v>
      </c>
      <c r="F292">
        <f t="shared" si="24"/>
        <v>20.052600000000002</v>
      </c>
      <c r="H292">
        <f t="shared" si="25"/>
        <v>20.052600000000002</v>
      </c>
      <c r="J292">
        <f t="shared" si="26"/>
        <v>0</v>
      </c>
      <c r="K292">
        <f t="shared" si="27"/>
        <v>20.052600000000002</v>
      </c>
      <c r="M292" s="48">
        <v>40368</v>
      </c>
      <c r="N292">
        <v>4.6448</v>
      </c>
      <c r="S292">
        <f t="shared" si="28"/>
        <v>0</v>
      </c>
      <c r="T292">
        <f t="shared" si="29"/>
        <v>4.6448</v>
      </c>
    </row>
    <row r="293" spans="3:20">
      <c r="C293" s="48">
        <v>40368</v>
      </c>
      <c r="D293">
        <v>20.0715</v>
      </c>
      <c r="F293">
        <f t="shared" si="24"/>
        <v>20.0715</v>
      </c>
      <c r="H293">
        <f t="shared" si="25"/>
        <v>20.0715</v>
      </c>
      <c r="J293">
        <f t="shared" si="26"/>
        <v>0</v>
      </c>
      <c r="K293">
        <f t="shared" si="27"/>
        <v>20.0715</v>
      </c>
      <c r="M293" s="48">
        <v>40375</v>
      </c>
      <c r="N293">
        <v>4.4768999999999997</v>
      </c>
      <c r="S293">
        <f t="shared" si="28"/>
        <v>0</v>
      </c>
      <c r="T293">
        <f t="shared" si="29"/>
        <v>4.4768999999999997</v>
      </c>
    </row>
    <row r="294" spans="3:20">
      <c r="C294" s="48">
        <v>40375</v>
      </c>
      <c r="D294">
        <v>20.1264</v>
      </c>
      <c r="F294">
        <f t="shared" si="24"/>
        <v>20.1264</v>
      </c>
      <c r="H294">
        <f t="shared" si="25"/>
        <v>20.1264</v>
      </c>
      <c r="J294">
        <f t="shared" si="26"/>
        <v>0</v>
      </c>
      <c r="K294">
        <f t="shared" si="27"/>
        <v>20.1264</v>
      </c>
      <c r="M294" s="48">
        <v>40382</v>
      </c>
      <c r="N294">
        <v>4.6417000000000002</v>
      </c>
      <c r="S294">
        <f t="shared" si="28"/>
        <v>0</v>
      </c>
      <c r="T294">
        <f t="shared" si="29"/>
        <v>4.6417000000000002</v>
      </c>
    </row>
    <row r="295" spans="3:20">
      <c r="C295" s="48">
        <v>40382</v>
      </c>
      <c r="D295">
        <v>20.2607</v>
      </c>
      <c r="F295">
        <f t="shared" si="24"/>
        <v>20.2607</v>
      </c>
      <c r="H295">
        <f t="shared" si="25"/>
        <v>20.2607</v>
      </c>
      <c r="J295">
        <f t="shared" si="26"/>
        <v>0</v>
      </c>
      <c r="K295">
        <f t="shared" si="27"/>
        <v>20.2607</v>
      </c>
      <c r="M295" s="48">
        <v>40389</v>
      </c>
      <c r="N295">
        <v>4.7462</v>
      </c>
      <c r="S295">
        <f t="shared" si="28"/>
        <v>0</v>
      </c>
      <c r="T295">
        <f t="shared" si="29"/>
        <v>4.7462</v>
      </c>
    </row>
    <row r="296" spans="3:20">
      <c r="C296" s="48">
        <v>40389</v>
      </c>
      <c r="D296">
        <v>20.149100000000001</v>
      </c>
      <c r="F296">
        <f t="shared" si="24"/>
        <v>20.149100000000001</v>
      </c>
      <c r="H296">
        <f t="shared" si="25"/>
        <v>20.149100000000001</v>
      </c>
      <c r="J296">
        <f t="shared" si="26"/>
        <v>0</v>
      </c>
      <c r="K296">
        <f t="shared" si="27"/>
        <v>20.149100000000001</v>
      </c>
      <c r="M296" s="48">
        <v>40396</v>
      </c>
      <c r="N296">
        <v>4.8011999999999997</v>
      </c>
      <c r="S296">
        <f t="shared" si="28"/>
        <v>0</v>
      </c>
      <c r="T296">
        <f t="shared" si="29"/>
        <v>4.8011999999999997</v>
      </c>
    </row>
    <row r="297" spans="3:20">
      <c r="C297" s="48">
        <v>40396</v>
      </c>
      <c r="D297">
        <v>20.9209</v>
      </c>
      <c r="F297">
        <f t="shared" si="24"/>
        <v>20.9209</v>
      </c>
      <c r="H297">
        <f t="shared" si="25"/>
        <v>20.9209</v>
      </c>
      <c r="J297">
        <f t="shared" si="26"/>
        <v>0</v>
      </c>
      <c r="K297">
        <f t="shared" si="27"/>
        <v>20.9209</v>
      </c>
      <c r="M297" s="48">
        <v>40403</v>
      </c>
      <c r="N297">
        <v>4.4211</v>
      </c>
      <c r="S297">
        <f t="shared" si="28"/>
        <v>0</v>
      </c>
      <c r="T297">
        <f t="shared" si="29"/>
        <v>4.4211</v>
      </c>
    </row>
    <row r="298" spans="3:20">
      <c r="C298" s="48">
        <v>40403</v>
      </c>
      <c r="D298">
        <v>20.332599999999999</v>
      </c>
      <c r="F298">
        <f t="shared" si="24"/>
        <v>20.332599999999999</v>
      </c>
      <c r="H298">
        <f t="shared" si="25"/>
        <v>20.332599999999999</v>
      </c>
      <c r="J298">
        <f t="shared" si="26"/>
        <v>0</v>
      </c>
      <c r="K298">
        <f t="shared" si="27"/>
        <v>20.332599999999999</v>
      </c>
      <c r="M298" s="48">
        <v>40410</v>
      </c>
      <c r="N298">
        <v>4.2961</v>
      </c>
      <c r="S298">
        <f t="shared" si="28"/>
        <v>0</v>
      </c>
      <c r="T298">
        <f t="shared" si="29"/>
        <v>4.2961</v>
      </c>
    </row>
    <row r="299" spans="3:20">
      <c r="C299" s="48">
        <v>40410</v>
      </c>
      <c r="D299">
        <v>19.7348</v>
      </c>
      <c r="F299">
        <f t="shared" si="24"/>
        <v>19.7348</v>
      </c>
      <c r="H299">
        <f t="shared" si="25"/>
        <v>19.7348</v>
      </c>
      <c r="J299">
        <f t="shared" si="26"/>
        <v>0</v>
      </c>
      <c r="K299">
        <f t="shared" si="27"/>
        <v>19.7348</v>
      </c>
      <c r="M299" s="48">
        <v>40417</v>
      </c>
      <c r="N299">
        <v>3.9577</v>
      </c>
      <c r="S299">
        <f t="shared" si="28"/>
        <v>0</v>
      </c>
      <c r="T299">
        <f t="shared" si="29"/>
        <v>3.9577</v>
      </c>
    </row>
    <row r="300" spans="3:20">
      <c r="C300" s="48">
        <v>40417</v>
      </c>
      <c r="D300">
        <v>19.244800000000001</v>
      </c>
      <c r="F300">
        <f t="shared" si="24"/>
        <v>19.244800000000001</v>
      </c>
      <c r="H300">
        <f t="shared" si="25"/>
        <v>19.244800000000001</v>
      </c>
      <c r="J300">
        <f t="shared" si="26"/>
        <v>0</v>
      </c>
      <c r="K300">
        <f t="shared" si="27"/>
        <v>19.244800000000001</v>
      </c>
      <c r="M300" s="48">
        <v>40424</v>
      </c>
      <c r="N300">
        <v>3.7547000000000001</v>
      </c>
      <c r="S300">
        <f t="shared" si="28"/>
        <v>0</v>
      </c>
      <c r="T300">
        <f t="shared" si="29"/>
        <v>3.7547000000000001</v>
      </c>
    </row>
    <row r="301" spans="3:20">
      <c r="C301" s="48">
        <v>40424</v>
      </c>
      <c r="D301">
        <v>20.0242</v>
      </c>
      <c r="F301">
        <f t="shared" si="24"/>
        <v>20.0242</v>
      </c>
      <c r="H301">
        <f t="shared" si="25"/>
        <v>20.0242</v>
      </c>
      <c r="J301">
        <f t="shared" si="26"/>
        <v>0</v>
      </c>
      <c r="K301">
        <f t="shared" si="27"/>
        <v>20.0242</v>
      </c>
      <c r="M301" s="48">
        <v>40431</v>
      </c>
      <c r="N301">
        <v>3.8033000000000001</v>
      </c>
      <c r="S301">
        <f t="shared" si="28"/>
        <v>0</v>
      </c>
      <c r="T301">
        <f t="shared" si="29"/>
        <v>3.8033000000000001</v>
      </c>
    </row>
    <row r="302" spans="3:20">
      <c r="C302" s="48">
        <v>40431</v>
      </c>
      <c r="D302">
        <v>19.9817</v>
      </c>
      <c r="F302">
        <f t="shared" si="24"/>
        <v>19.9817</v>
      </c>
      <c r="H302">
        <f t="shared" si="25"/>
        <v>19.9817</v>
      </c>
      <c r="J302">
        <f t="shared" si="26"/>
        <v>0</v>
      </c>
      <c r="K302">
        <f t="shared" si="27"/>
        <v>19.9817</v>
      </c>
      <c r="M302" s="48">
        <v>40438</v>
      </c>
      <c r="N302">
        <v>4.0145999999999997</v>
      </c>
      <c r="S302">
        <f t="shared" si="28"/>
        <v>0</v>
      </c>
      <c r="T302">
        <f t="shared" si="29"/>
        <v>4.0145999999999997</v>
      </c>
    </row>
    <row r="303" spans="3:20">
      <c r="C303" s="48">
        <v>40438</v>
      </c>
      <c r="D303">
        <v>20.368500000000001</v>
      </c>
      <c r="F303">
        <f t="shared" si="24"/>
        <v>20.368500000000001</v>
      </c>
      <c r="H303">
        <f t="shared" si="25"/>
        <v>20.368500000000001</v>
      </c>
      <c r="J303">
        <f t="shared" si="26"/>
        <v>0</v>
      </c>
      <c r="K303">
        <f t="shared" si="27"/>
        <v>20.368500000000001</v>
      </c>
      <c r="M303" s="48">
        <v>40445</v>
      </c>
      <c r="N303">
        <v>4.0045000000000002</v>
      </c>
      <c r="S303">
        <f t="shared" si="28"/>
        <v>0</v>
      </c>
      <c r="T303">
        <f t="shared" si="29"/>
        <v>4.0045000000000002</v>
      </c>
    </row>
    <row r="304" spans="3:20">
      <c r="C304" s="48">
        <v>40445</v>
      </c>
      <c r="D304">
        <v>20.107500000000002</v>
      </c>
      <c r="F304">
        <f t="shared" si="24"/>
        <v>20.107500000000002</v>
      </c>
      <c r="H304">
        <f t="shared" si="25"/>
        <v>20.107500000000002</v>
      </c>
      <c r="J304">
        <f t="shared" si="26"/>
        <v>0</v>
      </c>
      <c r="K304">
        <f t="shared" si="27"/>
        <v>20.107500000000002</v>
      </c>
      <c r="M304" s="48">
        <v>40452</v>
      </c>
      <c r="N304">
        <v>3.7852999999999999</v>
      </c>
      <c r="S304">
        <f t="shared" si="28"/>
        <v>0</v>
      </c>
      <c r="T304">
        <f t="shared" si="29"/>
        <v>3.7852999999999999</v>
      </c>
    </row>
    <row r="305" spans="3:20">
      <c r="C305" s="48">
        <v>40452</v>
      </c>
      <c r="D305">
        <v>21.066600000000001</v>
      </c>
      <c r="F305">
        <f t="shared" si="24"/>
        <v>21.066600000000001</v>
      </c>
      <c r="H305">
        <f t="shared" si="25"/>
        <v>21.066600000000001</v>
      </c>
      <c r="J305">
        <f t="shared" si="26"/>
        <v>0</v>
      </c>
      <c r="K305">
        <f t="shared" si="27"/>
        <v>21.066600000000001</v>
      </c>
      <c r="M305" s="48">
        <v>40459</v>
      </c>
      <c r="N305">
        <v>3.5204</v>
      </c>
      <c r="S305">
        <f t="shared" si="28"/>
        <v>0</v>
      </c>
      <c r="T305">
        <f t="shared" si="29"/>
        <v>3.5204</v>
      </c>
    </row>
    <row r="306" spans="3:20">
      <c r="C306" s="48">
        <v>40459</v>
      </c>
      <c r="D306">
        <v>21.323899999999998</v>
      </c>
      <c r="F306">
        <f t="shared" si="24"/>
        <v>21.323899999999998</v>
      </c>
      <c r="H306">
        <f t="shared" si="25"/>
        <v>21.323899999999998</v>
      </c>
      <c r="J306">
        <f t="shared" si="26"/>
        <v>0</v>
      </c>
      <c r="K306">
        <f t="shared" si="27"/>
        <v>21.323899999999998</v>
      </c>
      <c r="M306" s="48">
        <v>40466</v>
      </c>
      <c r="N306">
        <v>3.4918</v>
      </c>
      <c r="S306">
        <f t="shared" si="28"/>
        <v>0</v>
      </c>
      <c r="T306">
        <f t="shared" si="29"/>
        <v>3.4918</v>
      </c>
    </row>
    <row r="307" spans="3:20">
      <c r="C307" s="48">
        <v>40466</v>
      </c>
      <c r="D307">
        <v>22.0124</v>
      </c>
      <c r="F307">
        <f t="shared" si="24"/>
        <v>22.0124</v>
      </c>
      <c r="H307">
        <f t="shared" si="25"/>
        <v>22.0124</v>
      </c>
      <c r="J307">
        <f t="shared" si="26"/>
        <v>0</v>
      </c>
      <c r="K307">
        <f t="shared" si="27"/>
        <v>22.0124</v>
      </c>
      <c r="M307" s="48">
        <v>40473</v>
      </c>
      <c r="N307">
        <v>3.3654000000000002</v>
      </c>
      <c r="S307">
        <f t="shared" si="28"/>
        <v>0</v>
      </c>
      <c r="T307">
        <f t="shared" si="29"/>
        <v>3.3654000000000002</v>
      </c>
    </row>
    <row r="308" spans="3:20">
      <c r="C308" s="48">
        <v>40473</v>
      </c>
      <c r="D308">
        <v>20.8017</v>
      </c>
      <c r="F308">
        <f t="shared" si="24"/>
        <v>20.8017</v>
      </c>
      <c r="H308">
        <f t="shared" si="25"/>
        <v>20.8017</v>
      </c>
      <c r="J308">
        <f t="shared" si="26"/>
        <v>0</v>
      </c>
      <c r="K308">
        <f t="shared" si="27"/>
        <v>20.8017</v>
      </c>
      <c r="M308" s="48">
        <v>40480</v>
      </c>
      <c r="N308">
        <v>3.3064</v>
      </c>
      <c r="S308">
        <f t="shared" si="28"/>
        <v>0</v>
      </c>
      <c r="T308">
        <f t="shared" si="29"/>
        <v>3.3064</v>
      </c>
    </row>
    <row r="309" spans="3:20">
      <c r="C309" s="48">
        <v>40480</v>
      </c>
      <c r="D309">
        <v>20.203900000000001</v>
      </c>
      <c r="F309">
        <f t="shared" si="24"/>
        <v>20.203900000000001</v>
      </c>
      <c r="H309">
        <f t="shared" si="25"/>
        <v>20.203900000000001</v>
      </c>
      <c r="J309">
        <f t="shared" si="26"/>
        <v>0</v>
      </c>
      <c r="K309">
        <f t="shared" si="27"/>
        <v>20.203900000000001</v>
      </c>
      <c r="M309" s="48">
        <v>40487</v>
      </c>
      <c r="N309">
        <v>3.3933</v>
      </c>
      <c r="S309">
        <f t="shared" si="28"/>
        <v>0</v>
      </c>
      <c r="T309">
        <f t="shared" si="29"/>
        <v>3.3933</v>
      </c>
    </row>
    <row r="310" spans="3:20">
      <c r="C310" s="48">
        <v>40487</v>
      </c>
      <c r="D310">
        <v>20.9512</v>
      </c>
      <c r="F310">
        <f t="shared" si="24"/>
        <v>20.9512</v>
      </c>
      <c r="H310">
        <f t="shared" si="25"/>
        <v>20.9512</v>
      </c>
      <c r="J310">
        <f t="shared" si="26"/>
        <v>0</v>
      </c>
      <c r="K310">
        <f t="shared" si="27"/>
        <v>20.9512</v>
      </c>
      <c r="M310" s="48">
        <v>40494</v>
      </c>
      <c r="N310">
        <v>3.6983999999999999</v>
      </c>
      <c r="S310">
        <f t="shared" si="28"/>
        <v>0</v>
      </c>
      <c r="T310">
        <f t="shared" si="29"/>
        <v>3.6983999999999999</v>
      </c>
    </row>
    <row r="311" spans="3:20">
      <c r="C311" s="48">
        <v>40494</v>
      </c>
      <c r="D311">
        <v>21.774100000000001</v>
      </c>
      <c r="F311">
        <f t="shared" si="24"/>
        <v>21.774100000000001</v>
      </c>
      <c r="H311">
        <f t="shared" si="25"/>
        <v>21.774100000000001</v>
      </c>
      <c r="J311">
        <f t="shared" si="26"/>
        <v>0</v>
      </c>
      <c r="K311">
        <f t="shared" si="27"/>
        <v>21.774100000000001</v>
      </c>
      <c r="M311" s="48">
        <v>40501</v>
      </c>
      <c r="N311">
        <v>3.7351000000000001</v>
      </c>
      <c r="S311">
        <f t="shared" si="28"/>
        <v>0</v>
      </c>
      <c r="T311">
        <f t="shared" si="29"/>
        <v>3.7351000000000001</v>
      </c>
    </row>
    <row r="312" spans="3:20">
      <c r="C312" s="48">
        <v>40501</v>
      </c>
      <c r="D312">
        <v>21.047699999999999</v>
      </c>
      <c r="F312">
        <f t="shared" si="24"/>
        <v>21.047699999999999</v>
      </c>
      <c r="H312">
        <f t="shared" si="25"/>
        <v>21.047699999999999</v>
      </c>
      <c r="J312">
        <f t="shared" si="26"/>
        <v>0</v>
      </c>
      <c r="K312">
        <f t="shared" si="27"/>
        <v>21.047699999999999</v>
      </c>
      <c r="M312" s="48">
        <v>40508</v>
      </c>
      <c r="N312">
        <v>3.9201999999999999</v>
      </c>
      <c r="S312">
        <f t="shared" si="28"/>
        <v>0</v>
      </c>
      <c r="T312">
        <f t="shared" si="29"/>
        <v>3.9201999999999999</v>
      </c>
    </row>
    <row r="313" spans="3:20">
      <c r="C313" s="48">
        <v>40508</v>
      </c>
      <c r="D313">
        <v>20.9346</v>
      </c>
      <c r="F313">
        <f t="shared" si="24"/>
        <v>20.9346</v>
      </c>
      <c r="H313">
        <f t="shared" si="25"/>
        <v>20.9346</v>
      </c>
      <c r="J313">
        <f t="shared" si="26"/>
        <v>0</v>
      </c>
      <c r="K313">
        <f t="shared" si="27"/>
        <v>20.9346</v>
      </c>
      <c r="M313" s="48">
        <v>40515</v>
      </c>
      <c r="N313">
        <v>4.2015000000000002</v>
      </c>
      <c r="S313">
        <f t="shared" si="28"/>
        <v>0</v>
      </c>
      <c r="T313">
        <f t="shared" si="29"/>
        <v>4.2015000000000002</v>
      </c>
    </row>
    <row r="314" spans="3:20">
      <c r="C314" s="48">
        <v>40515</v>
      </c>
      <c r="D314">
        <v>20.500900000000001</v>
      </c>
      <c r="F314">
        <f t="shared" si="24"/>
        <v>20.500900000000001</v>
      </c>
      <c r="H314">
        <f t="shared" si="25"/>
        <v>20.500900000000001</v>
      </c>
      <c r="J314">
        <f t="shared" si="26"/>
        <v>0</v>
      </c>
      <c r="K314">
        <f t="shared" si="27"/>
        <v>20.500900000000001</v>
      </c>
      <c r="M314" s="48">
        <v>40522</v>
      </c>
      <c r="N314">
        <v>4.4619</v>
      </c>
      <c r="S314">
        <f t="shared" si="28"/>
        <v>0</v>
      </c>
      <c r="T314">
        <f t="shared" si="29"/>
        <v>4.4619</v>
      </c>
    </row>
    <row r="315" spans="3:20">
      <c r="C315" s="48">
        <v>40522</v>
      </c>
      <c r="D315">
        <v>21.552800000000001</v>
      </c>
      <c r="F315">
        <f t="shared" si="24"/>
        <v>21.552800000000001</v>
      </c>
      <c r="H315">
        <f t="shared" si="25"/>
        <v>21.552800000000001</v>
      </c>
      <c r="J315">
        <f t="shared" si="26"/>
        <v>0</v>
      </c>
      <c r="K315">
        <f t="shared" si="27"/>
        <v>21.552800000000001</v>
      </c>
      <c r="M315" s="48">
        <v>40529</v>
      </c>
      <c r="N315">
        <v>4.2607999999999997</v>
      </c>
      <c r="S315">
        <f t="shared" si="28"/>
        <v>0</v>
      </c>
      <c r="T315">
        <f t="shared" si="29"/>
        <v>4.2607999999999997</v>
      </c>
    </row>
    <row r="316" spans="3:20">
      <c r="C316" s="48">
        <v>40529</v>
      </c>
      <c r="D316">
        <v>22.003</v>
      </c>
      <c r="F316">
        <f t="shared" si="24"/>
        <v>22.003</v>
      </c>
      <c r="H316">
        <f t="shared" si="25"/>
        <v>22.003</v>
      </c>
      <c r="J316">
        <f t="shared" si="26"/>
        <v>0</v>
      </c>
      <c r="K316">
        <f t="shared" si="27"/>
        <v>22.003</v>
      </c>
      <c r="M316" s="48">
        <v>40536</v>
      </c>
      <c r="N316">
        <v>4.0915999999999997</v>
      </c>
      <c r="S316">
        <f t="shared" si="28"/>
        <v>0</v>
      </c>
      <c r="T316">
        <f t="shared" si="29"/>
        <v>4.0915999999999997</v>
      </c>
    </row>
    <row r="317" spans="3:20">
      <c r="C317" s="48">
        <v>40536</v>
      </c>
      <c r="D317">
        <v>24.063099999999999</v>
      </c>
      <c r="F317">
        <f t="shared" si="24"/>
        <v>24.063099999999999</v>
      </c>
      <c r="H317">
        <f t="shared" si="25"/>
        <v>24.063099999999999</v>
      </c>
      <c r="J317">
        <f t="shared" si="26"/>
        <v>0</v>
      </c>
      <c r="K317">
        <f t="shared" si="27"/>
        <v>24.063099999999999</v>
      </c>
      <c r="M317" s="48">
        <v>40543</v>
      </c>
      <c r="N317">
        <v>4.1395</v>
      </c>
      <c r="S317">
        <f t="shared" si="28"/>
        <v>0</v>
      </c>
      <c r="T317">
        <f t="shared" si="29"/>
        <v>4.1395</v>
      </c>
    </row>
    <row r="318" spans="3:20">
      <c r="C318" s="48">
        <v>40543</v>
      </c>
      <c r="D318">
        <v>24.488800000000001</v>
      </c>
      <c r="F318">
        <f t="shared" si="24"/>
        <v>24.488800000000001</v>
      </c>
      <c r="H318">
        <f t="shared" si="25"/>
        <v>24.488800000000001</v>
      </c>
      <c r="J318">
        <f t="shared" si="26"/>
        <v>0</v>
      </c>
      <c r="K318">
        <f t="shared" si="27"/>
        <v>24.488800000000001</v>
      </c>
      <c r="M318" s="48">
        <v>40550</v>
      </c>
      <c r="N318">
        <v>4.5152000000000001</v>
      </c>
      <c r="S318">
        <f t="shared" si="28"/>
        <v>0</v>
      </c>
      <c r="T318">
        <f t="shared" si="29"/>
        <v>4.5152000000000001</v>
      </c>
    </row>
    <row r="319" spans="3:20">
      <c r="C319" s="48">
        <v>40550</v>
      </c>
      <c r="D319">
        <v>25.132000000000001</v>
      </c>
      <c r="F319">
        <f t="shared" si="24"/>
        <v>25.132000000000001</v>
      </c>
      <c r="H319">
        <f t="shared" si="25"/>
        <v>25.132000000000001</v>
      </c>
      <c r="J319">
        <f t="shared" si="26"/>
        <v>0</v>
      </c>
      <c r="K319">
        <f t="shared" si="27"/>
        <v>25.132000000000001</v>
      </c>
      <c r="M319" s="48">
        <v>40557</v>
      </c>
      <c r="N319">
        <v>4.4730999999999996</v>
      </c>
      <c r="S319">
        <f t="shared" si="28"/>
        <v>0</v>
      </c>
      <c r="T319">
        <f t="shared" si="29"/>
        <v>4.4730999999999996</v>
      </c>
    </row>
    <row r="320" spans="3:20">
      <c r="C320" s="48">
        <v>40557</v>
      </c>
      <c r="D320">
        <v>26.021100000000001</v>
      </c>
      <c r="F320">
        <f t="shared" si="24"/>
        <v>26.021100000000001</v>
      </c>
      <c r="H320">
        <f t="shared" si="25"/>
        <v>26.021100000000001</v>
      </c>
      <c r="J320">
        <f t="shared" si="26"/>
        <v>0</v>
      </c>
      <c r="K320">
        <f t="shared" si="27"/>
        <v>26.021100000000001</v>
      </c>
      <c r="M320" s="48">
        <v>40564</v>
      </c>
      <c r="N320">
        <v>4.5713999999999997</v>
      </c>
      <c r="S320">
        <f t="shared" si="28"/>
        <v>0</v>
      </c>
      <c r="T320">
        <f t="shared" si="29"/>
        <v>4.5713999999999997</v>
      </c>
    </row>
    <row r="321" spans="3:20">
      <c r="C321" s="48">
        <v>40564</v>
      </c>
      <c r="D321">
        <v>26.274100000000001</v>
      </c>
      <c r="F321">
        <f t="shared" si="24"/>
        <v>26.274100000000001</v>
      </c>
      <c r="H321">
        <f t="shared" si="25"/>
        <v>26.274100000000001</v>
      </c>
      <c r="J321">
        <f t="shared" si="26"/>
        <v>0</v>
      </c>
      <c r="K321">
        <f t="shared" si="27"/>
        <v>26.274100000000001</v>
      </c>
      <c r="M321" s="48">
        <v>40571</v>
      </c>
      <c r="N321">
        <v>4.4489000000000001</v>
      </c>
      <c r="S321">
        <f t="shared" si="28"/>
        <v>0</v>
      </c>
      <c r="T321">
        <f t="shared" si="29"/>
        <v>4.4489000000000001</v>
      </c>
    </row>
    <row r="322" spans="3:20">
      <c r="C322" s="48">
        <v>40571</v>
      </c>
      <c r="D322">
        <v>26.231100000000001</v>
      </c>
      <c r="F322">
        <f t="shared" si="24"/>
        <v>26.231100000000001</v>
      </c>
      <c r="H322">
        <f t="shared" si="25"/>
        <v>26.231100000000001</v>
      </c>
      <c r="J322">
        <f t="shared" si="26"/>
        <v>0</v>
      </c>
      <c r="K322">
        <f t="shared" si="27"/>
        <v>26.231100000000001</v>
      </c>
      <c r="M322" s="48">
        <v>40578</v>
      </c>
      <c r="N322">
        <v>4.5141999999999998</v>
      </c>
      <c r="S322">
        <f t="shared" si="28"/>
        <v>0</v>
      </c>
      <c r="T322">
        <f t="shared" si="29"/>
        <v>4.5141999999999998</v>
      </c>
    </row>
    <row r="323" spans="3:20">
      <c r="C323" s="48">
        <v>40578</v>
      </c>
      <c r="D323">
        <v>28.527699999999999</v>
      </c>
      <c r="F323">
        <f t="shared" si="24"/>
        <v>28.527699999999999</v>
      </c>
      <c r="H323">
        <f t="shared" si="25"/>
        <v>28.527699999999999</v>
      </c>
      <c r="J323">
        <f t="shared" si="26"/>
        <v>0</v>
      </c>
      <c r="K323">
        <f t="shared" si="27"/>
        <v>28.527699999999999</v>
      </c>
      <c r="M323" s="48">
        <v>40585</v>
      </c>
      <c r="N323">
        <v>4.1703999999999999</v>
      </c>
      <c r="S323">
        <f t="shared" si="28"/>
        <v>0</v>
      </c>
      <c r="T323">
        <f t="shared" si="29"/>
        <v>4.1703999999999999</v>
      </c>
    </row>
    <row r="324" spans="3:20">
      <c r="C324" s="48">
        <v>40585</v>
      </c>
      <c r="D324">
        <v>29.386500000000002</v>
      </c>
      <c r="F324">
        <f t="shared" si="24"/>
        <v>29.386500000000002</v>
      </c>
      <c r="H324">
        <f t="shared" si="25"/>
        <v>29.386500000000002</v>
      </c>
      <c r="J324">
        <f t="shared" si="26"/>
        <v>0</v>
      </c>
      <c r="K324">
        <f t="shared" si="27"/>
        <v>29.386500000000002</v>
      </c>
      <c r="M324" s="48">
        <v>40592</v>
      </c>
      <c r="N324">
        <v>3.8961000000000001</v>
      </c>
      <c r="S324">
        <f t="shared" si="28"/>
        <v>0</v>
      </c>
      <c r="T324">
        <f t="shared" si="29"/>
        <v>3.8961000000000001</v>
      </c>
    </row>
    <row r="325" spans="3:20">
      <c r="C325" s="48">
        <v>40592</v>
      </c>
      <c r="D325">
        <v>29.104600000000001</v>
      </c>
      <c r="F325">
        <f t="shared" ref="F325:F388" si="30">D325</f>
        <v>29.104600000000001</v>
      </c>
      <c r="H325">
        <f t="shared" ref="H325:H388" si="31">F325</f>
        <v>29.104600000000001</v>
      </c>
      <c r="J325">
        <f t="shared" ref="J325:J388" si="32">K325-F325</f>
        <v>0</v>
      </c>
      <c r="K325">
        <f t="shared" ref="K325:K388" si="33">H325</f>
        <v>29.104600000000001</v>
      </c>
      <c r="M325" s="48">
        <v>40599</v>
      </c>
      <c r="N325">
        <v>3.84</v>
      </c>
      <c r="S325">
        <f t="shared" ref="S325:S388" si="34">T325-N325</f>
        <v>0</v>
      </c>
      <c r="T325">
        <f t="shared" ref="T325:T388" si="35">N325</f>
        <v>3.84</v>
      </c>
    </row>
    <row r="326" spans="3:20">
      <c r="C326" s="48">
        <v>40599</v>
      </c>
      <c r="D326">
        <v>32.173999999999999</v>
      </c>
      <c r="F326">
        <f t="shared" si="30"/>
        <v>32.173999999999999</v>
      </c>
      <c r="H326">
        <f t="shared" si="31"/>
        <v>32.173999999999999</v>
      </c>
      <c r="J326">
        <f t="shared" si="32"/>
        <v>0</v>
      </c>
      <c r="K326">
        <f t="shared" si="33"/>
        <v>32.173999999999999</v>
      </c>
      <c r="M326" s="48">
        <v>40606</v>
      </c>
      <c r="N326">
        <v>3.8195999999999999</v>
      </c>
      <c r="S326">
        <f t="shared" si="34"/>
        <v>0</v>
      </c>
      <c r="T326">
        <f t="shared" si="35"/>
        <v>3.8195999999999999</v>
      </c>
    </row>
    <row r="327" spans="3:20">
      <c r="C327" s="48">
        <v>40606</v>
      </c>
      <c r="D327">
        <v>32.235500000000002</v>
      </c>
      <c r="F327">
        <f t="shared" si="30"/>
        <v>32.235500000000002</v>
      </c>
      <c r="H327">
        <f t="shared" si="31"/>
        <v>32.235500000000002</v>
      </c>
      <c r="J327">
        <f t="shared" si="32"/>
        <v>0</v>
      </c>
      <c r="K327">
        <f t="shared" si="33"/>
        <v>32.235500000000002</v>
      </c>
      <c r="M327" s="48">
        <v>40613</v>
      </c>
      <c r="N327">
        <v>3.8044000000000002</v>
      </c>
      <c r="S327">
        <f t="shared" si="34"/>
        <v>0</v>
      </c>
      <c r="T327">
        <f t="shared" si="35"/>
        <v>3.8044000000000002</v>
      </c>
    </row>
    <row r="328" spans="3:20">
      <c r="C328" s="48">
        <v>40613</v>
      </c>
      <c r="D328">
        <v>31.121200000000002</v>
      </c>
      <c r="F328">
        <f t="shared" si="30"/>
        <v>31.121200000000002</v>
      </c>
      <c r="H328">
        <f t="shared" si="31"/>
        <v>31.121200000000002</v>
      </c>
      <c r="J328">
        <f t="shared" si="32"/>
        <v>0</v>
      </c>
      <c r="K328">
        <f t="shared" si="33"/>
        <v>31.121200000000002</v>
      </c>
      <c r="M328" s="48">
        <v>40620</v>
      </c>
      <c r="N328">
        <v>3.8786</v>
      </c>
      <c r="S328">
        <f t="shared" si="34"/>
        <v>0</v>
      </c>
      <c r="T328">
        <f t="shared" si="35"/>
        <v>3.8786</v>
      </c>
    </row>
    <row r="329" spans="3:20">
      <c r="C329" s="48">
        <v>40620</v>
      </c>
      <c r="D329">
        <v>32.006599999999999</v>
      </c>
      <c r="F329">
        <f t="shared" si="30"/>
        <v>32.006599999999999</v>
      </c>
      <c r="H329">
        <f t="shared" si="31"/>
        <v>32.006599999999999</v>
      </c>
      <c r="J329">
        <f t="shared" si="32"/>
        <v>0</v>
      </c>
      <c r="K329">
        <f t="shared" si="33"/>
        <v>32.006599999999999</v>
      </c>
      <c r="M329" s="48">
        <v>40627</v>
      </c>
      <c r="N329">
        <v>4.1246</v>
      </c>
      <c r="S329">
        <f t="shared" si="34"/>
        <v>0</v>
      </c>
      <c r="T329">
        <f t="shared" si="35"/>
        <v>4.1246</v>
      </c>
    </row>
    <row r="330" spans="3:20">
      <c r="C330" s="48">
        <v>40627</v>
      </c>
      <c r="D330">
        <v>32.0274</v>
      </c>
      <c r="F330">
        <f t="shared" si="30"/>
        <v>32.0274</v>
      </c>
      <c r="H330">
        <f t="shared" si="31"/>
        <v>32.0274</v>
      </c>
      <c r="J330">
        <f t="shared" si="32"/>
        <v>0</v>
      </c>
      <c r="K330">
        <f t="shared" si="33"/>
        <v>32.0274</v>
      </c>
      <c r="M330" s="48">
        <v>40634</v>
      </c>
      <c r="N330">
        <v>4.3006000000000002</v>
      </c>
      <c r="S330">
        <f t="shared" si="34"/>
        <v>0</v>
      </c>
      <c r="T330">
        <f t="shared" si="35"/>
        <v>4.3006000000000002</v>
      </c>
    </row>
    <row r="331" spans="3:20">
      <c r="C331" s="48">
        <v>40634</v>
      </c>
      <c r="D331">
        <v>31.739799999999999</v>
      </c>
      <c r="F331">
        <f t="shared" si="30"/>
        <v>31.739799999999999</v>
      </c>
      <c r="H331">
        <f t="shared" si="31"/>
        <v>31.739799999999999</v>
      </c>
      <c r="J331">
        <f t="shared" si="32"/>
        <v>0</v>
      </c>
      <c r="K331">
        <f t="shared" si="33"/>
        <v>31.739799999999999</v>
      </c>
      <c r="M331" s="48">
        <v>40641</v>
      </c>
      <c r="N331">
        <v>4.1559999999999997</v>
      </c>
      <c r="S331">
        <f t="shared" si="34"/>
        <v>0</v>
      </c>
      <c r="T331">
        <f t="shared" si="35"/>
        <v>4.1559999999999997</v>
      </c>
    </row>
    <row r="332" spans="3:20">
      <c r="C332" s="48">
        <v>40641</v>
      </c>
      <c r="D332">
        <v>32.127699999999997</v>
      </c>
      <c r="F332">
        <f t="shared" si="30"/>
        <v>32.127699999999997</v>
      </c>
      <c r="H332">
        <f t="shared" si="31"/>
        <v>32.127699999999997</v>
      </c>
      <c r="J332">
        <f t="shared" si="32"/>
        <v>0</v>
      </c>
      <c r="K332">
        <f t="shared" si="33"/>
        <v>32.127699999999997</v>
      </c>
      <c r="M332" s="48">
        <v>40648</v>
      </c>
      <c r="N332">
        <v>4.1219999999999999</v>
      </c>
      <c r="S332">
        <f t="shared" si="34"/>
        <v>0</v>
      </c>
      <c r="T332">
        <f t="shared" si="35"/>
        <v>4.1219999999999999</v>
      </c>
    </row>
    <row r="333" spans="3:20">
      <c r="C333" s="48">
        <v>40648</v>
      </c>
      <c r="D333">
        <v>30.844999999999999</v>
      </c>
      <c r="F333">
        <f t="shared" si="30"/>
        <v>30.844999999999999</v>
      </c>
      <c r="H333">
        <f t="shared" si="31"/>
        <v>30.844999999999999</v>
      </c>
      <c r="J333">
        <f t="shared" si="32"/>
        <v>0</v>
      </c>
      <c r="K333">
        <f t="shared" si="33"/>
        <v>30.844999999999999</v>
      </c>
      <c r="M333" s="48">
        <v>40655</v>
      </c>
      <c r="N333">
        <v>4.2732000000000001</v>
      </c>
      <c r="S333">
        <f t="shared" si="34"/>
        <v>0</v>
      </c>
      <c r="T333">
        <f t="shared" si="35"/>
        <v>4.2732000000000001</v>
      </c>
    </row>
    <row r="334" spans="3:20">
      <c r="C334" s="48">
        <v>40655</v>
      </c>
      <c r="D334">
        <v>30.471399999999999</v>
      </c>
      <c r="F334">
        <f t="shared" si="30"/>
        <v>30.471399999999999</v>
      </c>
      <c r="H334">
        <f t="shared" si="31"/>
        <v>30.471399999999999</v>
      </c>
      <c r="J334">
        <f t="shared" si="32"/>
        <v>0</v>
      </c>
      <c r="K334">
        <f t="shared" si="33"/>
        <v>30.471399999999999</v>
      </c>
      <c r="M334" s="48">
        <v>40662</v>
      </c>
      <c r="N334">
        <v>4.3856000000000002</v>
      </c>
      <c r="S334">
        <f t="shared" si="34"/>
        <v>0</v>
      </c>
      <c r="T334">
        <f t="shared" si="35"/>
        <v>4.3856000000000002</v>
      </c>
    </row>
    <row r="335" spans="3:20">
      <c r="C335" s="48">
        <v>40662</v>
      </c>
      <c r="D335">
        <v>31.3293</v>
      </c>
      <c r="F335">
        <f t="shared" si="30"/>
        <v>31.3293</v>
      </c>
      <c r="H335">
        <f t="shared" si="31"/>
        <v>31.3293</v>
      </c>
      <c r="J335">
        <f t="shared" si="32"/>
        <v>0</v>
      </c>
      <c r="K335">
        <f t="shared" si="33"/>
        <v>31.3293</v>
      </c>
      <c r="M335" s="48">
        <v>40669</v>
      </c>
      <c r="N335">
        <v>4.5056000000000003</v>
      </c>
      <c r="S335">
        <f t="shared" si="34"/>
        <v>0</v>
      </c>
      <c r="T335">
        <f t="shared" si="35"/>
        <v>4.5056000000000003</v>
      </c>
    </row>
    <row r="336" spans="3:20">
      <c r="C336" s="48">
        <v>40669</v>
      </c>
      <c r="D336">
        <v>29.7195</v>
      </c>
      <c r="F336">
        <f t="shared" si="30"/>
        <v>29.7195</v>
      </c>
      <c r="H336">
        <f t="shared" si="31"/>
        <v>29.7195</v>
      </c>
      <c r="J336">
        <f t="shared" si="32"/>
        <v>0</v>
      </c>
      <c r="K336">
        <f t="shared" si="33"/>
        <v>29.7195</v>
      </c>
      <c r="M336" s="48">
        <v>40676</v>
      </c>
      <c r="N336">
        <v>4.1791999999999998</v>
      </c>
      <c r="S336">
        <f t="shared" si="34"/>
        <v>0</v>
      </c>
      <c r="T336">
        <f t="shared" si="35"/>
        <v>4.1791999999999998</v>
      </c>
    </row>
    <row r="337" spans="3:20">
      <c r="C337" s="48">
        <v>40676</v>
      </c>
      <c r="D337">
        <v>29.151900000000001</v>
      </c>
      <c r="F337">
        <f t="shared" si="30"/>
        <v>29.151900000000001</v>
      </c>
      <c r="H337">
        <f t="shared" si="31"/>
        <v>29.151900000000001</v>
      </c>
      <c r="J337">
        <f t="shared" si="32"/>
        <v>0</v>
      </c>
      <c r="K337">
        <f t="shared" si="33"/>
        <v>29.151900000000001</v>
      </c>
      <c r="M337" s="48">
        <v>40683</v>
      </c>
      <c r="N337">
        <v>4.1517999999999997</v>
      </c>
      <c r="S337">
        <f t="shared" si="34"/>
        <v>0</v>
      </c>
      <c r="T337">
        <f t="shared" si="35"/>
        <v>4.1517999999999997</v>
      </c>
    </row>
    <row r="338" spans="3:20">
      <c r="C338" s="48">
        <v>40683</v>
      </c>
      <c r="D338">
        <v>28.223099999999999</v>
      </c>
      <c r="F338">
        <f t="shared" si="30"/>
        <v>28.223099999999999</v>
      </c>
      <c r="H338">
        <f t="shared" si="31"/>
        <v>28.223099999999999</v>
      </c>
      <c r="J338">
        <f t="shared" si="32"/>
        <v>0</v>
      </c>
      <c r="K338">
        <f t="shared" si="33"/>
        <v>28.223099999999999</v>
      </c>
      <c r="M338" s="48">
        <v>40690</v>
      </c>
      <c r="N338">
        <v>4.3441000000000001</v>
      </c>
      <c r="S338">
        <f t="shared" si="34"/>
        <v>0</v>
      </c>
      <c r="T338">
        <f t="shared" si="35"/>
        <v>4.3441000000000001</v>
      </c>
    </row>
    <row r="339" spans="3:20">
      <c r="C339" s="48">
        <v>40690</v>
      </c>
      <c r="D339">
        <v>29.191700000000001</v>
      </c>
      <c r="F339">
        <f t="shared" si="30"/>
        <v>29.191700000000001</v>
      </c>
      <c r="H339">
        <f t="shared" si="31"/>
        <v>29.191700000000001</v>
      </c>
      <c r="J339">
        <f t="shared" si="32"/>
        <v>0</v>
      </c>
      <c r="K339">
        <f t="shared" si="33"/>
        <v>29.191700000000001</v>
      </c>
      <c r="M339" s="48">
        <v>40697</v>
      </c>
      <c r="N339">
        <v>4.6521999999999997</v>
      </c>
      <c r="S339">
        <f t="shared" si="34"/>
        <v>0</v>
      </c>
      <c r="T339">
        <f t="shared" si="35"/>
        <v>4.6521999999999997</v>
      </c>
    </row>
    <row r="340" spans="3:20">
      <c r="C340" s="48">
        <v>40697</v>
      </c>
      <c r="D340">
        <v>29.040800000000001</v>
      </c>
      <c r="F340">
        <f t="shared" si="30"/>
        <v>29.040800000000001</v>
      </c>
      <c r="H340">
        <f t="shared" si="31"/>
        <v>29.040800000000001</v>
      </c>
      <c r="J340">
        <f t="shared" si="32"/>
        <v>0</v>
      </c>
      <c r="K340">
        <f t="shared" si="33"/>
        <v>29.040800000000001</v>
      </c>
      <c r="M340" s="48">
        <v>40704</v>
      </c>
      <c r="N340">
        <v>4.8250000000000002</v>
      </c>
      <c r="S340">
        <f t="shared" si="34"/>
        <v>0</v>
      </c>
      <c r="T340">
        <f t="shared" si="35"/>
        <v>4.8250000000000002</v>
      </c>
    </row>
    <row r="341" spans="3:20">
      <c r="C341" s="48">
        <v>40704</v>
      </c>
      <c r="D341">
        <v>27.996099999999998</v>
      </c>
      <c r="F341">
        <f t="shared" si="30"/>
        <v>27.996099999999998</v>
      </c>
      <c r="H341">
        <f t="shared" si="31"/>
        <v>27.996099999999998</v>
      </c>
      <c r="J341">
        <f t="shared" si="32"/>
        <v>0</v>
      </c>
      <c r="K341">
        <f t="shared" si="33"/>
        <v>27.996099999999998</v>
      </c>
      <c r="M341" s="48">
        <v>40711</v>
      </c>
      <c r="N341">
        <v>4.5709999999999997</v>
      </c>
      <c r="S341">
        <f t="shared" si="34"/>
        <v>0</v>
      </c>
      <c r="T341">
        <f t="shared" si="35"/>
        <v>4.5709999999999997</v>
      </c>
    </row>
    <row r="342" spans="3:20">
      <c r="C342" s="48">
        <v>40711</v>
      </c>
      <c r="D342">
        <v>26.9102</v>
      </c>
      <c r="F342">
        <f t="shared" si="30"/>
        <v>26.9102</v>
      </c>
      <c r="H342">
        <f t="shared" si="31"/>
        <v>26.9102</v>
      </c>
      <c r="J342">
        <f t="shared" si="32"/>
        <v>0</v>
      </c>
      <c r="K342">
        <f t="shared" si="33"/>
        <v>26.9102</v>
      </c>
      <c r="M342" s="48">
        <v>40718</v>
      </c>
      <c r="N342">
        <v>4.3243</v>
      </c>
      <c r="S342">
        <f t="shared" si="34"/>
        <v>0</v>
      </c>
      <c r="T342">
        <f t="shared" si="35"/>
        <v>4.3243</v>
      </c>
    </row>
    <row r="343" spans="3:20">
      <c r="C343" s="48">
        <v>40718</v>
      </c>
      <c r="D343">
        <v>27.025600000000001</v>
      </c>
      <c r="F343">
        <f t="shared" si="30"/>
        <v>27.025600000000001</v>
      </c>
      <c r="H343">
        <f t="shared" si="31"/>
        <v>27.025600000000001</v>
      </c>
      <c r="J343">
        <f t="shared" si="32"/>
        <v>0</v>
      </c>
      <c r="K343">
        <f t="shared" si="33"/>
        <v>27.025600000000001</v>
      </c>
      <c r="M343" s="48">
        <v>40725</v>
      </c>
      <c r="N343">
        <v>4.3207000000000004</v>
      </c>
      <c r="S343">
        <f t="shared" si="34"/>
        <v>0</v>
      </c>
      <c r="T343">
        <f t="shared" si="35"/>
        <v>4.3207000000000004</v>
      </c>
    </row>
    <row r="344" spans="3:20">
      <c r="C344" s="48">
        <v>40725</v>
      </c>
      <c r="D344">
        <v>27.496600000000001</v>
      </c>
      <c r="F344">
        <f t="shared" si="30"/>
        <v>27.496600000000001</v>
      </c>
      <c r="H344">
        <f t="shared" si="31"/>
        <v>27.496600000000001</v>
      </c>
      <c r="J344">
        <f t="shared" si="32"/>
        <v>0</v>
      </c>
      <c r="K344">
        <f t="shared" si="33"/>
        <v>27.496600000000001</v>
      </c>
      <c r="M344" s="48">
        <v>40732</v>
      </c>
      <c r="N344">
        <v>4.2973999999999997</v>
      </c>
      <c r="S344">
        <f t="shared" si="34"/>
        <v>0</v>
      </c>
      <c r="T344">
        <f t="shared" si="35"/>
        <v>4.2973999999999997</v>
      </c>
    </row>
    <row r="345" spans="3:20">
      <c r="C345" s="48">
        <v>40732</v>
      </c>
      <c r="D345">
        <v>28.745200000000001</v>
      </c>
      <c r="F345">
        <f t="shared" si="30"/>
        <v>28.745200000000001</v>
      </c>
      <c r="H345">
        <f t="shared" si="31"/>
        <v>28.745200000000001</v>
      </c>
      <c r="J345">
        <f t="shared" si="32"/>
        <v>0</v>
      </c>
      <c r="K345">
        <f t="shared" si="33"/>
        <v>28.745200000000001</v>
      </c>
      <c r="M345" s="48">
        <v>40739</v>
      </c>
      <c r="N345">
        <v>4.4135999999999997</v>
      </c>
      <c r="S345">
        <f t="shared" si="34"/>
        <v>0</v>
      </c>
      <c r="T345">
        <f t="shared" si="35"/>
        <v>4.4135999999999997</v>
      </c>
    </row>
    <row r="346" spans="3:20">
      <c r="C346" s="48">
        <v>40739</v>
      </c>
      <c r="D346">
        <v>28.873799999999999</v>
      </c>
      <c r="F346">
        <f t="shared" si="30"/>
        <v>28.873799999999999</v>
      </c>
      <c r="H346">
        <f t="shared" si="31"/>
        <v>28.873799999999999</v>
      </c>
      <c r="J346">
        <f t="shared" si="32"/>
        <v>0</v>
      </c>
      <c r="K346">
        <f t="shared" si="33"/>
        <v>28.873799999999999</v>
      </c>
      <c r="M346" s="48">
        <v>40746</v>
      </c>
      <c r="N346">
        <v>4.5758000000000001</v>
      </c>
      <c r="S346">
        <f t="shared" si="34"/>
        <v>0</v>
      </c>
      <c r="T346">
        <f t="shared" si="35"/>
        <v>4.5758000000000001</v>
      </c>
    </row>
    <row r="347" spans="3:20">
      <c r="C347" s="48">
        <v>40746</v>
      </c>
      <c r="D347">
        <v>31.9025</v>
      </c>
      <c r="F347">
        <f t="shared" si="30"/>
        <v>31.9025</v>
      </c>
      <c r="H347">
        <f t="shared" si="31"/>
        <v>31.9025</v>
      </c>
      <c r="J347">
        <f t="shared" si="32"/>
        <v>0</v>
      </c>
      <c r="K347">
        <f t="shared" si="33"/>
        <v>31.9025</v>
      </c>
      <c r="M347" s="48">
        <v>40753</v>
      </c>
      <c r="N347">
        <v>4.4019000000000004</v>
      </c>
      <c r="S347">
        <f t="shared" si="34"/>
        <v>0</v>
      </c>
      <c r="T347">
        <f t="shared" si="35"/>
        <v>4.4019000000000004</v>
      </c>
    </row>
    <row r="348" spans="3:20">
      <c r="C348" s="48">
        <v>40753</v>
      </c>
      <c r="D348">
        <v>32.000900000000001</v>
      </c>
      <c r="F348">
        <f t="shared" si="30"/>
        <v>32.000900000000001</v>
      </c>
      <c r="H348">
        <f t="shared" si="31"/>
        <v>32.000900000000001</v>
      </c>
      <c r="J348">
        <f t="shared" si="32"/>
        <v>0</v>
      </c>
      <c r="K348">
        <f t="shared" si="33"/>
        <v>32.000900000000001</v>
      </c>
      <c r="M348" s="48">
        <v>40760</v>
      </c>
      <c r="N348">
        <v>4.2079000000000004</v>
      </c>
      <c r="S348">
        <f t="shared" si="34"/>
        <v>0</v>
      </c>
      <c r="T348">
        <f t="shared" si="35"/>
        <v>4.2079000000000004</v>
      </c>
    </row>
    <row r="349" spans="3:20">
      <c r="C349" s="48">
        <v>40760</v>
      </c>
      <c r="D349">
        <v>31.168500000000002</v>
      </c>
      <c r="F349">
        <f t="shared" si="30"/>
        <v>31.168500000000002</v>
      </c>
      <c r="H349">
        <f t="shared" si="31"/>
        <v>31.168500000000002</v>
      </c>
      <c r="J349">
        <f t="shared" si="32"/>
        <v>0</v>
      </c>
      <c r="K349">
        <f t="shared" si="33"/>
        <v>31.168500000000002</v>
      </c>
      <c r="M349" s="48">
        <v>40767</v>
      </c>
      <c r="N349">
        <v>4.0782999999999996</v>
      </c>
      <c r="S349">
        <f t="shared" si="34"/>
        <v>0</v>
      </c>
      <c r="T349">
        <f t="shared" si="35"/>
        <v>4.0782999999999996</v>
      </c>
    </row>
    <row r="350" spans="3:20">
      <c r="C350" s="48">
        <v>40767</v>
      </c>
      <c r="D350">
        <v>27.863600000000002</v>
      </c>
      <c r="F350">
        <f t="shared" si="30"/>
        <v>27.863600000000002</v>
      </c>
      <c r="H350">
        <f t="shared" si="31"/>
        <v>27.863600000000002</v>
      </c>
      <c r="J350">
        <f t="shared" si="32"/>
        <v>0</v>
      </c>
      <c r="K350">
        <f t="shared" si="33"/>
        <v>27.863600000000002</v>
      </c>
      <c r="M350" s="48">
        <v>40774</v>
      </c>
      <c r="N350">
        <v>4.0072000000000001</v>
      </c>
      <c r="S350">
        <f t="shared" si="34"/>
        <v>0</v>
      </c>
      <c r="T350">
        <f t="shared" si="35"/>
        <v>4.0072000000000001</v>
      </c>
    </row>
    <row r="351" spans="3:20">
      <c r="C351" s="48">
        <v>40774</v>
      </c>
      <c r="D351">
        <v>29.2806</v>
      </c>
      <c r="F351">
        <f t="shared" si="30"/>
        <v>29.2806</v>
      </c>
      <c r="H351">
        <f t="shared" si="31"/>
        <v>29.2806</v>
      </c>
      <c r="J351">
        <f t="shared" si="32"/>
        <v>0</v>
      </c>
      <c r="K351">
        <f t="shared" si="33"/>
        <v>29.2806</v>
      </c>
      <c r="M351" s="48">
        <v>40781</v>
      </c>
      <c r="N351">
        <v>4.0090000000000003</v>
      </c>
      <c r="S351">
        <f t="shared" si="34"/>
        <v>0</v>
      </c>
      <c r="T351">
        <f t="shared" si="35"/>
        <v>4.0090000000000003</v>
      </c>
    </row>
    <row r="352" spans="3:20">
      <c r="C352" s="48">
        <v>40781</v>
      </c>
      <c r="D352">
        <v>28.058499999999999</v>
      </c>
      <c r="F352">
        <f t="shared" si="30"/>
        <v>28.058499999999999</v>
      </c>
      <c r="H352">
        <f t="shared" si="31"/>
        <v>28.058499999999999</v>
      </c>
      <c r="J352">
        <f t="shared" si="32"/>
        <v>0</v>
      </c>
      <c r="K352">
        <f t="shared" si="33"/>
        <v>28.058499999999999</v>
      </c>
      <c r="M352" s="48">
        <v>40788</v>
      </c>
      <c r="N352">
        <v>4.0091999999999999</v>
      </c>
      <c r="S352">
        <f t="shared" si="34"/>
        <v>0</v>
      </c>
      <c r="T352">
        <f t="shared" si="35"/>
        <v>4.0091999999999999</v>
      </c>
    </row>
    <row r="353" spans="3:20">
      <c r="C353" s="48">
        <v>40788</v>
      </c>
      <c r="D353">
        <v>30.610500000000002</v>
      </c>
      <c r="F353">
        <f t="shared" si="30"/>
        <v>30.610500000000002</v>
      </c>
      <c r="H353">
        <f t="shared" si="31"/>
        <v>30.610500000000002</v>
      </c>
      <c r="J353">
        <f t="shared" si="32"/>
        <v>0</v>
      </c>
      <c r="K353">
        <f t="shared" si="33"/>
        <v>30.610500000000002</v>
      </c>
      <c r="M353" s="48">
        <v>40795</v>
      </c>
      <c r="N353">
        <v>3.9573999999999998</v>
      </c>
      <c r="S353">
        <f t="shared" si="34"/>
        <v>0</v>
      </c>
      <c r="T353">
        <f t="shared" si="35"/>
        <v>3.9573999999999998</v>
      </c>
    </row>
    <row r="354" spans="3:20">
      <c r="C354" s="48">
        <v>40795</v>
      </c>
      <c r="D354">
        <v>29.504300000000001</v>
      </c>
      <c r="F354">
        <f t="shared" si="30"/>
        <v>29.504300000000001</v>
      </c>
      <c r="H354">
        <f t="shared" si="31"/>
        <v>29.504300000000001</v>
      </c>
      <c r="J354">
        <f t="shared" si="32"/>
        <v>0</v>
      </c>
      <c r="K354">
        <f t="shared" si="33"/>
        <v>29.504300000000001</v>
      </c>
      <c r="M354" s="48">
        <v>40802</v>
      </c>
      <c r="N354">
        <v>3.9529000000000001</v>
      </c>
      <c r="S354">
        <f t="shared" si="34"/>
        <v>0</v>
      </c>
      <c r="T354">
        <f t="shared" si="35"/>
        <v>3.9529000000000001</v>
      </c>
    </row>
    <row r="355" spans="3:20">
      <c r="C355" s="48">
        <v>40802</v>
      </c>
      <c r="D355">
        <v>29.7592</v>
      </c>
      <c r="F355">
        <f t="shared" si="30"/>
        <v>29.7592</v>
      </c>
      <c r="H355">
        <f t="shared" si="31"/>
        <v>29.7592</v>
      </c>
      <c r="J355">
        <f t="shared" si="32"/>
        <v>0</v>
      </c>
      <c r="K355">
        <f t="shared" si="33"/>
        <v>29.7592</v>
      </c>
      <c r="M355" s="48">
        <v>40809</v>
      </c>
      <c r="N355">
        <v>3.7702999999999998</v>
      </c>
      <c r="S355">
        <f t="shared" si="34"/>
        <v>0</v>
      </c>
      <c r="T355">
        <f t="shared" si="35"/>
        <v>3.7702999999999998</v>
      </c>
    </row>
    <row r="356" spans="3:20">
      <c r="C356" s="48">
        <v>40809</v>
      </c>
      <c r="D356">
        <v>27.243099999999998</v>
      </c>
      <c r="F356">
        <f t="shared" si="30"/>
        <v>27.243099999999998</v>
      </c>
      <c r="H356">
        <f t="shared" si="31"/>
        <v>27.243099999999998</v>
      </c>
      <c r="J356">
        <f t="shared" si="32"/>
        <v>0</v>
      </c>
      <c r="K356">
        <f t="shared" si="33"/>
        <v>27.243099999999998</v>
      </c>
      <c r="M356" s="48">
        <v>40816</v>
      </c>
      <c r="N356">
        <v>3.8090000000000002</v>
      </c>
      <c r="S356">
        <f t="shared" si="34"/>
        <v>0</v>
      </c>
      <c r="T356">
        <f t="shared" si="35"/>
        <v>3.8090000000000002</v>
      </c>
    </row>
    <row r="357" spans="3:20">
      <c r="C357" s="48">
        <v>40816</v>
      </c>
      <c r="D357">
        <v>25.502700000000001</v>
      </c>
      <c r="F357">
        <f t="shared" si="30"/>
        <v>25.502700000000001</v>
      </c>
      <c r="H357">
        <f t="shared" si="31"/>
        <v>25.502700000000001</v>
      </c>
      <c r="J357">
        <f t="shared" si="32"/>
        <v>0</v>
      </c>
      <c r="K357">
        <f t="shared" si="33"/>
        <v>25.502700000000001</v>
      </c>
      <c r="M357" s="48">
        <v>40823</v>
      </c>
      <c r="N357">
        <v>3.5278999999999998</v>
      </c>
      <c r="S357">
        <f t="shared" si="34"/>
        <v>0</v>
      </c>
      <c r="T357">
        <f t="shared" si="35"/>
        <v>3.5278999999999998</v>
      </c>
    </row>
    <row r="358" spans="3:20">
      <c r="C358" s="48">
        <v>40823</v>
      </c>
      <c r="D358">
        <v>23.785</v>
      </c>
      <c r="F358">
        <f t="shared" si="30"/>
        <v>23.785</v>
      </c>
      <c r="H358">
        <f t="shared" si="31"/>
        <v>23.785</v>
      </c>
      <c r="J358">
        <f t="shared" si="32"/>
        <v>0</v>
      </c>
      <c r="K358">
        <f t="shared" si="33"/>
        <v>23.785</v>
      </c>
      <c r="M358" s="48">
        <v>40830</v>
      </c>
      <c r="N358">
        <v>3.4765000000000001</v>
      </c>
      <c r="S358">
        <f t="shared" si="34"/>
        <v>0</v>
      </c>
      <c r="T358">
        <f t="shared" si="35"/>
        <v>3.4765000000000001</v>
      </c>
    </row>
    <row r="359" spans="3:20">
      <c r="C359" s="48">
        <v>40830</v>
      </c>
      <c r="D359">
        <v>25.485700000000001</v>
      </c>
      <c r="F359">
        <f t="shared" si="30"/>
        <v>25.485700000000001</v>
      </c>
      <c r="H359">
        <f t="shared" si="31"/>
        <v>25.485700000000001</v>
      </c>
      <c r="J359">
        <f t="shared" si="32"/>
        <v>0</v>
      </c>
      <c r="K359">
        <f t="shared" si="33"/>
        <v>25.485700000000001</v>
      </c>
      <c r="M359" s="48">
        <v>40837</v>
      </c>
      <c r="N359">
        <v>3.6160000000000001</v>
      </c>
      <c r="S359">
        <f t="shared" si="34"/>
        <v>0</v>
      </c>
      <c r="T359">
        <f t="shared" si="35"/>
        <v>3.6160000000000001</v>
      </c>
    </row>
    <row r="360" spans="3:20">
      <c r="C360" s="48">
        <v>40837</v>
      </c>
      <c r="D360">
        <v>25.892399999999999</v>
      </c>
      <c r="F360">
        <f t="shared" si="30"/>
        <v>25.892399999999999</v>
      </c>
      <c r="H360">
        <f t="shared" si="31"/>
        <v>25.892399999999999</v>
      </c>
      <c r="J360">
        <f t="shared" si="32"/>
        <v>0</v>
      </c>
      <c r="K360">
        <f t="shared" si="33"/>
        <v>25.892399999999999</v>
      </c>
      <c r="M360" s="48">
        <v>40844</v>
      </c>
      <c r="N360">
        <v>3.6179000000000001</v>
      </c>
      <c r="S360">
        <f t="shared" si="34"/>
        <v>0</v>
      </c>
      <c r="T360">
        <f t="shared" si="35"/>
        <v>3.6179000000000001</v>
      </c>
    </row>
    <row r="361" spans="3:20">
      <c r="C361" s="48">
        <v>40844</v>
      </c>
      <c r="D361">
        <v>26.991499999999998</v>
      </c>
      <c r="F361">
        <f t="shared" si="30"/>
        <v>26.991499999999998</v>
      </c>
      <c r="H361">
        <f t="shared" si="31"/>
        <v>26.991499999999998</v>
      </c>
      <c r="J361">
        <f t="shared" si="32"/>
        <v>0</v>
      </c>
      <c r="K361">
        <f t="shared" si="33"/>
        <v>26.991499999999998</v>
      </c>
      <c r="M361" s="48">
        <v>40851</v>
      </c>
      <c r="N361">
        <v>3.4756</v>
      </c>
      <c r="S361">
        <f t="shared" si="34"/>
        <v>0</v>
      </c>
      <c r="T361">
        <f t="shared" si="35"/>
        <v>3.4756</v>
      </c>
    </row>
    <row r="362" spans="3:20">
      <c r="C362" s="48">
        <v>40851</v>
      </c>
      <c r="D362">
        <v>26.338899999999999</v>
      </c>
      <c r="F362">
        <f t="shared" si="30"/>
        <v>26.338899999999999</v>
      </c>
      <c r="H362">
        <f t="shared" si="31"/>
        <v>26.338899999999999</v>
      </c>
      <c r="J362">
        <f t="shared" si="32"/>
        <v>0</v>
      </c>
      <c r="K362">
        <f t="shared" si="33"/>
        <v>26.338899999999999</v>
      </c>
      <c r="M362" s="48">
        <v>40858</v>
      </c>
      <c r="N362">
        <v>3.4182999999999999</v>
      </c>
      <c r="S362">
        <f t="shared" si="34"/>
        <v>0</v>
      </c>
      <c r="T362">
        <f t="shared" si="35"/>
        <v>3.4182999999999999</v>
      </c>
    </row>
    <row r="363" spans="3:20">
      <c r="C363" s="48">
        <v>40858</v>
      </c>
      <c r="D363">
        <v>24.874700000000001</v>
      </c>
      <c r="F363">
        <f t="shared" si="30"/>
        <v>24.874700000000001</v>
      </c>
      <c r="H363">
        <f t="shared" si="31"/>
        <v>24.874700000000001</v>
      </c>
      <c r="J363">
        <f t="shared" si="32"/>
        <v>0</v>
      </c>
      <c r="K363">
        <f t="shared" si="33"/>
        <v>24.874700000000001</v>
      </c>
      <c r="M363" s="48">
        <v>40865</v>
      </c>
      <c r="N363">
        <v>3.105</v>
      </c>
      <c r="S363">
        <f t="shared" si="34"/>
        <v>0</v>
      </c>
      <c r="T363">
        <f t="shared" si="35"/>
        <v>3.105</v>
      </c>
    </row>
    <row r="364" spans="3:20">
      <c r="C364" s="48">
        <v>40865</v>
      </c>
      <c r="D364">
        <v>23.7699</v>
      </c>
      <c r="F364">
        <f t="shared" si="30"/>
        <v>23.7699</v>
      </c>
      <c r="H364">
        <f t="shared" si="31"/>
        <v>23.7699</v>
      </c>
      <c r="J364">
        <f t="shared" si="32"/>
        <v>0</v>
      </c>
      <c r="K364">
        <f t="shared" si="33"/>
        <v>23.7699</v>
      </c>
      <c r="M364" s="48">
        <v>40872</v>
      </c>
      <c r="N364">
        <v>2.9428000000000001</v>
      </c>
      <c r="S364">
        <f t="shared" si="34"/>
        <v>0</v>
      </c>
      <c r="T364">
        <f t="shared" si="35"/>
        <v>2.9428000000000001</v>
      </c>
    </row>
    <row r="365" spans="3:20">
      <c r="C365" s="48">
        <v>40872</v>
      </c>
      <c r="D365">
        <v>21.958500000000001</v>
      </c>
      <c r="F365">
        <f t="shared" si="30"/>
        <v>21.958500000000001</v>
      </c>
      <c r="H365">
        <f t="shared" si="31"/>
        <v>21.958500000000001</v>
      </c>
      <c r="J365">
        <f t="shared" si="32"/>
        <v>0</v>
      </c>
      <c r="K365">
        <f t="shared" si="33"/>
        <v>21.958500000000001</v>
      </c>
      <c r="M365" s="48">
        <v>40879</v>
      </c>
      <c r="N365">
        <v>3.3688000000000002</v>
      </c>
      <c r="S365">
        <f t="shared" si="34"/>
        <v>0</v>
      </c>
      <c r="T365">
        <f t="shared" si="35"/>
        <v>3.3688000000000002</v>
      </c>
    </row>
    <row r="366" spans="3:20">
      <c r="C366" s="48">
        <v>40879</v>
      </c>
      <c r="D366">
        <v>23.310199999999998</v>
      </c>
      <c r="F366">
        <f t="shared" si="30"/>
        <v>23.310199999999998</v>
      </c>
      <c r="H366">
        <f t="shared" si="31"/>
        <v>23.310199999999998</v>
      </c>
      <c r="J366">
        <f t="shared" si="32"/>
        <v>0</v>
      </c>
      <c r="K366">
        <f t="shared" si="33"/>
        <v>23.310199999999998</v>
      </c>
      <c r="M366" s="48">
        <v>40886</v>
      </c>
      <c r="N366">
        <v>3.3904999999999998</v>
      </c>
      <c r="S366">
        <f t="shared" si="34"/>
        <v>0</v>
      </c>
      <c r="T366">
        <f t="shared" si="35"/>
        <v>3.3904999999999998</v>
      </c>
    </row>
    <row r="367" spans="3:20">
      <c r="C367" s="48">
        <v>40886</v>
      </c>
      <c r="D367">
        <v>23.694199999999999</v>
      </c>
      <c r="F367">
        <f t="shared" si="30"/>
        <v>23.694199999999999</v>
      </c>
      <c r="H367">
        <f t="shared" si="31"/>
        <v>23.694199999999999</v>
      </c>
      <c r="J367">
        <f t="shared" si="32"/>
        <v>0</v>
      </c>
      <c r="K367">
        <f t="shared" si="33"/>
        <v>23.694199999999999</v>
      </c>
      <c r="M367" s="48">
        <v>40893</v>
      </c>
      <c r="N367">
        <v>3.0775000000000001</v>
      </c>
      <c r="S367">
        <f t="shared" si="34"/>
        <v>0</v>
      </c>
      <c r="T367">
        <f t="shared" si="35"/>
        <v>3.0775000000000001</v>
      </c>
    </row>
    <row r="368" spans="3:20">
      <c r="C368" s="48">
        <v>40893</v>
      </c>
      <c r="D368">
        <v>21.846</v>
      </c>
      <c r="F368">
        <f t="shared" si="30"/>
        <v>21.846</v>
      </c>
      <c r="H368">
        <f t="shared" si="31"/>
        <v>21.846</v>
      </c>
      <c r="J368">
        <f t="shared" si="32"/>
        <v>0</v>
      </c>
      <c r="K368">
        <f t="shared" si="33"/>
        <v>21.846</v>
      </c>
      <c r="M368" s="48">
        <v>40900</v>
      </c>
      <c r="N368">
        <v>3.0358999999999998</v>
      </c>
      <c r="S368">
        <f t="shared" si="34"/>
        <v>0</v>
      </c>
      <c r="T368">
        <f t="shared" si="35"/>
        <v>3.0358999999999998</v>
      </c>
    </row>
    <row r="369" spans="3:20">
      <c r="C369" s="48">
        <v>40900</v>
      </c>
      <c r="D369">
        <v>21.777899999999999</v>
      </c>
      <c r="F369">
        <f t="shared" si="30"/>
        <v>21.777899999999999</v>
      </c>
      <c r="H369">
        <f t="shared" si="31"/>
        <v>21.777899999999999</v>
      </c>
      <c r="J369">
        <f t="shared" si="32"/>
        <v>0</v>
      </c>
      <c r="K369">
        <f t="shared" si="33"/>
        <v>21.777899999999999</v>
      </c>
      <c r="M369" s="48">
        <v>40907</v>
      </c>
      <c r="N369">
        <v>3.0419</v>
      </c>
      <c r="S369">
        <f t="shared" si="34"/>
        <v>0</v>
      </c>
      <c r="T369">
        <f t="shared" si="35"/>
        <v>3.0419</v>
      </c>
    </row>
    <row r="370" spans="3:20">
      <c r="C370" s="48">
        <v>40907</v>
      </c>
      <c r="D370">
        <v>21.565999999999999</v>
      </c>
      <c r="F370">
        <f t="shared" si="30"/>
        <v>21.565999999999999</v>
      </c>
      <c r="H370">
        <f t="shared" si="31"/>
        <v>21.565999999999999</v>
      </c>
      <c r="J370">
        <f t="shared" si="32"/>
        <v>0</v>
      </c>
      <c r="K370">
        <f t="shared" si="33"/>
        <v>21.565999999999999</v>
      </c>
      <c r="M370" s="48">
        <v>40914</v>
      </c>
      <c r="N370">
        <v>2.9205000000000001</v>
      </c>
      <c r="S370">
        <f t="shared" si="34"/>
        <v>0</v>
      </c>
      <c r="T370">
        <f t="shared" si="35"/>
        <v>2.9205000000000001</v>
      </c>
    </row>
    <row r="371" spans="3:20">
      <c r="C371" s="48">
        <v>40914</v>
      </c>
      <c r="D371">
        <v>22.4788</v>
      </c>
      <c r="F371">
        <f t="shared" si="30"/>
        <v>22.4788</v>
      </c>
      <c r="H371">
        <f t="shared" si="31"/>
        <v>22.4788</v>
      </c>
      <c r="J371">
        <f t="shared" si="32"/>
        <v>0</v>
      </c>
      <c r="K371">
        <f t="shared" si="33"/>
        <v>22.4788</v>
      </c>
      <c r="M371" s="48">
        <v>40921</v>
      </c>
      <c r="N371">
        <v>2.8075000000000001</v>
      </c>
      <c r="S371">
        <f t="shared" si="34"/>
        <v>0</v>
      </c>
      <c r="T371">
        <f t="shared" si="35"/>
        <v>2.8075000000000001</v>
      </c>
    </row>
    <row r="372" spans="3:20">
      <c r="C372" s="48">
        <v>40921</v>
      </c>
      <c r="D372">
        <v>21.376799999999999</v>
      </c>
      <c r="F372">
        <f t="shared" si="30"/>
        <v>21.376799999999999</v>
      </c>
      <c r="H372">
        <f t="shared" si="31"/>
        <v>21.376799999999999</v>
      </c>
      <c r="J372">
        <f t="shared" si="32"/>
        <v>0</v>
      </c>
      <c r="K372">
        <f t="shared" si="33"/>
        <v>21.376799999999999</v>
      </c>
      <c r="M372" s="48">
        <v>40928</v>
      </c>
      <c r="N372">
        <v>2.3951000000000002</v>
      </c>
      <c r="S372">
        <f t="shared" si="34"/>
        <v>0</v>
      </c>
      <c r="T372">
        <f t="shared" si="35"/>
        <v>2.3951000000000002</v>
      </c>
    </row>
    <row r="373" spans="3:20">
      <c r="C373" s="48">
        <v>40928</v>
      </c>
      <c r="D373">
        <v>19.8398</v>
      </c>
      <c r="F373">
        <f t="shared" si="30"/>
        <v>19.8398</v>
      </c>
      <c r="H373">
        <f t="shared" si="31"/>
        <v>19.8398</v>
      </c>
      <c r="J373">
        <f t="shared" si="32"/>
        <v>0</v>
      </c>
      <c r="K373">
        <f t="shared" si="33"/>
        <v>19.8398</v>
      </c>
      <c r="M373" s="48">
        <v>40935</v>
      </c>
      <c r="N373">
        <v>2.5737000000000001</v>
      </c>
      <c r="S373">
        <f t="shared" si="34"/>
        <v>0</v>
      </c>
      <c r="T373">
        <f t="shared" si="35"/>
        <v>2.5737000000000001</v>
      </c>
    </row>
    <row r="374" spans="3:20">
      <c r="C374" s="48">
        <v>40935</v>
      </c>
      <c r="D374">
        <v>21.206600000000002</v>
      </c>
      <c r="F374">
        <f t="shared" si="30"/>
        <v>21.206600000000002</v>
      </c>
      <c r="H374">
        <f t="shared" si="31"/>
        <v>21.206600000000002</v>
      </c>
      <c r="J374">
        <f t="shared" si="32"/>
        <v>0</v>
      </c>
      <c r="K374">
        <f t="shared" si="33"/>
        <v>21.206600000000002</v>
      </c>
      <c r="M374" s="48">
        <v>40942</v>
      </c>
      <c r="N374">
        <v>2.4489999999999998</v>
      </c>
      <c r="S374">
        <f t="shared" si="34"/>
        <v>0</v>
      </c>
      <c r="T374">
        <f t="shared" si="35"/>
        <v>2.4489999999999998</v>
      </c>
    </row>
    <row r="375" spans="3:20">
      <c r="C375" s="48">
        <v>40942</v>
      </c>
      <c r="D375">
        <v>20.4726</v>
      </c>
      <c r="F375">
        <f t="shared" si="30"/>
        <v>20.4726</v>
      </c>
      <c r="H375">
        <f t="shared" si="31"/>
        <v>20.4726</v>
      </c>
      <c r="J375">
        <f t="shared" si="32"/>
        <v>0</v>
      </c>
      <c r="K375">
        <f t="shared" si="33"/>
        <v>20.4726</v>
      </c>
      <c r="M375" s="48">
        <v>40949</v>
      </c>
      <c r="N375">
        <v>2.5098000000000003</v>
      </c>
      <c r="S375">
        <f t="shared" si="34"/>
        <v>0</v>
      </c>
      <c r="T375">
        <f t="shared" si="35"/>
        <v>2.5098000000000003</v>
      </c>
    </row>
    <row r="376" spans="3:20">
      <c r="C376" s="48">
        <v>40949</v>
      </c>
      <c r="D376">
        <v>21.076000000000001</v>
      </c>
      <c r="F376">
        <f t="shared" si="30"/>
        <v>21.076000000000001</v>
      </c>
      <c r="H376">
        <f t="shared" si="31"/>
        <v>21.076000000000001</v>
      </c>
      <c r="J376">
        <f t="shared" si="32"/>
        <v>0</v>
      </c>
      <c r="K376">
        <f t="shared" si="33"/>
        <v>21.076000000000001</v>
      </c>
      <c r="M376" s="48">
        <v>40956</v>
      </c>
      <c r="N376">
        <v>2.5171999999999999</v>
      </c>
      <c r="S376">
        <f t="shared" si="34"/>
        <v>0</v>
      </c>
      <c r="T376">
        <f t="shared" si="35"/>
        <v>2.5171999999999999</v>
      </c>
    </row>
    <row r="377" spans="3:20">
      <c r="C377" s="48">
        <v>40956</v>
      </c>
      <c r="D377">
        <v>22.108899999999998</v>
      </c>
      <c r="F377">
        <f t="shared" si="30"/>
        <v>22.108899999999998</v>
      </c>
      <c r="H377">
        <f t="shared" si="31"/>
        <v>22.108899999999998</v>
      </c>
      <c r="J377">
        <f t="shared" si="32"/>
        <v>0</v>
      </c>
      <c r="K377">
        <f t="shared" si="33"/>
        <v>22.108899999999998</v>
      </c>
      <c r="M377" s="48">
        <v>40963</v>
      </c>
      <c r="N377">
        <v>2.6282999999999999</v>
      </c>
      <c r="S377">
        <f t="shared" si="34"/>
        <v>0</v>
      </c>
      <c r="T377">
        <f t="shared" si="35"/>
        <v>2.6282999999999999</v>
      </c>
    </row>
    <row r="378" spans="3:20">
      <c r="C378" s="48">
        <v>40963</v>
      </c>
      <c r="D378">
        <v>23.429400000000001</v>
      </c>
      <c r="F378">
        <f t="shared" si="30"/>
        <v>23.429400000000001</v>
      </c>
      <c r="H378">
        <f t="shared" si="31"/>
        <v>23.429400000000001</v>
      </c>
      <c r="J378">
        <f t="shared" si="32"/>
        <v>0</v>
      </c>
      <c r="K378">
        <f t="shared" si="33"/>
        <v>23.429400000000001</v>
      </c>
      <c r="M378" s="48">
        <v>40970</v>
      </c>
      <c r="N378">
        <v>2.4497</v>
      </c>
      <c r="S378">
        <f t="shared" si="34"/>
        <v>0</v>
      </c>
      <c r="T378">
        <f t="shared" si="35"/>
        <v>2.4497</v>
      </c>
    </row>
    <row r="379" spans="3:20">
      <c r="C379" s="48">
        <v>40970</v>
      </c>
      <c r="D379">
        <v>23.537199999999999</v>
      </c>
      <c r="F379">
        <f t="shared" si="30"/>
        <v>23.537199999999999</v>
      </c>
      <c r="H379">
        <f t="shared" si="31"/>
        <v>23.537199999999999</v>
      </c>
      <c r="J379">
        <f t="shared" si="32"/>
        <v>0</v>
      </c>
      <c r="K379">
        <f t="shared" si="33"/>
        <v>23.537199999999999</v>
      </c>
      <c r="M379" s="48">
        <v>40977</v>
      </c>
      <c r="N379">
        <v>2.2593999999999999</v>
      </c>
      <c r="S379">
        <f t="shared" si="34"/>
        <v>0</v>
      </c>
      <c r="T379">
        <f t="shared" si="35"/>
        <v>2.2593999999999999</v>
      </c>
    </row>
    <row r="380" spans="3:20">
      <c r="C380" s="48">
        <v>40977</v>
      </c>
      <c r="D380">
        <v>22.8902</v>
      </c>
      <c r="F380">
        <f t="shared" si="30"/>
        <v>22.8902</v>
      </c>
      <c r="H380">
        <f t="shared" si="31"/>
        <v>22.8902</v>
      </c>
      <c r="J380">
        <f t="shared" si="32"/>
        <v>0</v>
      </c>
      <c r="K380">
        <f t="shared" si="33"/>
        <v>22.8902</v>
      </c>
      <c r="M380" s="48">
        <v>40984</v>
      </c>
      <c r="N380">
        <v>2.1082999999999998</v>
      </c>
      <c r="S380">
        <f t="shared" si="34"/>
        <v>0</v>
      </c>
      <c r="T380">
        <f t="shared" si="35"/>
        <v>2.1082999999999998</v>
      </c>
    </row>
    <row r="381" spans="3:20">
      <c r="C381" s="48">
        <v>40984</v>
      </c>
      <c r="D381">
        <v>23.202400000000001</v>
      </c>
      <c r="F381">
        <f t="shared" si="30"/>
        <v>23.202400000000001</v>
      </c>
      <c r="H381">
        <f t="shared" si="31"/>
        <v>23.202400000000001</v>
      </c>
      <c r="J381">
        <f t="shared" si="32"/>
        <v>0</v>
      </c>
      <c r="K381">
        <f t="shared" si="33"/>
        <v>23.202400000000001</v>
      </c>
      <c r="M381" s="48">
        <v>40991</v>
      </c>
      <c r="N381">
        <v>2.1608000000000001</v>
      </c>
      <c r="S381">
        <f t="shared" si="34"/>
        <v>0</v>
      </c>
      <c r="T381">
        <f t="shared" si="35"/>
        <v>2.1608000000000001</v>
      </c>
    </row>
    <row r="382" spans="3:20">
      <c r="C382" s="48">
        <v>40991</v>
      </c>
      <c r="D382">
        <v>23.7075</v>
      </c>
      <c r="F382">
        <f t="shared" si="30"/>
        <v>23.7075</v>
      </c>
      <c r="H382">
        <f t="shared" si="31"/>
        <v>23.7075</v>
      </c>
      <c r="J382">
        <f t="shared" si="32"/>
        <v>0</v>
      </c>
      <c r="K382">
        <f t="shared" si="33"/>
        <v>23.7075</v>
      </c>
      <c r="M382" s="48">
        <v>40998</v>
      </c>
      <c r="N382">
        <v>2.0655999999999999</v>
      </c>
      <c r="S382">
        <f t="shared" si="34"/>
        <v>0</v>
      </c>
      <c r="T382">
        <f t="shared" si="35"/>
        <v>2.0655999999999999</v>
      </c>
    </row>
    <row r="383" spans="3:20">
      <c r="C383" s="48">
        <v>40998</v>
      </c>
      <c r="D383">
        <v>22.337800000000001</v>
      </c>
      <c r="F383">
        <f t="shared" si="30"/>
        <v>22.337800000000001</v>
      </c>
      <c r="H383">
        <f t="shared" si="31"/>
        <v>22.337800000000001</v>
      </c>
      <c r="J383">
        <f t="shared" si="32"/>
        <v>0</v>
      </c>
      <c r="K383">
        <f t="shared" si="33"/>
        <v>22.337800000000001</v>
      </c>
      <c r="M383" s="48">
        <v>41005</v>
      </c>
      <c r="N383">
        <v>1.9664999999999999</v>
      </c>
      <c r="S383">
        <f t="shared" si="34"/>
        <v>0</v>
      </c>
      <c r="T383">
        <f t="shared" si="35"/>
        <v>1.9664999999999999</v>
      </c>
    </row>
    <row r="384" spans="3:20">
      <c r="C384" s="48">
        <v>41005</v>
      </c>
      <c r="D384">
        <v>21.379200000000001</v>
      </c>
      <c r="F384">
        <f t="shared" si="30"/>
        <v>21.379200000000001</v>
      </c>
      <c r="H384">
        <f t="shared" si="31"/>
        <v>21.379200000000001</v>
      </c>
      <c r="J384">
        <f t="shared" si="32"/>
        <v>0</v>
      </c>
      <c r="K384">
        <f t="shared" si="33"/>
        <v>21.379200000000001</v>
      </c>
      <c r="M384" s="48">
        <v>41012</v>
      </c>
      <c r="N384">
        <v>1.9256</v>
      </c>
      <c r="S384">
        <f t="shared" si="34"/>
        <v>0</v>
      </c>
      <c r="T384">
        <f t="shared" si="35"/>
        <v>1.9256</v>
      </c>
    </row>
    <row r="385" spans="3:20">
      <c r="C385" s="48">
        <v>41012</v>
      </c>
      <c r="D385">
        <v>19.456700000000001</v>
      </c>
      <c r="F385">
        <f t="shared" si="30"/>
        <v>19.456700000000001</v>
      </c>
      <c r="H385">
        <f t="shared" si="31"/>
        <v>19.456700000000001</v>
      </c>
      <c r="J385">
        <f t="shared" si="32"/>
        <v>0</v>
      </c>
      <c r="K385">
        <f t="shared" si="33"/>
        <v>19.456700000000001</v>
      </c>
      <c r="M385" s="48">
        <v>41019</v>
      </c>
      <c r="N385">
        <v>1.8612</v>
      </c>
      <c r="S385">
        <f t="shared" si="34"/>
        <v>0</v>
      </c>
      <c r="T385">
        <f t="shared" si="35"/>
        <v>1.8612</v>
      </c>
    </row>
    <row r="386" spans="3:20">
      <c r="C386" s="48">
        <v>41019</v>
      </c>
      <c r="D386">
        <v>17.368200000000002</v>
      </c>
      <c r="F386">
        <f t="shared" si="30"/>
        <v>17.368200000000002</v>
      </c>
      <c r="H386">
        <f t="shared" si="31"/>
        <v>17.368200000000002</v>
      </c>
      <c r="J386">
        <f t="shared" si="32"/>
        <v>0</v>
      </c>
      <c r="K386">
        <f t="shared" si="33"/>
        <v>17.368200000000002</v>
      </c>
      <c r="M386" s="48">
        <v>41026</v>
      </c>
      <c r="N386">
        <v>2.0003000000000002</v>
      </c>
      <c r="S386">
        <f t="shared" si="34"/>
        <v>0</v>
      </c>
      <c r="T386">
        <f t="shared" si="35"/>
        <v>2.0003000000000002</v>
      </c>
    </row>
    <row r="387" spans="3:20">
      <c r="C387" s="48">
        <v>41026</v>
      </c>
      <c r="D387">
        <v>16.870699999999999</v>
      </c>
      <c r="F387">
        <f t="shared" si="30"/>
        <v>16.870699999999999</v>
      </c>
      <c r="H387">
        <f t="shared" si="31"/>
        <v>16.870699999999999</v>
      </c>
      <c r="J387">
        <f t="shared" si="32"/>
        <v>0</v>
      </c>
      <c r="K387">
        <f t="shared" si="33"/>
        <v>16.870699999999999</v>
      </c>
      <c r="M387" s="48">
        <v>41033</v>
      </c>
      <c r="N387">
        <v>2.2561</v>
      </c>
      <c r="S387">
        <f t="shared" si="34"/>
        <v>0</v>
      </c>
      <c r="T387">
        <f t="shared" si="35"/>
        <v>2.2561</v>
      </c>
    </row>
    <row r="388" spans="3:20">
      <c r="C388" s="48">
        <v>41033</v>
      </c>
      <c r="D388">
        <v>16.904699999999998</v>
      </c>
      <c r="F388">
        <f t="shared" si="30"/>
        <v>16.904699999999998</v>
      </c>
      <c r="H388">
        <f t="shared" si="31"/>
        <v>16.904699999999998</v>
      </c>
      <c r="J388">
        <f t="shared" si="32"/>
        <v>0</v>
      </c>
      <c r="K388">
        <f t="shared" si="33"/>
        <v>16.904699999999998</v>
      </c>
      <c r="M388" s="48">
        <v>41040</v>
      </c>
      <c r="N388">
        <v>2.3311000000000002</v>
      </c>
      <c r="S388">
        <f t="shared" si="34"/>
        <v>0</v>
      </c>
      <c r="T388">
        <f t="shared" si="35"/>
        <v>2.3311000000000002</v>
      </c>
    </row>
    <row r="389" spans="3:20">
      <c r="C389" s="48">
        <v>41040</v>
      </c>
      <c r="D389">
        <v>15.8018</v>
      </c>
      <c r="F389">
        <f t="shared" ref="F389:F452" si="36">D389</f>
        <v>15.8018</v>
      </c>
      <c r="H389">
        <f t="shared" ref="H389:H452" si="37">F389</f>
        <v>15.8018</v>
      </c>
      <c r="J389">
        <f t="shared" ref="J389:J452" si="38">K389-F389</f>
        <v>0</v>
      </c>
      <c r="K389">
        <f t="shared" ref="K389:K452" si="39">H389</f>
        <v>15.8018</v>
      </c>
      <c r="M389" s="48">
        <v>41047</v>
      </c>
      <c r="N389">
        <v>2.4912000000000001</v>
      </c>
      <c r="S389">
        <f t="shared" ref="S389:S452" si="40">T389-N389</f>
        <v>0</v>
      </c>
      <c r="T389">
        <f t="shared" ref="T389:T452" si="41">N389</f>
        <v>2.4912000000000001</v>
      </c>
    </row>
    <row r="390" spans="3:20">
      <c r="C390" s="48">
        <v>41047</v>
      </c>
      <c r="D390">
        <v>13.6433</v>
      </c>
      <c r="F390">
        <f t="shared" si="36"/>
        <v>13.6433</v>
      </c>
      <c r="H390">
        <f t="shared" si="37"/>
        <v>13.6433</v>
      </c>
      <c r="J390">
        <f t="shared" si="38"/>
        <v>0</v>
      </c>
      <c r="K390">
        <f t="shared" si="39"/>
        <v>13.6433</v>
      </c>
      <c r="M390" s="48">
        <v>41054</v>
      </c>
      <c r="N390">
        <v>2.5958999999999999</v>
      </c>
      <c r="S390">
        <f t="shared" si="40"/>
        <v>0</v>
      </c>
      <c r="T390">
        <f t="shared" si="41"/>
        <v>2.5958999999999999</v>
      </c>
    </row>
    <row r="391" spans="3:20">
      <c r="C391" s="48">
        <v>41054</v>
      </c>
      <c r="D391">
        <v>14.436</v>
      </c>
      <c r="F391">
        <f t="shared" si="36"/>
        <v>14.436</v>
      </c>
      <c r="H391">
        <f t="shared" si="37"/>
        <v>14.436</v>
      </c>
      <c r="J391">
        <f t="shared" si="38"/>
        <v>0</v>
      </c>
      <c r="K391">
        <f t="shared" si="39"/>
        <v>14.436</v>
      </c>
      <c r="M391" s="48">
        <v>41061</v>
      </c>
      <c r="N391">
        <v>2.3662000000000001</v>
      </c>
      <c r="S391">
        <f t="shared" si="40"/>
        <v>0</v>
      </c>
      <c r="T391">
        <f t="shared" si="41"/>
        <v>2.3662000000000001</v>
      </c>
    </row>
    <row r="392" spans="3:20">
      <c r="C392" s="48">
        <v>41061</v>
      </c>
      <c r="D392">
        <v>15.4343</v>
      </c>
      <c r="F392">
        <f t="shared" si="36"/>
        <v>15.4343</v>
      </c>
      <c r="H392">
        <f t="shared" si="37"/>
        <v>15.4343</v>
      </c>
      <c r="J392">
        <f t="shared" si="38"/>
        <v>0</v>
      </c>
      <c r="K392">
        <f t="shared" si="39"/>
        <v>15.4343</v>
      </c>
      <c r="M392" s="48">
        <v>41068</v>
      </c>
      <c r="N392">
        <v>2.3323999999999998</v>
      </c>
      <c r="S392">
        <f t="shared" si="40"/>
        <v>0</v>
      </c>
      <c r="T392">
        <f t="shared" si="41"/>
        <v>2.3323999999999998</v>
      </c>
    </row>
    <row r="393" spans="3:20">
      <c r="C393" s="48">
        <v>41068</v>
      </c>
      <c r="D393">
        <v>16.636099999999999</v>
      </c>
      <c r="F393">
        <f t="shared" si="36"/>
        <v>16.636099999999999</v>
      </c>
      <c r="H393">
        <f t="shared" si="37"/>
        <v>16.636099999999999</v>
      </c>
      <c r="J393">
        <f t="shared" si="38"/>
        <v>0</v>
      </c>
      <c r="K393">
        <f t="shared" si="39"/>
        <v>16.636099999999999</v>
      </c>
      <c r="M393" s="48">
        <v>41075</v>
      </c>
      <c r="N393">
        <v>2.2425000000000002</v>
      </c>
      <c r="S393">
        <f t="shared" si="40"/>
        <v>0</v>
      </c>
      <c r="T393">
        <f t="shared" si="41"/>
        <v>2.2425000000000002</v>
      </c>
    </row>
    <row r="394" spans="3:20">
      <c r="C394" s="48">
        <v>41075</v>
      </c>
      <c r="D394">
        <v>16.541499999999999</v>
      </c>
      <c r="F394">
        <f t="shared" si="36"/>
        <v>16.541499999999999</v>
      </c>
      <c r="H394">
        <f t="shared" si="37"/>
        <v>16.541499999999999</v>
      </c>
      <c r="J394">
        <f t="shared" si="38"/>
        <v>0</v>
      </c>
      <c r="K394">
        <f t="shared" si="39"/>
        <v>16.541499999999999</v>
      </c>
      <c r="M394" s="48">
        <v>41082</v>
      </c>
      <c r="N394">
        <v>2.5247000000000002</v>
      </c>
      <c r="S394">
        <f t="shared" si="40"/>
        <v>0</v>
      </c>
      <c r="T394">
        <f t="shared" si="41"/>
        <v>2.5247000000000002</v>
      </c>
    </row>
    <row r="395" spans="3:20">
      <c r="C395" s="48">
        <v>41082</v>
      </c>
      <c r="D395">
        <v>17.432500000000001</v>
      </c>
      <c r="F395">
        <f t="shared" si="36"/>
        <v>17.432500000000001</v>
      </c>
      <c r="H395">
        <f t="shared" si="37"/>
        <v>17.432500000000001</v>
      </c>
      <c r="J395">
        <f t="shared" si="38"/>
        <v>0</v>
      </c>
      <c r="K395">
        <f t="shared" si="39"/>
        <v>17.432500000000001</v>
      </c>
      <c r="M395" s="48">
        <v>41089</v>
      </c>
      <c r="N395">
        <v>2.762</v>
      </c>
      <c r="S395">
        <f t="shared" si="40"/>
        <v>0</v>
      </c>
      <c r="T395">
        <f t="shared" si="41"/>
        <v>2.762</v>
      </c>
    </row>
    <row r="396" spans="3:20">
      <c r="C396" s="48">
        <v>41089</v>
      </c>
      <c r="D396">
        <v>16.7212</v>
      </c>
      <c r="F396">
        <f t="shared" si="36"/>
        <v>16.7212</v>
      </c>
      <c r="H396">
        <f t="shared" si="37"/>
        <v>16.7212</v>
      </c>
      <c r="J396">
        <f t="shared" si="38"/>
        <v>0</v>
      </c>
      <c r="K396">
        <f t="shared" si="39"/>
        <v>16.7212</v>
      </c>
      <c r="M396" s="48">
        <v>41096</v>
      </c>
      <c r="N396">
        <v>2.8393999999999999</v>
      </c>
      <c r="S396">
        <f t="shared" si="40"/>
        <v>0</v>
      </c>
      <c r="T396">
        <f t="shared" si="41"/>
        <v>2.8393999999999999</v>
      </c>
    </row>
    <row r="397" spans="3:20">
      <c r="C397" s="48">
        <v>41096</v>
      </c>
      <c r="D397">
        <v>18.3902</v>
      </c>
      <c r="F397">
        <f t="shared" si="36"/>
        <v>18.3902</v>
      </c>
      <c r="H397">
        <f t="shared" si="37"/>
        <v>18.3902</v>
      </c>
      <c r="J397">
        <f t="shared" si="38"/>
        <v>0</v>
      </c>
      <c r="K397">
        <f t="shared" si="39"/>
        <v>18.3902</v>
      </c>
      <c r="M397" s="48">
        <v>41103</v>
      </c>
      <c r="N397">
        <v>2.8167</v>
      </c>
      <c r="S397">
        <f t="shared" si="40"/>
        <v>0</v>
      </c>
      <c r="T397">
        <f t="shared" si="41"/>
        <v>2.8167</v>
      </c>
    </row>
    <row r="398" spans="3:20">
      <c r="C398" s="48">
        <v>41103</v>
      </c>
      <c r="D398">
        <v>18.07</v>
      </c>
      <c r="F398">
        <f t="shared" si="36"/>
        <v>18.07</v>
      </c>
      <c r="H398">
        <f t="shared" si="37"/>
        <v>18.07</v>
      </c>
      <c r="J398">
        <f t="shared" si="38"/>
        <v>0</v>
      </c>
      <c r="K398">
        <f t="shared" si="39"/>
        <v>18.07</v>
      </c>
      <c r="M398" s="48">
        <v>41110</v>
      </c>
      <c r="N398">
        <v>2.9224999999999999</v>
      </c>
      <c r="S398">
        <f t="shared" si="40"/>
        <v>0</v>
      </c>
      <c r="T398">
        <f t="shared" si="41"/>
        <v>2.9224999999999999</v>
      </c>
    </row>
    <row r="399" spans="3:20">
      <c r="C399" s="48">
        <v>41110</v>
      </c>
      <c r="D399">
        <v>17.612200000000001</v>
      </c>
      <c r="F399">
        <f t="shared" si="36"/>
        <v>17.612200000000001</v>
      </c>
      <c r="H399">
        <f t="shared" si="37"/>
        <v>17.612200000000001</v>
      </c>
      <c r="J399">
        <f t="shared" si="38"/>
        <v>0</v>
      </c>
      <c r="K399">
        <f t="shared" si="39"/>
        <v>17.612200000000001</v>
      </c>
      <c r="M399" s="48">
        <v>41117</v>
      </c>
      <c r="N399">
        <v>3.1265000000000001</v>
      </c>
      <c r="S399">
        <f t="shared" si="40"/>
        <v>0</v>
      </c>
      <c r="T399">
        <f t="shared" si="41"/>
        <v>3.1265000000000001</v>
      </c>
    </row>
    <row r="400" spans="3:20">
      <c r="C400" s="48">
        <v>41117</v>
      </c>
      <c r="D400">
        <v>16.675799999999999</v>
      </c>
      <c r="F400">
        <f t="shared" si="36"/>
        <v>16.675799999999999</v>
      </c>
      <c r="H400">
        <f t="shared" si="37"/>
        <v>16.675799999999999</v>
      </c>
      <c r="J400">
        <f t="shared" si="38"/>
        <v>0</v>
      </c>
      <c r="K400">
        <f t="shared" si="39"/>
        <v>16.675799999999999</v>
      </c>
      <c r="M400" s="48">
        <v>41124</v>
      </c>
      <c r="N400">
        <v>3.1230000000000002</v>
      </c>
      <c r="S400">
        <f t="shared" si="40"/>
        <v>0</v>
      </c>
      <c r="T400">
        <f t="shared" si="41"/>
        <v>3.1230000000000002</v>
      </c>
    </row>
    <row r="401" spans="3:20">
      <c r="C401" s="48">
        <v>41124</v>
      </c>
      <c r="D401">
        <v>17.405999999999999</v>
      </c>
      <c r="F401">
        <f t="shared" si="36"/>
        <v>17.405999999999999</v>
      </c>
      <c r="H401">
        <f t="shared" si="37"/>
        <v>17.405999999999999</v>
      </c>
      <c r="J401">
        <f t="shared" si="38"/>
        <v>0</v>
      </c>
      <c r="K401">
        <f t="shared" si="39"/>
        <v>17.405999999999999</v>
      </c>
      <c r="M401" s="48">
        <v>41131</v>
      </c>
      <c r="N401">
        <v>2.9173</v>
      </c>
      <c r="S401">
        <f t="shared" si="40"/>
        <v>0</v>
      </c>
      <c r="T401">
        <f t="shared" si="41"/>
        <v>2.9173</v>
      </c>
    </row>
    <row r="402" spans="3:20">
      <c r="C402" s="48">
        <v>41131</v>
      </c>
      <c r="D402">
        <v>18.342400000000001</v>
      </c>
      <c r="F402">
        <f t="shared" si="36"/>
        <v>18.342400000000001</v>
      </c>
      <c r="H402">
        <f t="shared" si="37"/>
        <v>18.342400000000001</v>
      </c>
      <c r="J402">
        <f t="shared" si="38"/>
        <v>0</v>
      </c>
      <c r="K402">
        <f t="shared" si="39"/>
        <v>18.342400000000001</v>
      </c>
      <c r="M402" s="48">
        <v>41138</v>
      </c>
      <c r="N402">
        <v>2.7723</v>
      </c>
      <c r="S402">
        <f t="shared" si="40"/>
        <v>0</v>
      </c>
      <c r="T402">
        <f t="shared" si="41"/>
        <v>2.7723</v>
      </c>
    </row>
    <row r="403" spans="3:20">
      <c r="C403" s="48">
        <v>41138</v>
      </c>
      <c r="D403">
        <v>18.056799999999999</v>
      </c>
      <c r="F403">
        <f t="shared" si="36"/>
        <v>18.056799999999999</v>
      </c>
      <c r="H403">
        <f t="shared" si="37"/>
        <v>18.056799999999999</v>
      </c>
      <c r="J403">
        <f t="shared" si="38"/>
        <v>0</v>
      </c>
      <c r="K403">
        <f t="shared" si="39"/>
        <v>18.056799999999999</v>
      </c>
      <c r="M403" s="48">
        <v>41145</v>
      </c>
      <c r="N403">
        <v>2.7957000000000001</v>
      </c>
      <c r="S403">
        <f t="shared" si="40"/>
        <v>0</v>
      </c>
      <c r="T403">
        <f t="shared" si="41"/>
        <v>2.7957000000000001</v>
      </c>
    </row>
    <row r="404" spans="3:20">
      <c r="C404" s="48">
        <v>41145</v>
      </c>
      <c r="D404">
        <v>18.488099999999999</v>
      </c>
      <c r="F404">
        <f t="shared" si="36"/>
        <v>18.488099999999999</v>
      </c>
      <c r="H404">
        <f t="shared" si="37"/>
        <v>18.488099999999999</v>
      </c>
      <c r="J404">
        <f t="shared" si="38"/>
        <v>0</v>
      </c>
      <c r="K404">
        <f t="shared" si="39"/>
        <v>18.488099999999999</v>
      </c>
      <c r="M404" s="48">
        <v>41152</v>
      </c>
      <c r="N404">
        <v>2.7178</v>
      </c>
      <c r="S404">
        <f t="shared" si="40"/>
        <v>0</v>
      </c>
      <c r="T404">
        <f t="shared" si="41"/>
        <v>2.7178</v>
      </c>
    </row>
    <row r="405" spans="3:20">
      <c r="C405" s="48">
        <v>41152</v>
      </c>
      <c r="D405">
        <v>18.270600000000002</v>
      </c>
      <c r="F405">
        <f t="shared" si="36"/>
        <v>18.270600000000002</v>
      </c>
      <c r="H405">
        <f t="shared" si="37"/>
        <v>18.270600000000002</v>
      </c>
      <c r="J405">
        <f t="shared" si="38"/>
        <v>0</v>
      </c>
      <c r="K405">
        <f t="shared" si="39"/>
        <v>18.270600000000002</v>
      </c>
      <c r="M405" s="48">
        <v>41159</v>
      </c>
      <c r="N405">
        <v>2.8148</v>
      </c>
      <c r="S405">
        <f t="shared" si="40"/>
        <v>0</v>
      </c>
      <c r="T405">
        <f t="shared" si="41"/>
        <v>2.8148</v>
      </c>
    </row>
    <row r="406" spans="3:20">
      <c r="C406" s="48">
        <v>41159</v>
      </c>
      <c r="D406">
        <v>18.6267</v>
      </c>
      <c r="F406">
        <f t="shared" si="36"/>
        <v>18.6267</v>
      </c>
      <c r="H406">
        <f t="shared" si="37"/>
        <v>18.6267</v>
      </c>
      <c r="J406">
        <f t="shared" si="38"/>
        <v>0</v>
      </c>
      <c r="K406">
        <f t="shared" si="39"/>
        <v>18.6267</v>
      </c>
      <c r="M406" s="48">
        <v>41166</v>
      </c>
      <c r="N406">
        <v>2.8778999999999999</v>
      </c>
      <c r="S406">
        <f t="shared" si="40"/>
        <v>0</v>
      </c>
      <c r="T406">
        <f t="shared" si="41"/>
        <v>2.8778999999999999</v>
      </c>
    </row>
    <row r="407" spans="3:20">
      <c r="C407" s="48">
        <v>41166</v>
      </c>
      <c r="D407">
        <v>18.913799999999998</v>
      </c>
      <c r="F407">
        <f t="shared" si="36"/>
        <v>18.913799999999998</v>
      </c>
      <c r="H407">
        <f t="shared" si="37"/>
        <v>18.913799999999998</v>
      </c>
      <c r="J407">
        <f t="shared" si="38"/>
        <v>0</v>
      </c>
      <c r="K407">
        <f t="shared" si="39"/>
        <v>18.913799999999998</v>
      </c>
      <c r="M407" s="48">
        <v>41173</v>
      </c>
      <c r="N407">
        <v>2.7566000000000002</v>
      </c>
      <c r="S407">
        <f t="shared" si="40"/>
        <v>0</v>
      </c>
      <c r="T407">
        <f t="shared" si="41"/>
        <v>2.7566000000000002</v>
      </c>
    </row>
    <row r="408" spans="3:20">
      <c r="C408" s="48">
        <v>41173</v>
      </c>
      <c r="D408">
        <v>18.6678</v>
      </c>
      <c r="F408">
        <f t="shared" si="36"/>
        <v>18.6678</v>
      </c>
      <c r="H408">
        <f t="shared" si="37"/>
        <v>18.6678</v>
      </c>
      <c r="J408">
        <f t="shared" si="38"/>
        <v>0</v>
      </c>
      <c r="K408">
        <f t="shared" si="39"/>
        <v>18.6678</v>
      </c>
      <c r="M408" s="48">
        <v>41180</v>
      </c>
      <c r="N408">
        <v>2.9352999999999998</v>
      </c>
      <c r="S408">
        <f t="shared" si="40"/>
        <v>0</v>
      </c>
      <c r="T408">
        <f t="shared" si="41"/>
        <v>2.9352999999999998</v>
      </c>
    </row>
    <row r="409" spans="3:20">
      <c r="C409" s="48">
        <v>41180</v>
      </c>
      <c r="D409">
        <v>18.017099999999999</v>
      </c>
      <c r="F409">
        <f t="shared" si="36"/>
        <v>18.017099999999999</v>
      </c>
      <c r="H409">
        <f t="shared" si="37"/>
        <v>18.017099999999999</v>
      </c>
      <c r="J409">
        <f t="shared" si="38"/>
        <v>0</v>
      </c>
      <c r="K409">
        <f t="shared" si="39"/>
        <v>18.017099999999999</v>
      </c>
      <c r="M409" s="48">
        <v>41187</v>
      </c>
      <c r="N409">
        <v>3.2202000000000002</v>
      </c>
      <c r="S409">
        <f t="shared" si="40"/>
        <v>0</v>
      </c>
      <c r="T409">
        <f t="shared" si="41"/>
        <v>3.2202000000000002</v>
      </c>
    </row>
    <row r="410" spans="3:20">
      <c r="C410" s="48">
        <v>41187</v>
      </c>
      <c r="D410">
        <v>18.261099999999999</v>
      </c>
      <c r="F410">
        <f t="shared" si="36"/>
        <v>18.261099999999999</v>
      </c>
      <c r="H410">
        <f t="shared" si="37"/>
        <v>18.261099999999999</v>
      </c>
      <c r="J410">
        <f t="shared" si="38"/>
        <v>0</v>
      </c>
      <c r="K410">
        <f t="shared" si="39"/>
        <v>18.261099999999999</v>
      </c>
      <c r="M410" s="48">
        <v>41194</v>
      </c>
      <c r="N410">
        <v>3.2536</v>
      </c>
      <c r="S410">
        <f t="shared" si="40"/>
        <v>0</v>
      </c>
      <c r="T410">
        <f t="shared" si="41"/>
        <v>3.2536</v>
      </c>
    </row>
    <row r="411" spans="3:20">
      <c r="C411" s="48">
        <v>41194</v>
      </c>
      <c r="D411">
        <v>18.684899999999999</v>
      </c>
      <c r="F411">
        <f t="shared" si="36"/>
        <v>18.684899999999999</v>
      </c>
      <c r="H411">
        <f t="shared" si="37"/>
        <v>18.684899999999999</v>
      </c>
      <c r="J411">
        <f t="shared" si="38"/>
        <v>0</v>
      </c>
      <c r="K411">
        <f t="shared" si="39"/>
        <v>18.684899999999999</v>
      </c>
      <c r="M411" s="48">
        <v>41201</v>
      </c>
      <c r="N411">
        <v>3.3144999999999998</v>
      </c>
      <c r="S411">
        <f t="shared" si="40"/>
        <v>0</v>
      </c>
      <c r="T411">
        <f t="shared" si="41"/>
        <v>3.3144999999999998</v>
      </c>
    </row>
    <row r="412" spans="3:20">
      <c r="C412" s="48">
        <v>41201</v>
      </c>
      <c r="D412">
        <v>19.653400000000001</v>
      </c>
      <c r="F412">
        <f t="shared" si="36"/>
        <v>19.653400000000001</v>
      </c>
      <c r="H412">
        <f t="shared" si="37"/>
        <v>19.653400000000001</v>
      </c>
      <c r="J412">
        <f t="shared" si="38"/>
        <v>0</v>
      </c>
      <c r="K412">
        <f t="shared" si="39"/>
        <v>19.653400000000001</v>
      </c>
      <c r="M412" s="48">
        <v>41208</v>
      </c>
      <c r="N412">
        <v>3.4068999999999998</v>
      </c>
      <c r="S412">
        <f t="shared" si="40"/>
        <v>0</v>
      </c>
      <c r="T412">
        <f t="shared" si="41"/>
        <v>3.4068999999999998</v>
      </c>
    </row>
    <row r="413" spans="3:20">
      <c r="C413" s="48">
        <v>41208</v>
      </c>
      <c r="D413">
        <v>19.222100000000001</v>
      </c>
      <c r="F413">
        <f t="shared" si="36"/>
        <v>19.222100000000001</v>
      </c>
      <c r="H413">
        <f t="shared" si="37"/>
        <v>19.222100000000001</v>
      </c>
      <c r="J413">
        <f t="shared" si="38"/>
        <v>0</v>
      </c>
      <c r="K413">
        <f t="shared" si="39"/>
        <v>19.222100000000001</v>
      </c>
      <c r="M413" s="48">
        <v>41215</v>
      </c>
      <c r="N413">
        <v>3.4434</v>
      </c>
      <c r="S413">
        <f t="shared" si="40"/>
        <v>0</v>
      </c>
      <c r="T413">
        <f t="shared" si="41"/>
        <v>3.4434</v>
      </c>
    </row>
    <row r="414" spans="3:20">
      <c r="C414" s="48">
        <v>41215</v>
      </c>
      <c r="D414">
        <v>18.545500000000001</v>
      </c>
      <c r="F414">
        <f t="shared" si="36"/>
        <v>18.545500000000001</v>
      </c>
      <c r="H414">
        <f t="shared" si="37"/>
        <v>18.545500000000001</v>
      </c>
      <c r="J414">
        <f t="shared" si="38"/>
        <v>0</v>
      </c>
      <c r="K414">
        <f t="shared" si="39"/>
        <v>18.545500000000001</v>
      </c>
      <c r="M414" s="48">
        <v>41222</v>
      </c>
      <c r="N414">
        <v>3.3986000000000001</v>
      </c>
      <c r="S414">
        <f t="shared" si="40"/>
        <v>0</v>
      </c>
      <c r="T414">
        <f t="shared" si="41"/>
        <v>3.3986000000000001</v>
      </c>
    </row>
    <row r="415" spans="3:20">
      <c r="C415" s="48">
        <v>41222</v>
      </c>
      <c r="D415">
        <v>16.762799999999999</v>
      </c>
      <c r="F415">
        <f t="shared" si="36"/>
        <v>16.762799999999999</v>
      </c>
      <c r="H415">
        <f t="shared" si="37"/>
        <v>16.762799999999999</v>
      </c>
      <c r="J415">
        <f t="shared" si="38"/>
        <v>0</v>
      </c>
      <c r="K415">
        <f t="shared" si="39"/>
        <v>16.762799999999999</v>
      </c>
      <c r="M415" s="48">
        <v>41229</v>
      </c>
      <c r="N415">
        <v>3.5449999999999999</v>
      </c>
      <c r="S415">
        <f t="shared" si="40"/>
        <v>0</v>
      </c>
      <c r="T415">
        <f t="shared" si="41"/>
        <v>3.5449999999999999</v>
      </c>
    </row>
    <row r="416" spans="3:20">
      <c r="C416" s="48">
        <v>41229</v>
      </c>
      <c r="D416">
        <v>15.9815</v>
      </c>
      <c r="F416">
        <f t="shared" si="36"/>
        <v>15.9815</v>
      </c>
      <c r="H416">
        <f t="shared" si="37"/>
        <v>15.9815</v>
      </c>
      <c r="J416">
        <f t="shared" si="38"/>
        <v>0</v>
      </c>
      <c r="K416">
        <f t="shared" si="39"/>
        <v>15.9815</v>
      </c>
      <c r="M416" s="48">
        <v>41236</v>
      </c>
      <c r="N416">
        <v>3.6147999999999998</v>
      </c>
      <c r="S416">
        <f t="shared" si="40"/>
        <v>0</v>
      </c>
      <c r="T416">
        <f t="shared" si="41"/>
        <v>3.6147999999999998</v>
      </c>
    </row>
    <row r="417" spans="3:20">
      <c r="C417" s="48">
        <v>41236</v>
      </c>
      <c r="D417">
        <v>16.668700000000001</v>
      </c>
      <c r="F417">
        <f t="shared" si="36"/>
        <v>16.668700000000001</v>
      </c>
      <c r="H417">
        <f t="shared" si="37"/>
        <v>16.668700000000001</v>
      </c>
      <c r="J417">
        <f t="shared" si="38"/>
        <v>0</v>
      </c>
      <c r="K417">
        <f t="shared" si="39"/>
        <v>16.668700000000001</v>
      </c>
      <c r="M417" s="48">
        <v>41243</v>
      </c>
      <c r="N417">
        <v>3.6593999999999998</v>
      </c>
      <c r="S417">
        <f t="shared" si="40"/>
        <v>0</v>
      </c>
      <c r="T417">
        <f t="shared" si="41"/>
        <v>3.6593999999999998</v>
      </c>
    </row>
    <row r="418" spans="3:20">
      <c r="C418" s="48">
        <v>41243</v>
      </c>
      <c r="D418">
        <v>16.393899999999999</v>
      </c>
      <c r="F418">
        <f t="shared" si="36"/>
        <v>16.393899999999999</v>
      </c>
      <c r="H418">
        <f t="shared" si="37"/>
        <v>16.393899999999999</v>
      </c>
      <c r="J418">
        <f t="shared" si="38"/>
        <v>0</v>
      </c>
      <c r="K418">
        <f t="shared" si="39"/>
        <v>16.393899999999999</v>
      </c>
      <c r="M418" s="48">
        <v>41250</v>
      </c>
      <c r="N418">
        <v>3.4085000000000001</v>
      </c>
      <c r="S418">
        <f t="shared" si="40"/>
        <v>0</v>
      </c>
      <c r="T418">
        <f t="shared" si="41"/>
        <v>3.4085000000000001</v>
      </c>
    </row>
    <row r="419" spans="3:20">
      <c r="C419" s="48">
        <v>41250</v>
      </c>
      <c r="D419">
        <v>16.096900000000002</v>
      </c>
      <c r="F419">
        <f t="shared" si="36"/>
        <v>16.096900000000002</v>
      </c>
      <c r="H419">
        <f t="shared" si="37"/>
        <v>16.096900000000002</v>
      </c>
      <c r="J419">
        <f t="shared" si="38"/>
        <v>0</v>
      </c>
      <c r="K419">
        <f t="shared" si="39"/>
        <v>16.096900000000002</v>
      </c>
      <c r="M419" s="48">
        <v>41257</v>
      </c>
      <c r="N419">
        <v>3.298</v>
      </c>
      <c r="S419">
        <f t="shared" si="40"/>
        <v>0</v>
      </c>
      <c r="T419">
        <f t="shared" si="41"/>
        <v>3.298</v>
      </c>
    </row>
    <row r="420" spans="3:20">
      <c r="C420" s="48">
        <v>41257</v>
      </c>
      <c r="D420">
        <v>15.9437</v>
      </c>
      <c r="F420">
        <f t="shared" si="36"/>
        <v>15.9437</v>
      </c>
      <c r="H420">
        <f t="shared" si="37"/>
        <v>15.9437</v>
      </c>
      <c r="J420">
        <f t="shared" si="38"/>
        <v>0</v>
      </c>
      <c r="K420">
        <f t="shared" si="39"/>
        <v>15.9437</v>
      </c>
      <c r="M420" s="48">
        <v>41264</v>
      </c>
      <c r="N420">
        <v>3.3014999999999999</v>
      </c>
      <c r="S420">
        <f t="shared" si="40"/>
        <v>0</v>
      </c>
      <c r="T420">
        <f t="shared" si="41"/>
        <v>3.3014999999999999</v>
      </c>
    </row>
    <row r="421" spans="3:20">
      <c r="C421" s="48">
        <v>41264</v>
      </c>
      <c r="D421">
        <v>16.286100000000001</v>
      </c>
      <c r="F421">
        <f t="shared" si="36"/>
        <v>16.286100000000001</v>
      </c>
      <c r="H421">
        <f t="shared" si="37"/>
        <v>16.286100000000001</v>
      </c>
      <c r="J421">
        <f t="shared" si="38"/>
        <v>0</v>
      </c>
      <c r="K421">
        <f t="shared" si="39"/>
        <v>16.286100000000001</v>
      </c>
      <c r="M421" s="48">
        <v>41271</v>
      </c>
      <c r="N421">
        <v>3.3426</v>
      </c>
      <c r="S421">
        <f t="shared" si="40"/>
        <v>0</v>
      </c>
      <c r="T421">
        <f t="shared" si="41"/>
        <v>3.3426</v>
      </c>
    </row>
    <row r="422" spans="3:20">
      <c r="C422" s="48">
        <v>41271</v>
      </c>
      <c r="D422">
        <v>15.983000000000001</v>
      </c>
      <c r="F422">
        <f t="shared" si="36"/>
        <v>15.983000000000001</v>
      </c>
      <c r="H422">
        <f t="shared" si="37"/>
        <v>15.983000000000001</v>
      </c>
      <c r="J422">
        <f t="shared" si="38"/>
        <v>0</v>
      </c>
      <c r="K422">
        <f t="shared" si="39"/>
        <v>15.983000000000001</v>
      </c>
      <c r="M422" s="48">
        <v>41278</v>
      </c>
      <c r="N422">
        <v>3.2793999999999999</v>
      </c>
      <c r="S422">
        <f t="shared" si="40"/>
        <v>0</v>
      </c>
      <c r="T422">
        <f t="shared" si="41"/>
        <v>3.2793999999999999</v>
      </c>
    </row>
    <row r="423" spans="3:20">
      <c r="C423" s="48">
        <v>41278</v>
      </c>
      <c r="D423">
        <v>15.9475</v>
      </c>
      <c r="F423">
        <f t="shared" si="36"/>
        <v>15.9475</v>
      </c>
      <c r="H423">
        <f t="shared" si="37"/>
        <v>15.9475</v>
      </c>
      <c r="J423">
        <f t="shared" si="38"/>
        <v>0</v>
      </c>
      <c r="K423">
        <f t="shared" si="39"/>
        <v>15.9475</v>
      </c>
      <c r="M423" s="48">
        <v>41285</v>
      </c>
      <c r="N423">
        <v>3.1814999999999998</v>
      </c>
      <c r="S423">
        <f t="shared" si="40"/>
        <v>0</v>
      </c>
      <c r="T423">
        <f t="shared" si="41"/>
        <v>3.1814999999999998</v>
      </c>
    </row>
    <row r="424" spans="3:20">
      <c r="C424" s="48">
        <v>41285</v>
      </c>
      <c r="D424">
        <v>16.114000000000001</v>
      </c>
      <c r="F424">
        <f t="shared" si="36"/>
        <v>16.114000000000001</v>
      </c>
      <c r="H424">
        <f t="shared" si="37"/>
        <v>16.114000000000001</v>
      </c>
      <c r="J424">
        <f t="shared" si="38"/>
        <v>0</v>
      </c>
      <c r="K424">
        <f t="shared" si="39"/>
        <v>16.114000000000001</v>
      </c>
      <c r="M424" s="48">
        <v>41292</v>
      </c>
      <c r="N424">
        <v>3.4388000000000001</v>
      </c>
      <c r="S424">
        <f t="shared" si="40"/>
        <v>0</v>
      </c>
      <c r="T424">
        <f t="shared" si="41"/>
        <v>3.4388000000000001</v>
      </c>
    </row>
    <row r="425" spans="3:20">
      <c r="C425" s="48">
        <v>41292</v>
      </c>
      <c r="D425">
        <v>16.456399999999999</v>
      </c>
      <c r="F425">
        <f t="shared" si="36"/>
        <v>16.456399999999999</v>
      </c>
      <c r="H425">
        <f t="shared" si="37"/>
        <v>16.456399999999999</v>
      </c>
      <c r="J425">
        <f t="shared" si="38"/>
        <v>0</v>
      </c>
      <c r="K425">
        <f t="shared" si="39"/>
        <v>16.456399999999999</v>
      </c>
      <c r="M425" s="48">
        <v>41299</v>
      </c>
      <c r="N425">
        <v>3.5354000000000001</v>
      </c>
      <c r="S425">
        <f t="shared" si="40"/>
        <v>0</v>
      </c>
      <c r="T425">
        <f t="shared" si="41"/>
        <v>3.5354000000000001</v>
      </c>
    </row>
    <row r="426" spans="3:20">
      <c r="C426" s="48">
        <v>41299</v>
      </c>
      <c r="D426">
        <v>17.8203</v>
      </c>
      <c r="F426">
        <f t="shared" si="36"/>
        <v>17.8203</v>
      </c>
      <c r="H426">
        <f t="shared" si="37"/>
        <v>17.8203</v>
      </c>
      <c r="J426">
        <f t="shared" si="38"/>
        <v>0</v>
      </c>
      <c r="K426">
        <f t="shared" si="39"/>
        <v>17.8203</v>
      </c>
      <c r="M426" s="48">
        <v>41306</v>
      </c>
      <c r="N426">
        <v>3.2580999999999998</v>
      </c>
      <c r="S426">
        <f t="shared" si="40"/>
        <v>0</v>
      </c>
      <c r="T426">
        <f t="shared" si="41"/>
        <v>3.2580999999999998</v>
      </c>
    </row>
    <row r="427" spans="3:20">
      <c r="C427" s="48">
        <v>41306</v>
      </c>
      <c r="D427">
        <v>18.637599999999999</v>
      </c>
      <c r="F427">
        <f t="shared" si="36"/>
        <v>18.637599999999999</v>
      </c>
      <c r="H427">
        <f t="shared" si="37"/>
        <v>18.637599999999999</v>
      </c>
      <c r="J427">
        <f t="shared" si="38"/>
        <v>0</v>
      </c>
      <c r="K427">
        <f t="shared" si="39"/>
        <v>18.637599999999999</v>
      </c>
      <c r="M427" s="48">
        <v>41313</v>
      </c>
      <c r="N427">
        <v>3.3353999999999999</v>
      </c>
      <c r="S427">
        <f t="shared" si="40"/>
        <v>0</v>
      </c>
      <c r="T427">
        <f t="shared" si="41"/>
        <v>3.3353999999999999</v>
      </c>
    </row>
    <row r="428" spans="3:20">
      <c r="C428" s="48">
        <v>41313</v>
      </c>
      <c r="D428">
        <v>19.224</v>
      </c>
      <c r="F428">
        <f t="shared" si="36"/>
        <v>19.224</v>
      </c>
      <c r="H428">
        <f t="shared" si="37"/>
        <v>19.224</v>
      </c>
      <c r="J428">
        <f t="shared" si="38"/>
        <v>0</v>
      </c>
      <c r="K428">
        <f t="shared" si="39"/>
        <v>19.224</v>
      </c>
      <c r="M428" s="48">
        <v>41320</v>
      </c>
      <c r="N428">
        <v>3.2553000000000001</v>
      </c>
      <c r="S428">
        <f t="shared" si="40"/>
        <v>0</v>
      </c>
      <c r="T428">
        <f t="shared" si="41"/>
        <v>3.2553000000000001</v>
      </c>
    </row>
    <row r="429" spans="3:20">
      <c r="C429" s="48">
        <v>41320</v>
      </c>
      <c r="D429">
        <v>19.1143</v>
      </c>
      <c r="F429">
        <f t="shared" si="36"/>
        <v>19.1143</v>
      </c>
      <c r="H429">
        <f t="shared" si="37"/>
        <v>19.1143</v>
      </c>
      <c r="J429">
        <f t="shared" si="38"/>
        <v>0</v>
      </c>
      <c r="K429">
        <f t="shared" si="39"/>
        <v>19.1143</v>
      </c>
      <c r="M429" s="48">
        <v>41327</v>
      </c>
      <c r="N429">
        <v>3.2776999999999998</v>
      </c>
      <c r="S429">
        <f t="shared" si="40"/>
        <v>0</v>
      </c>
      <c r="T429">
        <f t="shared" si="41"/>
        <v>3.2776999999999998</v>
      </c>
    </row>
    <row r="430" spans="3:20">
      <c r="C430" s="48">
        <v>41327</v>
      </c>
      <c r="D430">
        <v>19.2226</v>
      </c>
      <c r="F430">
        <f t="shared" si="36"/>
        <v>19.2226</v>
      </c>
      <c r="H430">
        <f t="shared" si="37"/>
        <v>19.2226</v>
      </c>
      <c r="J430">
        <f t="shared" si="38"/>
        <v>0</v>
      </c>
      <c r="K430">
        <f t="shared" si="39"/>
        <v>19.2226</v>
      </c>
      <c r="M430" s="48">
        <v>41334</v>
      </c>
      <c r="N430">
        <v>3.4794</v>
      </c>
      <c r="S430">
        <f t="shared" si="40"/>
        <v>0</v>
      </c>
      <c r="T430">
        <f t="shared" si="41"/>
        <v>3.4794</v>
      </c>
    </row>
    <row r="431" spans="3:20">
      <c r="C431" s="48">
        <v>41334</v>
      </c>
      <c r="D431">
        <v>18.696200000000001</v>
      </c>
      <c r="F431">
        <f t="shared" si="36"/>
        <v>18.696200000000001</v>
      </c>
      <c r="H431">
        <f t="shared" si="37"/>
        <v>18.696200000000001</v>
      </c>
      <c r="J431">
        <f t="shared" si="38"/>
        <v>0</v>
      </c>
      <c r="K431">
        <f t="shared" si="39"/>
        <v>18.696200000000001</v>
      </c>
      <c r="M431" s="48">
        <v>41341</v>
      </c>
      <c r="N431">
        <v>3.5691999999999999</v>
      </c>
      <c r="S431">
        <f t="shared" si="40"/>
        <v>0</v>
      </c>
      <c r="T431">
        <f t="shared" si="41"/>
        <v>3.5691999999999999</v>
      </c>
    </row>
    <row r="432" spans="3:20">
      <c r="C432" s="48">
        <v>41341</v>
      </c>
      <c r="D432">
        <v>19.089700000000001</v>
      </c>
      <c r="F432">
        <f t="shared" si="36"/>
        <v>19.089700000000001</v>
      </c>
      <c r="H432">
        <f t="shared" si="37"/>
        <v>19.089700000000001</v>
      </c>
      <c r="J432">
        <f t="shared" si="38"/>
        <v>0</v>
      </c>
      <c r="K432">
        <f t="shared" si="39"/>
        <v>19.089700000000001</v>
      </c>
      <c r="M432" s="48">
        <v>41348</v>
      </c>
      <c r="N432">
        <v>3.7385000000000002</v>
      </c>
      <c r="S432">
        <f t="shared" si="40"/>
        <v>0</v>
      </c>
      <c r="T432">
        <f t="shared" si="41"/>
        <v>3.7385000000000002</v>
      </c>
    </row>
    <row r="433" spans="3:20">
      <c r="C433" s="48">
        <v>41348</v>
      </c>
      <c r="D433">
        <v>20.682500000000001</v>
      </c>
      <c r="F433">
        <f t="shared" si="36"/>
        <v>20.682500000000001</v>
      </c>
      <c r="H433">
        <f t="shared" si="37"/>
        <v>20.682500000000001</v>
      </c>
      <c r="J433">
        <f t="shared" si="38"/>
        <v>0</v>
      </c>
      <c r="K433">
        <f t="shared" si="39"/>
        <v>20.682500000000001</v>
      </c>
      <c r="M433" s="48">
        <v>41355</v>
      </c>
      <c r="N433">
        <v>3.9741999999999997</v>
      </c>
      <c r="S433">
        <f t="shared" si="40"/>
        <v>0</v>
      </c>
      <c r="T433">
        <f t="shared" si="41"/>
        <v>3.9741999999999997</v>
      </c>
    </row>
    <row r="434" spans="3:20">
      <c r="C434" s="48">
        <v>41355</v>
      </c>
      <c r="D434">
        <v>19.889900000000001</v>
      </c>
      <c r="F434">
        <f t="shared" si="36"/>
        <v>19.889900000000001</v>
      </c>
      <c r="H434">
        <f t="shared" si="37"/>
        <v>19.889900000000001</v>
      </c>
      <c r="J434">
        <f t="shared" si="38"/>
        <v>0</v>
      </c>
      <c r="K434">
        <f t="shared" si="39"/>
        <v>19.889900000000001</v>
      </c>
      <c r="M434" s="48">
        <v>41362</v>
      </c>
      <c r="N434">
        <v>4.0465999999999998</v>
      </c>
      <c r="S434">
        <f t="shared" si="40"/>
        <v>0</v>
      </c>
      <c r="T434">
        <f t="shared" si="41"/>
        <v>4.0465999999999998</v>
      </c>
    </row>
    <row r="435" spans="3:20">
      <c r="C435" s="48">
        <v>41362</v>
      </c>
      <c r="D435">
        <v>19.395199999999999</v>
      </c>
      <c r="F435">
        <f t="shared" si="36"/>
        <v>19.395199999999999</v>
      </c>
      <c r="H435">
        <f t="shared" si="37"/>
        <v>19.395199999999999</v>
      </c>
      <c r="J435">
        <f t="shared" si="38"/>
        <v>0</v>
      </c>
      <c r="K435">
        <f t="shared" si="39"/>
        <v>19.395199999999999</v>
      </c>
      <c r="M435" s="48">
        <v>41369</v>
      </c>
      <c r="N435">
        <v>3.9933000000000001</v>
      </c>
      <c r="S435">
        <f t="shared" si="40"/>
        <v>0</v>
      </c>
      <c r="T435">
        <f t="shared" si="41"/>
        <v>3.9933000000000001</v>
      </c>
    </row>
    <row r="436" spans="3:20">
      <c r="C436" s="48">
        <v>41369</v>
      </c>
      <c r="D436">
        <v>18.645099999999999</v>
      </c>
      <c r="F436">
        <f t="shared" si="36"/>
        <v>18.645099999999999</v>
      </c>
      <c r="H436">
        <f t="shared" si="37"/>
        <v>18.645099999999999</v>
      </c>
      <c r="J436">
        <f t="shared" si="38"/>
        <v>0</v>
      </c>
      <c r="K436">
        <f t="shared" si="39"/>
        <v>18.645099999999999</v>
      </c>
      <c r="M436" s="48">
        <v>41376</v>
      </c>
      <c r="N436">
        <v>4.1295999999999999</v>
      </c>
      <c r="S436">
        <f t="shared" si="40"/>
        <v>0</v>
      </c>
      <c r="T436">
        <f t="shared" si="41"/>
        <v>4.1295999999999999</v>
      </c>
    </row>
    <row r="437" spans="3:20">
      <c r="C437" s="48">
        <v>41376</v>
      </c>
      <c r="D437">
        <v>18.930800000000001</v>
      </c>
      <c r="F437">
        <f t="shared" si="36"/>
        <v>18.930800000000001</v>
      </c>
      <c r="H437">
        <f t="shared" si="37"/>
        <v>18.930800000000001</v>
      </c>
      <c r="J437">
        <f t="shared" si="38"/>
        <v>0</v>
      </c>
      <c r="K437">
        <f t="shared" si="39"/>
        <v>18.930800000000001</v>
      </c>
      <c r="M437" s="48">
        <v>41383</v>
      </c>
      <c r="N437">
        <v>4.2545000000000002</v>
      </c>
      <c r="S437">
        <f t="shared" si="40"/>
        <v>0</v>
      </c>
      <c r="T437">
        <f t="shared" si="41"/>
        <v>4.2545000000000002</v>
      </c>
    </row>
    <row r="438" spans="3:20">
      <c r="C438" s="48">
        <v>41383</v>
      </c>
      <c r="D438">
        <v>17.784400000000002</v>
      </c>
      <c r="F438">
        <f t="shared" si="36"/>
        <v>17.784400000000002</v>
      </c>
      <c r="H438">
        <f t="shared" si="37"/>
        <v>17.784400000000002</v>
      </c>
      <c r="J438">
        <f t="shared" si="38"/>
        <v>0</v>
      </c>
      <c r="K438">
        <f t="shared" si="39"/>
        <v>17.784400000000002</v>
      </c>
      <c r="M438" s="48">
        <v>41390</v>
      </c>
      <c r="N438">
        <v>4.2415000000000003</v>
      </c>
      <c r="S438">
        <f t="shared" si="40"/>
        <v>0</v>
      </c>
      <c r="T438">
        <f t="shared" si="41"/>
        <v>4.2415000000000003</v>
      </c>
    </row>
    <row r="439" spans="3:20">
      <c r="C439" s="48">
        <v>41390</v>
      </c>
      <c r="D439">
        <v>18.0398</v>
      </c>
      <c r="F439">
        <f t="shared" si="36"/>
        <v>18.0398</v>
      </c>
      <c r="H439">
        <f t="shared" si="37"/>
        <v>18.0398</v>
      </c>
      <c r="J439">
        <f t="shared" si="38"/>
        <v>0</v>
      </c>
      <c r="K439">
        <f t="shared" si="39"/>
        <v>18.0398</v>
      </c>
      <c r="M439" s="48">
        <v>41397</v>
      </c>
      <c r="N439">
        <v>4.2268999999999997</v>
      </c>
      <c r="S439">
        <f t="shared" si="40"/>
        <v>0</v>
      </c>
      <c r="T439">
        <f t="shared" si="41"/>
        <v>4.2268999999999997</v>
      </c>
    </row>
    <row r="440" spans="3:20">
      <c r="C440" s="48">
        <v>41397</v>
      </c>
      <c r="D440">
        <v>18.247900000000001</v>
      </c>
      <c r="F440">
        <f t="shared" si="36"/>
        <v>18.247900000000001</v>
      </c>
      <c r="H440">
        <f t="shared" si="37"/>
        <v>18.247900000000001</v>
      </c>
      <c r="J440">
        <f t="shared" si="38"/>
        <v>0</v>
      </c>
      <c r="K440">
        <f t="shared" si="39"/>
        <v>18.247900000000001</v>
      </c>
      <c r="M440" s="48">
        <v>41404</v>
      </c>
      <c r="N440">
        <v>3.8877000000000002</v>
      </c>
      <c r="S440">
        <f t="shared" si="40"/>
        <v>0</v>
      </c>
      <c r="T440">
        <f t="shared" si="41"/>
        <v>3.8877000000000002</v>
      </c>
    </row>
    <row r="441" spans="3:20">
      <c r="C441" s="48">
        <v>41404</v>
      </c>
      <c r="D441">
        <v>18.442699999999999</v>
      </c>
      <c r="F441">
        <f t="shared" si="36"/>
        <v>18.442699999999999</v>
      </c>
      <c r="H441">
        <f t="shared" si="37"/>
        <v>18.442699999999999</v>
      </c>
      <c r="J441">
        <f t="shared" si="38"/>
        <v>0</v>
      </c>
      <c r="K441">
        <f t="shared" si="39"/>
        <v>18.442699999999999</v>
      </c>
      <c r="M441" s="48">
        <v>41411</v>
      </c>
      <c r="N441">
        <v>3.9458000000000002</v>
      </c>
      <c r="S441">
        <f t="shared" si="40"/>
        <v>0</v>
      </c>
      <c r="T441">
        <f t="shared" si="41"/>
        <v>3.9458000000000002</v>
      </c>
    </row>
    <row r="442" spans="3:20">
      <c r="C442" s="48">
        <v>41411</v>
      </c>
      <c r="D442">
        <v>19.322400000000002</v>
      </c>
      <c r="F442">
        <f t="shared" si="36"/>
        <v>19.322400000000002</v>
      </c>
      <c r="H442">
        <f t="shared" si="37"/>
        <v>19.322400000000002</v>
      </c>
      <c r="J442">
        <f t="shared" si="38"/>
        <v>0</v>
      </c>
      <c r="K442">
        <f t="shared" si="39"/>
        <v>19.322400000000002</v>
      </c>
      <c r="M442" s="48">
        <v>41418</v>
      </c>
      <c r="N442">
        <v>4.1375000000000002</v>
      </c>
      <c r="S442">
        <f t="shared" si="40"/>
        <v>0</v>
      </c>
      <c r="T442">
        <f t="shared" si="41"/>
        <v>4.1375000000000002</v>
      </c>
    </row>
    <row r="443" spans="3:20">
      <c r="C443" s="48">
        <v>41418</v>
      </c>
      <c r="D443">
        <v>20.067699999999999</v>
      </c>
      <c r="F443">
        <f t="shared" si="36"/>
        <v>20.067699999999999</v>
      </c>
      <c r="H443">
        <f t="shared" si="37"/>
        <v>20.067699999999999</v>
      </c>
      <c r="J443">
        <f t="shared" si="38"/>
        <v>0</v>
      </c>
      <c r="K443">
        <f t="shared" si="39"/>
        <v>20.067699999999999</v>
      </c>
      <c r="M443" s="48">
        <v>41425</v>
      </c>
      <c r="N443">
        <v>4.1189</v>
      </c>
      <c r="S443">
        <f t="shared" si="40"/>
        <v>0</v>
      </c>
      <c r="T443">
        <f t="shared" si="41"/>
        <v>4.1189</v>
      </c>
    </row>
    <row r="444" spans="3:20">
      <c r="C444" s="48">
        <v>41425</v>
      </c>
      <c r="D444">
        <v>21.0718</v>
      </c>
      <c r="F444">
        <f t="shared" si="36"/>
        <v>21.0718</v>
      </c>
      <c r="H444">
        <f t="shared" si="37"/>
        <v>21.0718</v>
      </c>
      <c r="J444">
        <f t="shared" si="38"/>
        <v>0</v>
      </c>
      <c r="K444">
        <f t="shared" si="39"/>
        <v>21.0718</v>
      </c>
      <c r="M444" s="48">
        <v>41432</v>
      </c>
      <c r="N444">
        <v>3.9416000000000002</v>
      </c>
      <c r="S444">
        <f t="shared" si="40"/>
        <v>0</v>
      </c>
      <c r="T444">
        <f t="shared" si="41"/>
        <v>3.9416000000000002</v>
      </c>
    </row>
    <row r="445" spans="3:20">
      <c r="C445" s="48">
        <v>41432</v>
      </c>
      <c r="D445">
        <v>20.6371</v>
      </c>
      <c r="F445">
        <f t="shared" si="36"/>
        <v>20.6371</v>
      </c>
      <c r="H445">
        <f t="shared" si="37"/>
        <v>20.6371</v>
      </c>
      <c r="J445">
        <f t="shared" si="38"/>
        <v>0</v>
      </c>
      <c r="K445">
        <f t="shared" si="39"/>
        <v>20.6371</v>
      </c>
      <c r="M445" s="48">
        <v>41439</v>
      </c>
      <c r="N445">
        <v>3.7688999999999999</v>
      </c>
      <c r="S445">
        <f t="shared" si="40"/>
        <v>0</v>
      </c>
      <c r="T445">
        <f t="shared" si="41"/>
        <v>3.7688999999999999</v>
      </c>
    </row>
    <row r="446" spans="3:20">
      <c r="C446" s="48">
        <v>41439</v>
      </c>
      <c r="D446">
        <v>20.0488</v>
      </c>
      <c r="F446">
        <f t="shared" si="36"/>
        <v>20.0488</v>
      </c>
      <c r="H446">
        <f t="shared" si="37"/>
        <v>20.0488</v>
      </c>
      <c r="J446">
        <f t="shared" si="38"/>
        <v>0</v>
      </c>
      <c r="K446">
        <f t="shared" si="39"/>
        <v>20.0488</v>
      </c>
      <c r="M446" s="48">
        <v>41446</v>
      </c>
      <c r="N446">
        <v>3.8704000000000001</v>
      </c>
      <c r="S446">
        <f t="shared" si="40"/>
        <v>0</v>
      </c>
      <c r="T446">
        <f t="shared" si="41"/>
        <v>3.8704000000000001</v>
      </c>
    </row>
    <row r="447" spans="3:20">
      <c r="C447" s="48">
        <v>41446</v>
      </c>
      <c r="D447">
        <v>19.558800000000002</v>
      </c>
      <c r="F447">
        <f t="shared" si="36"/>
        <v>19.558800000000002</v>
      </c>
      <c r="H447">
        <f t="shared" si="37"/>
        <v>19.558800000000002</v>
      </c>
      <c r="J447">
        <f t="shared" si="38"/>
        <v>0</v>
      </c>
      <c r="K447">
        <f t="shared" si="39"/>
        <v>19.558800000000002</v>
      </c>
      <c r="M447" s="48">
        <v>41453</v>
      </c>
      <c r="N447">
        <v>3.7208999999999999</v>
      </c>
      <c r="S447">
        <f t="shared" si="40"/>
        <v>0</v>
      </c>
      <c r="T447">
        <f t="shared" si="41"/>
        <v>3.7208999999999999</v>
      </c>
    </row>
    <row r="448" spans="3:20">
      <c r="C448" s="48">
        <v>41453</v>
      </c>
      <c r="D448">
        <v>19.053699999999999</v>
      </c>
      <c r="F448">
        <f t="shared" si="36"/>
        <v>19.053699999999999</v>
      </c>
      <c r="H448">
        <f t="shared" si="37"/>
        <v>19.053699999999999</v>
      </c>
      <c r="J448">
        <f t="shared" si="38"/>
        <v>0</v>
      </c>
      <c r="K448">
        <f t="shared" si="39"/>
        <v>19.053699999999999</v>
      </c>
      <c r="M448" s="48">
        <v>41460</v>
      </c>
      <c r="N448">
        <v>3.5407000000000002</v>
      </c>
      <c r="S448">
        <f t="shared" si="40"/>
        <v>0</v>
      </c>
      <c r="T448">
        <f t="shared" si="41"/>
        <v>3.5407000000000002</v>
      </c>
    </row>
    <row r="449" spans="3:20">
      <c r="C449" s="48">
        <v>41460</v>
      </c>
      <c r="D449">
        <v>19.8019</v>
      </c>
      <c r="F449">
        <f t="shared" si="36"/>
        <v>19.8019</v>
      </c>
      <c r="H449">
        <f t="shared" si="37"/>
        <v>19.8019</v>
      </c>
      <c r="J449">
        <f t="shared" si="38"/>
        <v>0</v>
      </c>
      <c r="K449">
        <f t="shared" si="39"/>
        <v>19.8019</v>
      </c>
      <c r="M449" s="48">
        <v>41467</v>
      </c>
      <c r="N449">
        <v>3.6558000000000002</v>
      </c>
      <c r="S449">
        <f t="shared" si="40"/>
        <v>0</v>
      </c>
      <c r="T449">
        <f t="shared" si="41"/>
        <v>3.6558000000000002</v>
      </c>
    </row>
    <row r="450" spans="3:20">
      <c r="C450" s="48">
        <v>41467</v>
      </c>
      <c r="D450">
        <v>20.052600000000002</v>
      </c>
      <c r="F450">
        <f t="shared" si="36"/>
        <v>20.052600000000002</v>
      </c>
      <c r="H450">
        <f t="shared" si="37"/>
        <v>20.052600000000002</v>
      </c>
      <c r="J450">
        <f t="shared" si="38"/>
        <v>0</v>
      </c>
      <c r="K450">
        <f t="shared" si="39"/>
        <v>20.052600000000002</v>
      </c>
      <c r="M450" s="48">
        <v>41474</v>
      </c>
      <c r="N450">
        <v>3.6943999999999999</v>
      </c>
      <c r="S450">
        <f t="shared" si="40"/>
        <v>0</v>
      </c>
      <c r="T450">
        <f t="shared" si="41"/>
        <v>3.6943999999999999</v>
      </c>
    </row>
    <row r="451" spans="3:20">
      <c r="C451" s="48">
        <v>41474</v>
      </c>
      <c r="D451">
        <v>20.8263</v>
      </c>
      <c r="F451">
        <f t="shared" si="36"/>
        <v>20.8263</v>
      </c>
      <c r="H451">
        <f t="shared" si="37"/>
        <v>20.8263</v>
      </c>
      <c r="J451">
        <f t="shared" si="38"/>
        <v>0</v>
      </c>
      <c r="K451">
        <f t="shared" si="39"/>
        <v>20.8263</v>
      </c>
      <c r="M451" s="48">
        <v>41481</v>
      </c>
      <c r="N451">
        <v>3.6722999999999999</v>
      </c>
      <c r="S451">
        <f t="shared" si="40"/>
        <v>0</v>
      </c>
      <c r="T451">
        <f t="shared" si="41"/>
        <v>3.6722999999999999</v>
      </c>
    </row>
    <row r="452" spans="3:20">
      <c r="C452" s="48">
        <v>41481</v>
      </c>
      <c r="D452">
        <v>21.255700000000001</v>
      </c>
      <c r="F452">
        <f t="shared" si="36"/>
        <v>21.255700000000001</v>
      </c>
      <c r="H452">
        <f t="shared" si="37"/>
        <v>21.255700000000001</v>
      </c>
      <c r="J452">
        <f t="shared" si="38"/>
        <v>0</v>
      </c>
      <c r="K452">
        <f t="shared" si="39"/>
        <v>21.255700000000001</v>
      </c>
      <c r="M452" s="48">
        <v>41488</v>
      </c>
      <c r="N452">
        <v>3.4493999999999998</v>
      </c>
      <c r="S452">
        <f t="shared" si="40"/>
        <v>0</v>
      </c>
      <c r="T452">
        <f t="shared" si="41"/>
        <v>3.4493999999999998</v>
      </c>
    </row>
    <row r="453" spans="3:20">
      <c r="C453" s="48">
        <v>41488</v>
      </c>
      <c r="D453">
        <v>22.511900000000001</v>
      </c>
      <c r="F453">
        <f t="shared" ref="F453:F516" si="42">D453</f>
        <v>22.511900000000001</v>
      </c>
      <c r="H453">
        <f t="shared" ref="H453:H516" si="43">F453</f>
        <v>22.511900000000001</v>
      </c>
      <c r="J453">
        <f t="shared" ref="J453:J516" si="44">K453-F453</f>
        <v>0</v>
      </c>
      <c r="K453">
        <f t="shared" ref="K453:K516" si="45">H453</f>
        <v>22.511900000000001</v>
      </c>
      <c r="M453" s="48">
        <v>41495</v>
      </c>
      <c r="N453">
        <v>3.3174000000000001</v>
      </c>
      <c r="S453">
        <f t="shared" ref="S453:S516" si="46">T453-N453</f>
        <v>0</v>
      </c>
      <c r="T453">
        <f t="shared" ref="T453:T516" si="47">N453</f>
        <v>3.3174000000000001</v>
      </c>
    </row>
    <row r="454" spans="3:20">
      <c r="C454" s="48">
        <v>41495</v>
      </c>
      <c r="D454">
        <v>23.739599999999999</v>
      </c>
      <c r="F454">
        <f t="shared" si="42"/>
        <v>23.739599999999999</v>
      </c>
      <c r="H454">
        <f t="shared" si="43"/>
        <v>23.739599999999999</v>
      </c>
      <c r="J454">
        <f t="shared" si="44"/>
        <v>0</v>
      </c>
      <c r="K454">
        <f t="shared" si="45"/>
        <v>23.739599999999999</v>
      </c>
      <c r="M454" s="48">
        <v>41502</v>
      </c>
      <c r="N454">
        <v>3.3449999999999998</v>
      </c>
      <c r="S454">
        <f t="shared" si="46"/>
        <v>0</v>
      </c>
      <c r="T454">
        <f t="shared" si="47"/>
        <v>3.3449999999999998</v>
      </c>
    </row>
    <row r="455" spans="3:20">
      <c r="C455" s="48">
        <v>41502</v>
      </c>
      <c r="D455">
        <v>23.637499999999999</v>
      </c>
      <c r="F455">
        <f t="shared" si="42"/>
        <v>23.637499999999999</v>
      </c>
      <c r="H455">
        <f t="shared" si="43"/>
        <v>23.637499999999999</v>
      </c>
      <c r="J455">
        <f t="shared" si="44"/>
        <v>0</v>
      </c>
      <c r="K455">
        <f t="shared" si="45"/>
        <v>23.637499999999999</v>
      </c>
      <c r="M455" s="48">
        <v>41509</v>
      </c>
      <c r="N455">
        <v>3.4943</v>
      </c>
      <c r="S455">
        <f t="shared" si="46"/>
        <v>0</v>
      </c>
      <c r="T455">
        <f t="shared" si="47"/>
        <v>3.4943</v>
      </c>
    </row>
    <row r="456" spans="3:20">
      <c r="C456" s="48">
        <v>41509</v>
      </c>
      <c r="D456">
        <v>24.0291</v>
      </c>
      <c r="F456">
        <f t="shared" si="42"/>
        <v>24.0291</v>
      </c>
      <c r="H456">
        <f t="shared" si="43"/>
        <v>24.0291</v>
      </c>
      <c r="J456">
        <f t="shared" si="44"/>
        <v>0</v>
      </c>
      <c r="K456">
        <f t="shared" si="45"/>
        <v>24.0291</v>
      </c>
      <c r="M456" s="48">
        <v>41516</v>
      </c>
      <c r="N456">
        <v>3.5488</v>
      </c>
      <c r="S456">
        <f t="shared" si="46"/>
        <v>0</v>
      </c>
      <c r="T456">
        <f t="shared" si="47"/>
        <v>3.5488</v>
      </c>
    </row>
    <row r="457" spans="3:20">
      <c r="C457" s="48">
        <v>41516</v>
      </c>
      <c r="D457">
        <v>24.681699999999999</v>
      </c>
      <c r="F457">
        <f t="shared" si="42"/>
        <v>24.681699999999999</v>
      </c>
      <c r="H457">
        <f t="shared" si="43"/>
        <v>24.681699999999999</v>
      </c>
      <c r="J457">
        <f t="shared" si="44"/>
        <v>0</v>
      </c>
      <c r="K457">
        <f t="shared" si="45"/>
        <v>24.681699999999999</v>
      </c>
      <c r="M457" s="48">
        <v>41523</v>
      </c>
      <c r="N457">
        <v>3.6391999999999998</v>
      </c>
      <c r="S457">
        <f t="shared" si="46"/>
        <v>0</v>
      </c>
      <c r="T457">
        <f t="shared" si="47"/>
        <v>3.6391999999999998</v>
      </c>
    </row>
    <row r="458" spans="3:20">
      <c r="C458" s="48">
        <v>41523</v>
      </c>
      <c r="D458">
        <v>24.706299999999999</v>
      </c>
      <c r="F458">
        <f t="shared" si="42"/>
        <v>24.706299999999999</v>
      </c>
      <c r="H458">
        <f t="shared" si="43"/>
        <v>24.706299999999999</v>
      </c>
      <c r="J458">
        <f t="shared" si="44"/>
        <v>0</v>
      </c>
      <c r="K458">
        <f t="shared" si="45"/>
        <v>24.706299999999999</v>
      </c>
      <c r="M458" s="48">
        <v>41530</v>
      </c>
      <c r="N458">
        <v>3.5983999999999998</v>
      </c>
      <c r="S458">
        <f t="shared" si="46"/>
        <v>0</v>
      </c>
      <c r="T458">
        <f t="shared" si="47"/>
        <v>3.5983999999999998</v>
      </c>
    </row>
    <row r="459" spans="3:20">
      <c r="C459" s="48">
        <v>41530</v>
      </c>
      <c r="D459">
        <v>25.201899999999998</v>
      </c>
      <c r="F459">
        <f t="shared" si="42"/>
        <v>25.201899999999998</v>
      </c>
      <c r="H459">
        <f t="shared" si="43"/>
        <v>25.201899999999998</v>
      </c>
      <c r="J459">
        <f t="shared" si="44"/>
        <v>0</v>
      </c>
      <c r="K459">
        <f t="shared" si="45"/>
        <v>25.201899999999998</v>
      </c>
      <c r="M459" s="48">
        <v>41537</v>
      </c>
      <c r="N459">
        <v>3.7063999999999999</v>
      </c>
      <c r="S459">
        <f t="shared" si="46"/>
        <v>0</v>
      </c>
      <c r="T459">
        <f t="shared" si="47"/>
        <v>3.7063999999999999</v>
      </c>
    </row>
    <row r="460" spans="3:20">
      <c r="C460" s="48">
        <v>41537</v>
      </c>
      <c r="D460">
        <v>25.436499999999999</v>
      </c>
      <c r="F460">
        <f t="shared" si="42"/>
        <v>25.436499999999999</v>
      </c>
      <c r="H460">
        <f t="shared" si="43"/>
        <v>25.436499999999999</v>
      </c>
      <c r="J460">
        <f t="shared" si="44"/>
        <v>0</v>
      </c>
      <c r="K460">
        <f t="shared" si="45"/>
        <v>25.436499999999999</v>
      </c>
      <c r="M460" s="48">
        <v>41544</v>
      </c>
      <c r="N460">
        <v>3.5468000000000002</v>
      </c>
      <c r="S460">
        <f t="shared" si="46"/>
        <v>0</v>
      </c>
      <c r="T460">
        <f t="shared" si="47"/>
        <v>3.5468000000000002</v>
      </c>
    </row>
    <row r="461" spans="3:20">
      <c r="C461" s="48">
        <v>41544</v>
      </c>
      <c r="D461">
        <v>24.948499999999999</v>
      </c>
      <c r="F461">
        <f t="shared" si="42"/>
        <v>24.948499999999999</v>
      </c>
      <c r="H461">
        <f t="shared" si="43"/>
        <v>24.948499999999999</v>
      </c>
      <c r="J461">
        <f t="shared" si="44"/>
        <v>0</v>
      </c>
      <c r="K461">
        <f t="shared" si="45"/>
        <v>24.948499999999999</v>
      </c>
      <c r="M461" s="48">
        <v>41551</v>
      </c>
      <c r="N461">
        <v>3.5587999999999997</v>
      </c>
      <c r="S461">
        <f t="shared" si="46"/>
        <v>0</v>
      </c>
      <c r="T461">
        <f t="shared" si="47"/>
        <v>3.5587999999999997</v>
      </c>
    </row>
    <row r="462" spans="3:20">
      <c r="C462" s="48">
        <v>41551</v>
      </c>
      <c r="D462">
        <v>24.776299999999999</v>
      </c>
      <c r="F462">
        <f t="shared" si="42"/>
        <v>24.776299999999999</v>
      </c>
      <c r="H462">
        <f t="shared" si="43"/>
        <v>24.776299999999999</v>
      </c>
      <c r="J462">
        <f t="shared" si="44"/>
        <v>0</v>
      </c>
      <c r="K462">
        <f t="shared" si="45"/>
        <v>24.776299999999999</v>
      </c>
      <c r="M462" s="48">
        <v>41558</v>
      </c>
      <c r="N462">
        <v>3.6962999999999999</v>
      </c>
      <c r="S462">
        <f t="shared" si="46"/>
        <v>0</v>
      </c>
      <c r="T462">
        <f t="shared" si="47"/>
        <v>3.6962999999999999</v>
      </c>
    </row>
    <row r="463" spans="3:20">
      <c r="C463" s="48">
        <v>41558</v>
      </c>
      <c r="D463">
        <v>24.817900000000002</v>
      </c>
      <c r="F463">
        <f t="shared" si="42"/>
        <v>24.817900000000002</v>
      </c>
      <c r="H463">
        <f t="shared" si="43"/>
        <v>24.817900000000002</v>
      </c>
      <c r="J463">
        <f t="shared" si="44"/>
        <v>0</v>
      </c>
      <c r="K463">
        <f t="shared" si="45"/>
        <v>24.817900000000002</v>
      </c>
      <c r="M463" s="48">
        <v>41565</v>
      </c>
      <c r="N463">
        <v>3.7900999999999998</v>
      </c>
      <c r="S463">
        <f t="shared" si="46"/>
        <v>0</v>
      </c>
      <c r="T463">
        <f t="shared" si="47"/>
        <v>3.7900999999999998</v>
      </c>
    </row>
    <row r="464" spans="3:20">
      <c r="C464" s="48">
        <v>41565</v>
      </c>
      <c r="D464">
        <v>25.795999999999999</v>
      </c>
      <c r="F464">
        <f t="shared" si="42"/>
        <v>25.795999999999999</v>
      </c>
      <c r="H464">
        <f t="shared" si="43"/>
        <v>25.795999999999999</v>
      </c>
      <c r="J464">
        <f t="shared" si="44"/>
        <v>0</v>
      </c>
      <c r="K464">
        <f t="shared" si="45"/>
        <v>25.795999999999999</v>
      </c>
      <c r="M464" s="48">
        <v>41572</v>
      </c>
      <c r="N464">
        <v>3.6928000000000001</v>
      </c>
      <c r="S464">
        <f t="shared" si="46"/>
        <v>0</v>
      </c>
      <c r="T464">
        <f t="shared" si="47"/>
        <v>3.6928000000000001</v>
      </c>
    </row>
    <row r="465" spans="3:20">
      <c r="C465" s="48">
        <v>41572</v>
      </c>
      <c r="D465">
        <v>26.554600000000001</v>
      </c>
      <c r="F465">
        <f t="shared" si="42"/>
        <v>26.554600000000001</v>
      </c>
      <c r="H465">
        <f t="shared" si="43"/>
        <v>26.554600000000001</v>
      </c>
      <c r="J465">
        <f t="shared" si="44"/>
        <v>0</v>
      </c>
      <c r="K465">
        <f t="shared" si="45"/>
        <v>26.554600000000001</v>
      </c>
      <c r="M465" s="48">
        <v>41579</v>
      </c>
      <c r="N465">
        <v>3.5521000000000003</v>
      </c>
      <c r="S465">
        <f t="shared" si="46"/>
        <v>0</v>
      </c>
      <c r="T465">
        <f t="shared" si="47"/>
        <v>3.5521000000000003</v>
      </c>
    </row>
    <row r="466" spans="3:20">
      <c r="C466" s="48">
        <v>41579</v>
      </c>
      <c r="D466">
        <v>26.5962</v>
      </c>
      <c r="F466">
        <f t="shared" si="42"/>
        <v>26.5962</v>
      </c>
      <c r="H466">
        <f t="shared" si="43"/>
        <v>26.5962</v>
      </c>
      <c r="J466">
        <f t="shared" si="44"/>
        <v>0</v>
      </c>
      <c r="K466">
        <f t="shared" si="45"/>
        <v>26.5962</v>
      </c>
      <c r="M466" s="48">
        <v>41586</v>
      </c>
      <c r="N466">
        <v>3.4615999999999998</v>
      </c>
      <c r="S466">
        <f t="shared" si="46"/>
        <v>0</v>
      </c>
      <c r="T466">
        <f t="shared" si="47"/>
        <v>3.4615999999999998</v>
      </c>
    </row>
    <row r="467" spans="3:20">
      <c r="C467" s="48">
        <v>41586</v>
      </c>
      <c r="D467">
        <v>25.41</v>
      </c>
      <c r="F467">
        <f t="shared" si="42"/>
        <v>25.41</v>
      </c>
      <c r="H467">
        <f t="shared" si="43"/>
        <v>25.41</v>
      </c>
      <c r="J467">
        <f t="shared" si="44"/>
        <v>0</v>
      </c>
      <c r="K467">
        <f t="shared" si="45"/>
        <v>25.41</v>
      </c>
      <c r="M467" s="48">
        <v>41593</v>
      </c>
      <c r="N467">
        <v>3.6147</v>
      </c>
      <c r="S467">
        <f t="shared" si="46"/>
        <v>0</v>
      </c>
      <c r="T467">
        <f t="shared" si="47"/>
        <v>3.6147</v>
      </c>
    </row>
    <row r="468" spans="3:20">
      <c r="C468" s="48">
        <v>41593</v>
      </c>
      <c r="D468">
        <v>24.401700000000002</v>
      </c>
      <c r="F468">
        <f t="shared" si="42"/>
        <v>24.401700000000002</v>
      </c>
      <c r="H468">
        <f t="shared" si="43"/>
        <v>24.401700000000002</v>
      </c>
      <c r="J468">
        <f t="shared" si="44"/>
        <v>0</v>
      </c>
      <c r="K468">
        <f t="shared" si="45"/>
        <v>24.401700000000002</v>
      </c>
      <c r="M468" s="48">
        <v>41600</v>
      </c>
      <c r="N468">
        <v>3.6776999999999997</v>
      </c>
      <c r="S468">
        <f t="shared" si="46"/>
        <v>0</v>
      </c>
      <c r="T468">
        <f t="shared" si="47"/>
        <v>3.6776999999999997</v>
      </c>
    </row>
    <row r="469" spans="3:20">
      <c r="C469" s="48">
        <v>41600</v>
      </c>
      <c r="D469">
        <v>24.384699999999999</v>
      </c>
      <c r="F469">
        <f t="shared" si="42"/>
        <v>24.384699999999999</v>
      </c>
      <c r="H469">
        <f t="shared" si="43"/>
        <v>24.384699999999999</v>
      </c>
      <c r="J469">
        <f t="shared" si="44"/>
        <v>0</v>
      </c>
      <c r="K469">
        <f t="shared" si="45"/>
        <v>24.384699999999999</v>
      </c>
      <c r="M469" s="48">
        <v>41607</v>
      </c>
      <c r="N469">
        <v>3.8342999999999998</v>
      </c>
      <c r="S469">
        <f t="shared" si="46"/>
        <v>0</v>
      </c>
      <c r="T469">
        <f t="shared" si="47"/>
        <v>3.8342999999999998</v>
      </c>
    </row>
    <row r="470" spans="3:20">
      <c r="C470" s="48">
        <v>41607</v>
      </c>
      <c r="D470">
        <v>25.089400000000001</v>
      </c>
      <c r="F470">
        <f t="shared" si="42"/>
        <v>25.089400000000001</v>
      </c>
      <c r="H470">
        <f t="shared" si="43"/>
        <v>25.089400000000001</v>
      </c>
      <c r="J470">
        <f t="shared" si="44"/>
        <v>0</v>
      </c>
      <c r="K470">
        <f t="shared" si="45"/>
        <v>25.089400000000001</v>
      </c>
      <c r="M470" s="48">
        <v>41614</v>
      </c>
      <c r="N470">
        <v>3.9342999999999999</v>
      </c>
      <c r="S470">
        <f t="shared" si="46"/>
        <v>0</v>
      </c>
      <c r="T470">
        <f t="shared" si="47"/>
        <v>3.9342999999999999</v>
      </c>
    </row>
    <row r="471" spans="3:20">
      <c r="C471" s="48">
        <v>41614</v>
      </c>
      <c r="D471">
        <v>25.428999999999998</v>
      </c>
      <c r="F471">
        <f t="shared" si="42"/>
        <v>25.428999999999998</v>
      </c>
      <c r="H471">
        <f t="shared" si="43"/>
        <v>25.428999999999998</v>
      </c>
      <c r="J471">
        <f t="shared" si="44"/>
        <v>0</v>
      </c>
      <c r="K471">
        <f t="shared" si="45"/>
        <v>25.428999999999998</v>
      </c>
      <c r="M471" s="48">
        <v>41621</v>
      </c>
      <c r="N471">
        <v>4.3049999999999997</v>
      </c>
      <c r="S471">
        <f t="shared" si="46"/>
        <v>0</v>
      </c>
      <c r="T471">
        <f t="shared" si="47"/>
        <v>4.3049999999999997</v>
      </c>
    </row>
    <row r="472" spans="3:20">
      <c r="C472" s="48">
        <v>41621</v>
      </c>
      <c r="D472">
        <v>25.228400000000001</v>
      </c>
      <c r="F472">
        <f t="shared" si="42"/>
        <v>25.228400000000001</v>
      </c>
      <c r="H472">
        <f t="shared" si="43"/>
        <v>25.228400000000001</v>
      </c>
      <c r="J472">
        <f t="shared" si="44"/>
        <v>0</v>
      </c>
      <c r="K472">
        <f t="shared" si="45"/>
        <v>25.228400000000001</v>
      </c>
      <c r="M472" s="48">
        <v>41628</v>
      </c>
      <c r="N472">
        <v>4.2615999999999996</v>
      </c>
      <c r="S472">
        <f t="shared" si="46"/>
        <v>0</v>
      </c>
      <c r="T472">
        <f t="shared" si="47"/>
        <v>4.2615999999999996</v>
      </c>
    </row>
    <row r="473" spans="3:20">
      <c r="C473" s="48">
        <v>41628</v>
      </c>
      <c r="D473">
        <v>25.366499999999998</v>
      </c>
      <c r="F473">
        <f t="shared" si="42"/>
        <v>25.366499999999998</v>
      </c>
      <c r="H473">
        <f t="shared" si="43"/>
        <v>25.366499999999998</v>
      </c>
      <c r="J473">
        <f t="shared" si="44"/>
        <v>0</v>
      </c>
      <c r="K473">
        <f t="shared" si="45"/>
        <v>25.366499999999998</v>
      </c>
      <c r="M473" s="48">
        <v>41635</v>
      </c>
      <c r="N473">
        <v>4.4254999999999995</v>
      </c>
      <c r="S473">
        <f t="shared" si="46"/>
        <v>0</v>
      </c>
      <c r="T473">
        <f t="shared" si="47"/>
        <v>4.4254999999999995</v>
      </c>
    </row>
    <row r="474" spans="3:20">
      <c r="C474" s="48">
        <v>41635</v>
      </c>
      <c r="D474">
        <v>26.070699999999999</v>
      </c>
      <c r="F474">
        <f t="shared" si="42"/>
        <v>26.070699999999999</v>
      </c>
      <c r="H474">
        <f t="shared" si="43"/>
        <v>26.070699999999999</v>
      </c>
      <c r="J474">
        <f t="shared" si="44"/>
        <v>0</v>
      </c>
      <c r="K474">
        <f t="shared" si="45"/>
        <v>26.070699999999999</v>
      </c>
      <c r="M474" s="48">
        <v>41642</v>
      </c>
      <c r="N474">
        <v>4.3571999999999997</v>
      </c>
      <c r="S474">
        <f t="shared" si="46"/>
        <v>0</v>
      </c>
      <c r="T474">
        <f t="shared" si="47"/>
        <v>4.3571999999999997</v>
      </c>
    </row>
    <row r="475" spans="3:20">
      <c r="C475" s="48">
        <v>41642</v>
      </c>
      <c r="D475">
        <v>25.3566</v>
      </c>
      <c r="F475">
        <f t="shared" si="42"/>
        <v>25.3566</v>
      </c>
      <c r="H475">
        <f t="shared" si="43"/>
        <v>25.3566</v>
      </c>
      <c r="J475">
        <f t="shared" si="44"/>
        <v>0</v>
      </c>
      <c r="K475">
        <f t="shared" si="45"/>
        <v>25.3566</v>
      </c>
      <c r="M475" s="48">
        <v>41649</v>
      </c>
      <c r="N475">
        <v>4.2964000000000002</v>
      </c>
      <c r="S475">
        <f t="shared" si="46"/>
        <v>0</v>
      </c>
      <c r="T475">
        <f t="shared" si="47"/>
        <v>4.2964000000000002</v>
      </c>
    </row>
    <row r="476" spans="3:20">
      <c r="C476" s="48">
        <v>41649</v>
      </c>
      <c r="D476">
        <v>24.532299999999999</v>
      </c>
      <c r="F476">
        <f t="shared" si="42"/>
        <v>24.532299999999999</v>
      </c>
      <c r="H476">
        <f t="shared" si="43"/>
        <v>24.532299999999999</v>
      </c>
      <c r="J476">
        <f t="shared" si="44"/>
        <v>0</v>
      </c>
      <c r="K476">
        <f t="shared" si="45"/>
        <v>24.532299999999999</v>
      </c>
      <c r="M476" s="48">
        <v>41656</v>
      </c>
      <c r="N476">
        <v>4.3842999999999996</v>
      </c>
      <c r="S476">
        <f t="shared" si="46"/>
        <v>0</v>
      </c>
      <c r="T476">
        <f t="shared" si="47"/>
        <v>4.3842999999999996</v>
      </c>
    </row>
    <row r="477" spans="3:20">
      <c r="C477" s="48">
        <v>41656</v>
      </c>
      <c r="D477">
        <v>24.144500000000001</v>
      </c>
      <c r="F477">
        <f t="shared" si="42"/>
        <v>24.144500000000001</v>
      </c>
      <c r="H477">
        <f t="shared" si="43"/>
        <v>24.144500000000001</v>
      </c>
      <c r="J477">
        <f t="shared" si="44"/>
        <v>0</v>
      </c>
      <c r="K477">
        <f t="shared" si="45"/>
        <v>24.144500000000001</v>
      </c>
      <c r="M477" s="48">
        <v>41663</v>
      </c>
      <c r="N477">
        <v>5.0574000000000003</v>
      </c>
      <c r="S477">
        <f t="shared" si="46"/>
        <v>0</v>
      </c>
      <c r="T477">
        <f t="shared" si="47"/>
        <v>5.0574000000000003</v>
      </c>
    </row>
    <row r="478" spans="3:20">
      <c r="C478" s="48">
        <v>41663</v>
      </c>
      <c r="D478">
        <v>25.3873</v>
      </c>
      <c r="F478">
        <f t="shared" si="42"/>
        <v>25.3873</v>
      </c>
      <c r="H478">
        <f t="shared" si="43"/>
        <v>25.3873</v>
      </c>
      <c r="J478">
        <f t="shared" si="44"/>
        <v>0</v>
      </c>
      <c r="K478">
        <f t="shared" si="45"/>
        <v>25.3873</v>
      </c>
      <c r="M478" s="48">
        <v>41670</v>
      </c>
      <c r="N478">
        <v>5.2835000000000001</v>
      </c>
      <c r="S478">
        <f t="shared" si="46"/>
        <v>0</v>
      </c>
      <c r="T478">
        <f t="shared" si="47"/>
        <v>5.2835000000000001</v>
      </c>
    </row>
    <row r="479" spans="3:20">
      <c r="C479" s="48">
        <v>41670</v>
      </c>
      <c r="D479">
        <v>25.317299999999999</v>
      </c>
      <c r="F479">
        <f t="shared" si="42"/>
        <v>25.317299999999999</v>
      </c>
      <c r="H479">
        <f t="shared" si="43"/>
        <v>25.317299999999999</v>
      </c>
      <c r="J479">
        <f t="shared" si="44"/>
        <v>0</v>
      </c>
      <c r="K479">
        <f t="shared" si="45"/>
        <v>25.317299999999999</v>
      </c>
      <c r="M479" s="48">
        <v>41677</v>
      </c>
      <c r="N479">
        <v>6.3437000000000001</v>
      </c>
      <c r="S479">
        <f t="shared" si="46"/>
        <v>0</v>
      </c>
      <c r="T479">
        <f t="shared" si="47"/>
        <v>6.3437000000000001</v>
      </c>
    </row>
    <row r="480" spans="3:20">
      <c r="C480" s="48">
        <v>41677</v>
      </c>
      <c r="D480">
        <v>24.165299999999998</v>
      </c>
      <c r="F480">
        <f t="shared" si="42"/>
        <v>24.165299999999998</v>
      </c>
      <c r="H480">
        <f t="shared" si="43"/>
        <v>24.165299999999998</v>
      </c>
      <c r="J480">
        <f t="shared" si="44"/>
        <v>0</v>
      </c>
      <c r="K480">
        <f t="shared" si="45"/>
        <v>24.165299999999998</v>
      </c>
      <c r="M480" s="48">
        <v>41684</v>
      </c>
      <c r="N480">
        <v>6.4744000000000002</v>
      </c>
      <c r="S480">
        <f t="shared" si="46"/>
        <v>0</v>
      </c>
      <c r="T480">
        <f t="shared" si="47"/>
        <v>6.4744000000000002</v>
      </c>
    </row>
    <row r="481" spans="3:20">
      <c r="C481" s="48">
        <v>41684</v>
      </c>
      <c r="D481">
        <v>23.522100000000002</v>
      </c>
      <c r="F481">
        <f t="shared" si="42"/>
        <v>23.522100000000002</v>
      </c>
      <c r="H481">
        <f t="shared" si="43"/>
        <v>23.522100000000002</v>
      </c>
      <c r="J481">
        <f t="shared" si="44"/>
        <v>0</v>
      </c>
      <c r="K481">
        <f t="shared" si="45"/>
        <v>23.522100000000002</v>
      </c>
      <c r="M481" s="48">
        <v>41691</v>
      </c>
      <c r="N481">
        <v>5.9646999999999997</v>
      </c>
      <c r="S481">
        <f t="shared" si="46"/>
        <v>0</v>
      </c>
      <c r="T481">
        <f t="shared" si="47"/>
        <v>5.9646999999999997</v>
      </c>
    </row>
    <row r="482" spans="3:20">
      <c r="C482" s="48">
        <v>41691</v>
      </c>
      <c r="D482">
        <v>24.935700000000001</v>
      </c>
      <c r="F482">
        <f t="shared" si="42"/>
        <v>24.935700000000001</v>
      </c>
      <c r="H482">
        <f t="shared" si="43"/>
        <v>24.935700000000001</v>
      </c>
      <c r="J482">
        <f t="shared" si="44"/>
        <v>0</v>
      </c>
      <c r="K482">
        <f t="shared" si="45"/>
        <v>24.935700000000001</v>
      </c>
      <c r="M482" s="48">
        <v>41698</v>
      </c>
      <c r="N482">
        <v>5.1089000000000002</v>
      </c>
      <c r="S482">
        <f t="shared" si="46"/>
        <v>0</v>
      </c>
      <c r="T482">
        <f t="shared" si="47"/>
        <v>5.1089000000000002</v>
      </c>
    </row>
    <row r="483" spans="3:20">
      <c r="C483" s="48">
        <v>41698</v>
      </c>
      <c r="D483">
        <v>24.904900000000001</v>
      </c>
      <c r="F483">
        <f t="shared" si="42"/>
        <v>24.904900000000001</v>
      </c>
      <c r="H483">
        <f t="shared" si="43"/>
        <v>24.904900000000001</v>
      </c>
      <c r="J483">
        <f t="shared" si="44"/>
        <v>0</v>
      </c>
      <c r="K483">
        <f t="shared" si="45"/>
        <v>24.904900000000001</v>
      </c>
      <c r="M483" s="48">
        <v>41705</v>
      </c>
      <c r="N483">
        <v>6.1753</v>
      </c>
      <c r="S483">
        <f t="shared" si="46"/>
        <v>0</v>
      </c>
      <c r="T483">
        <f t="shared" si="47"/>
        <v>6.1753</v>
      </c>
    </row>
    <row r="484" spans="3:20">
      <c r="C484" s="48">
        <v>41705</v>
      </c>
      <c r="D484">
        <v>24.2409</v>
      </c>
      <c r="F484">
        <f t="shared" si="42"/>
        <v>24.2409</v>
      </c>
      <c r="H484">
        <f t="shared" si="43"/>
        <v>24.2409</v>
      </c>
      <c r="J484">
        <f t="shared" si="44"/>
        <v>0</v>
      </c>
      <c r="K484">
        <f t="shared" si="45"/>
        <v>24.2409</v>
      </c>
      <c r="M484" s="48">
        <v>41712</v>
      </c>
      <c r="N484">
        <v>4.5415000000000001</v>
      </c>
      <c r="S484">
        <f t="shared" si="46"/>
        <v>0</v>
      </c>
      <c r="T484">
        <f t="shared" si="47"/>
        <v>4.5415000000000001</v>
      </c>
    </row>
    <row r="485" spans="3:20">
      <c r="C485" s="48">
        <v>41712</v>
      </c>
      <c r="D485">
        <v>23.8872</v>
      </c>
      <c r="F485">
        <f t="shared" si="42"/>
        <v>23.8872</v>
      </c>
      <c r="H485">
        <f t="shared" si="43"/>
        <v>23.8872</v>
      </c>
      <c r="J485">
        <f t="shared" si="44"/>
        <v>0</v>
      </c>
      <c r="K485">
        <f t="shared" si="45"/>
        <v>23.8872</v>
      </c>
      <c r="M485" s="48">
        <v>41719</v>
      </c>
      <c r="N485">
        <v>4.4379999999999997</v>
      </c>
      <c r="S485">
        <f t="shared" si="46"/>
        <v>0</v>
      </c>
      <c r="T485">
        <f t="shared" si="47"/>
        <v>4.4379999999999997</v>
      </c>
    </row>
    <row r="486" spans="3:20">
      <c r="C486" s="48">
        <v>41719</v>
      </c>
      <c r="D486">
        <v>23.395299999999999</v>
      </c>
      <c r="F486">
        <f t="shared" si="42"/>
        <v>23.395299999999999</v>
      </c>
      <c r="H486">
        <f t="shared" si="43"/>
        <v>23.395299999999999</v>
      </c>
      <c r="J486">
        <f t="shared" si="44"/>
        <v>0</v>
      </c>
      <c r="K486">
        <f t="shared" si="45"/>
        <v>23.395299999999999</v>
      </c>
      <c r="M486" s="48">
        <v>41726</v>
      </c>
      <c r="N486">
        <v>4.4402999999999997</v>
      </c>
      <c r="S486">
        <f t="shared" si="46"/>
        <v>0</v>
      </c>
      <c r="T486">
        <f t="shared" si="47"/>
        <v>4.4402999999999997</v>
      </c>
    </row>
    <row r="487" spans="3:20">
      <c r="C487" s="48">
        <v>41726</v>
      </c>
      <c r="D487">
        <v>23.881499999999999</v>
      </c>
      <c r="F487">
        <f t="shared" si="42"/>
        <v>23.881499999999999</v>
      </c>
      <c r="H487">
        <f t="shared" si="43"/>
        <v>23.881499999999999</v>
      </c>
      <c r="J487">
        <f t="shared" si="44"/>
        <v>0</v>
      </c>
      <c r="K487">
        <f t="shared" si="45"/>
        <v>23.881499999999999</v>
      </c>
      <c r="M487" s="48">
        <v>41733</v>
      </c>
      <c r="N487">
        <v>4.4248000000000003</v>
      </c>
      <c r="S487">
        <f t="shared" si="46"/>
        <v>0</v>
      </c>
      <c r="T487">
        <f t="shared" si="47"/>
        <v>4.4248000000000003</v>
      </c>
    </row>
    <row r="488" spans="3:20">
      <c r="C488" s="48">
        <v>41733</v>
      </c>
      <c r="D488">
        <v>24.859500000000001</v>
      </c>
      <c r="F488">
        <f t="shared" si="42"/>
        <v>24.859500000000001</v>
      </c>
      <c r="H488">
        <f t="shared" si="43"/>
        <v>24.859500000000001</v>
      </c>
      <c r="J488">
        <f t="shared" si="44"/>
        <v>0</v>
      </c>
      <c r="K488">
        <f t="shared" si="45"/>
        <v>24.859500000000001</v>
      </c>
      <c r="M488" s="48">
        <v>41740</v>
      </c>
      <c r="N488">
        <v>4.5975000000000001</v>
      </c>
      <c r="S488">
        <f t="shared" si="46"/>
        <v>0</v>
      </c>
      <c r="T488">
        <f t="shared" si="47"/>
        <v>4.5975000000000001</v>
      </c>
    </row>
    <row r="489" spans="3:20">
      <c r="C489" s="48">
        <v>41740</v>
      </c>
      <c r="D489">
        <v>24.7971</v>
      </c>
      <c r="F489">
        <f t="shared" si="42"/>
        <v>24.7971</v>
      </c>
      <c r="H489">
        <f t="shared" si="43"/>
        <v>24.7971</v>
      </c>
      <c r="J489">
        <f t="shared" si="44"/>
        <v>0</v>
      </c>
      <c r="K489">
        <f t="shared" si="45"/>
        <v>24.7971</v>
      </c>
      <c r="M489" s="48">
        <v>41747</v>
      </c>
      <c r="N489">
        <v>4.6216999999999997</v>
      </c>
      <c r="S489">
        <f t="shared" si="46"/>
        <v>0</v>
      </c>
      <c r="T489">
        <f t="shared" si="47"/>
        <v>4.6216999999999997</v>
      </c>
    </row>
    <row r="490" spans="3:20">
      <c r="C490" s="48">
        <v>41747</v>
      </c>
      <c r="D490">
        <v>25.905200000000001</v>
      </c>
      <c r="F490">
        <f t="shared" si="42"/>
        <v>25.905200000000001</v>
      </c>
      <c r="H490">
        <f t="shared" si="43"/>
        <v>25.905200000000001</v>
      </c>
      <c r="J490">
        <f t="shared" si="44"/>
        <v>0</v>
      </c>
      <c r="K490">
        <f t="shared" si="45"/>
        <v>25.905200000000001</v>
      </c>
      <c r="M490" s="48">
        <v>41754</v>
      </c>
      <c r="N490">
        <v>4.7592999999999996</v>
      </c>
      <c r="S490">
        <f t="shared" si="46"/>
        <v>0</v>
      </c>
      <c r="T490">
        <f t="shared" si="47"/>
        <v>4.7592999999999996</v>
      </c>
    </row>
    <row r="491" spans="3:20">
      <c r="C491" s="48">
        <v>41754</v>
      </c>
      <c r="D491">
        <v>27.245000000000001</v>
      </c>
      <c r="F491">
        <f t="shared" si="42"/>
        <v>27.245000000000001</v>
      </c>
      <c r="H491">
        <f t="shared" si="43"/>
        <v>27.245000000000001</v>
      </c>
      <c r="J491">
        <f t="shared" si="44"/>
        <v>0</v>
      </c>
      <c r="K491">
        <f t="shared" si="45"/>
        <v>27.245000000000001</v>
      </c>
      <c r="M491" s="48">
        <v>41761</v>
      </c>
      <c r="N491">
        <v>4.7751000000000001</v>
      </c>
      <c r="S491">
        <f t="shared" si="46"/>
        <v>0</v>
      </c>
      <c r="T491">
        <f t="shared" si="47"/>
        <v>4.7751000000000001</v>
      </c>
    </row>
    <row r="492" spans="3:20">
      <c r="C492" s="48">
        <v>41761</v>
      </c>
      <c r="D492">
        <v>27.1069</v>
      </c>
      <c r="F492">
        <f t="shared" si="42"/>
        <v>27.1069</v>
      </c>
      <c r="H492">
        <f t="shared" si="43"/>
        <v>27.1069</v>
      </c>
      <c r="J492">
        <f t="shared" si="44"/>
        <v>0</v>
      </c>
      <c r="K492">
        <f t="shared" si="45"/>
        <v>27.1069</v>
      </c>
      <c r="M492" s="48">
        <v>41768</v>
      </c>
      <c r="N492">
        <v>4.7287999999999997</v>
      </c>
      <c r="S492">
        <f t="shared" si="46"/>
        <v>0</v>
      </c>
      <c r="T492">
        <f t="shared" si="47"/>
        <v>4.7287999999999997</v>
      </c>
    </row>
    <row r="493" spans="3:20">
      <c r="C493" s="48">
        <v>41768</v>
      </c>
      <c r="D493">
        <v>27.472100000000001</v>
      </c>
      <c r="F493">
        <f t="shared" si="42"/>
        <v>27.472100000000001</v>
      </c>
      <c r="H493">
        <f t="shared" si="43"/>
        <v>27.472100000000001</v>
      </c>
      <c r="J493">
        <f t="shared" si="44"/>
        <v>0</v>
      </c>
      <c r="K493">
        <f t="shared" si="45"/>
        <v>27.472100000000001</v>
      </c>
      <c r="M493" s="48">
        <v>41775</v>
      </c>
      <c r="N493">
        <v>4.4291999999999998</v>
      </c>
      <c r="S493">
        <f t="shared" si="46"/>
        <v>0</v>
      </c>
      <c r="T493">
        <f t="shared" si="47"/>
        <v>4.4291999999999998</v>
      </c>
    </row>
    <row r="494" spans="3:20">
      <c r="C494" s="48">
        <v>41775</v>
      </c>
      <c r="D494">
        <v>27.6631</v>
      </c>
      <c r="F494">
        <f t="shared" si="42"/>
        <v>27.6631</v>
      </c>
      <c r="H494">
        <f t="shared" si="43"/>
        <v>27.6631</v>
      </c>
      <c r="J494">
        <f t="shared" si="44"/>
        <v>0</v>
      </c>
      <c r="K494">
        <f t="shared" si="45"/>
        <v>27.6631</v>
      </c>
      <c r="M494" s="48">
        <v>41782</v>
      </c>
      <c r="N494">
        <v>4.4912999999999998</v>
      </c>
      <c r="S494">
        <f t="shared" si="46"/>
        <v>0</v>
      </c>
      <c r="T494">
        <f t="shared" si="47"/>
        <v>4.4912999999999998</v>
      </c>
    </row>
    <row r="495" spans="3:20">
      <c r="C495" s="48">
        <v>41782</v>
      </c>
      <c r="D495">
        <v>26.442900000000002</v>
      </c>
      <c r="F495">
        <f t="shared" si="42"/>
        <v>26.442900000000002</v>
      </c>
      <c r="H495">
        <f t="shared" si="43"/>
        <v>26.442900000000002</v>
      </c>
      <c r="J495">
        <f t="shared" si="44"/>
        <v>0</v>
      </c>
      <c r="K495">
        <f t="shared" si="45"/>
        <v>26.442900000000002</v>
      </c>
      <c r="M495" s="48">
        <v>41789</v>
      </c>
      <c r="N495">
        <v>4.5189000000000004</v>
      </c>
      <c r="S495">
        <f t="shared" si="46"/>
        <v>0</v>
      </c>
      <c r="T495">
        <f t="shared" si="47"/>
        <v>4.5189000000000004</v>
      </c>
    </row>
    <row r="496" spans="3:20">
      <c r="C496" s="48">
        <v>41789</v>
      </c>
      <c r="D496">
        <v>27.0379</v>
      </c>
      <c r="F496">
        <f t="shared" si="42"/>
        <v>27.0379</v>
      </c>
      <c r="H496">
        <f t="shared" si="43"/>
        <v>27.0379</v>
      </c>
      <c r="J496">
        <f t="shared" si="44"/>
        <v>0</v>
      </c>
      <c r="K496">
        <f t="shared" si="45"/>
        <v>27.0379</v>
      </c>
      <c r="M496" s="48">
        <v>41796</v>
      </c>
      <c r="N496">
        <v>4.5940000000000003</v>
      </c>
      <c r="S496">
        <f t="shared" si="46"/>
        <v>0</v>
      </c>
      <c r="T496">
        <f t="shared" si="47"/>
        <v>4.5940000000000003</v>
      </c>
    </row>
    <row r="497" spans="3:20">
      <c r="C497" s="48">
        <v>41796</v>
      </c>
      <c r="D497">
        <v>27.891999999999999</v>
      </c>
      <c r="F497">
        <f t="shared" si="42"/>
        <v>27.891999999999999</v>
      </c>
      <c r="H497">
        <f t="shared" si="43"/>
        <v>27.891999999999999</v>
      </c>
      <c r="J497">
        <f t="shared" si="44"/>
        <v>0</v>
      </c>
      <c r="K497">
        <f t="shared" si="45"/>
        <v>27.891999999999999</v>
      </c>
      <c r="M497" s="48">
        <v>41803</v>
      </c>
      <c r="N497">
        <v>4.5772000000000004</v>
      </c>
      <c r="S497">
        <f t="shared" si="46"/>
        <v>0</v>
      </c>
      <c r="T497">
        <f t="shared" si="47"/>
        <v>4.5772000000000004</v>
      </c>
    </row>
    <row r="498" spans="3:20">
      <c r="C498" s="48">
        <v>41803</v>
      </c>
      <c r="D498">
        <v>28.336600000000001</v>
      </c>
      <c r="F498">
        <f t="shared" si="42"/>
        <v>28.336600000000001</v>
      </c>
      <c r="H498">
        <f t="shared" si="43"/>
        <v>28.336600000000001</v>
      </c>
      <c r="J498">
        <f t="shared" si="44"/>
        <v>0</v>
      </c>
      <c r="K498">
        <f t="shared" si="45"/>
        <v>28.336600000000001</v>
      </c>
      <c r="M498" s="48">
        <v>41810</v>
      </c>
      <c r="N498">
        <v>4.6429999999999998</v>
      </c>
      <c r="S498">
        <f t="shared" si="46"/>
        <v>0</v>
      </c>
      <c r="T498">
        <f t="shared" si="47"/>
        <v>4.6429999999999998</v>
      </c>
    </row>
    <row r="499" spans="3:20">
      <c r="C499" s="48">
        <v>41810</v>
      </c>
      <c r="D499">
        <v>29.002500000000001</v>
      </c>
      <c r="F499">
        <f t="shared" si="42"/>
        <v>29.002500000000001</v>
      </c>
      <c r="H499">
        <f t="shared" si="43"/>
        <v>29.002500000000001</v>
      </c>
      <c r="J499">
        <f t="shared" si="44"/>
        <v>0</v>
      </c>
      <c r="K499">
        <f t="shared" si="45"/>
        <v>29.002500000000001</v>
      </c>
      <c r="M499" s="48">
        <v>41817</v>
      </c>
      <c r="N499">
        <v>4.4931000000000001</v>
      </c>
      <c r="S499">
        <f t="shared" si="46"/>
        <v>0</v>
      </c>
      <c r="T499">
        <f t="shared" si="47"/>
        <v>4.4931000000000001</v>
      </c>
    </row>
    <row r="500" spans="3:20">
      <c r="C500" s="48">
        <v>41817</v>
      </c>
      <c r="D500">
        <v>29.040299999999998</v>
      </c>
      <c r="F500">
        <f t="shared" si="42"/>
        <v>29.040299999999998</v>
      </c>
      <c r="H500">
        <f t="shared" si="43"/>
        <v>29.040299999999998</v>
      </c>
      <c r="J500">
        <f t="shared" si="44"/>
        <v>0</v>
      </c>
      <c r="K500">
        <f t="shared" si="45"/>
        <v>29.040299999999998</v>
      </c>
      <c r="M500" s="48">
        <v>41824</v>
      </c>
      <c r="N500">
        <v>4.3822999999999999</v>
      </c>
      <c r="S500">
        <f t="shared" si="46"/>
        <v>0</v>
      </c>
      <c r="T500">
        <f t="shared" si="47"/>
        <v>4.3822999999999999</v>
      </c>
    </row>
    <row r="501" spans="3:20">
      <c r="C501" s="48">
        <v>41824</v>
      </c>
      <c r="D501">
        <v>29.347000000000001</v>
      </c>
      <c r="F501">
        <f t="shared" si="42"/>
        <v>29.347000000000001</v>
      </c>
      <c r="H501">
        <f t="shared" si="43"/>
        <v>29.347000000000001</v>
      </c>
      <c r="J501">
        <f t="shared" si="44"/>
        <v>0</v>
      </c>
      <c r="K501">
        <f t="shared" si="45"/>
        <v>29.347000000000001</v>
      </c>
      <c r="M501" s="48">
        <v>41831</v>
      </c>
      <c r="N501">
        <v>4.1516000000000002</v>
      </c>
      <c r="S501">
        <f t="shared" si="46"/>
        <v>0</v>
      </c>
      <c r="T501">
        <f t="shared" si="47"/>
        <v>4.1516000000000002</v>
      </c>
    </row>
    <row r="502" spans="3:20">
      <c r="C502" s="48">
        <v>41831</v>
      </c>
      <c r="D502">
        <v>28.652000000000001</v>
      </c>
      <c r="F502">
        <f t="shared" si="42"/>
        <v>28.652000000000001</v>
      </c>
      <c r="H502">
        <f t="shared" si="43"/>
        <v>28.652000000000001</v>
      </c>
      <c r="J502">
        <f t="shared" si="44"/>
        <v>0</v>
      </c>
      <c r="K502">
        <f t="shared" si="45"/>
        <v>28.652000000000001</v>
      </c>
      <c r="M502" s="48">
        <v>41838</v>
      </c>
      <c r="N502">
        <v>4.0514000000000001</v>
      </c>
      <c r="S502">
        <f t="shared" si="46"/>
        <v>0</v>
      </c>
      <c r="T502">
        <f t="shared" si="47"/>
        <v>4.0514000000000001</v>
      </c>
    </row>
    <row r="503" spans="3:20">
      <c r="C503" s="48">
        <v>41838</v>
      </c>
      <c r="D503">
        <v>27.475999999999999</v>
      </c>
      <c r="F503">
        <f t="shared" si="42"/>
        <v>27.475999999999999</v>
      </c>
      <c r="H503">
        <f t="shared" si="43"/>
        <v>27.475999999999999</v>
      </c>
      <c r="J503">
        <f t="shared" si="44"/>
        <v>0</v>
      </c>
      <c r="K503">
        <f t="shared" si="45"/>
        <v>27.475999999999999</v>
      </c>
      <c r="M503" s="48">
        <v>41845</v>
      </c>
      <c r="N503">
        <v>3.8029999999999999</v>
      </c>
      <c r="S503">
        <f t="shared" si="46"/>
        <v>0</v>
      </c>
      <c r="T503">
        <f t="shared" si="47"/>
        <v>3.8029999999999999</v>
      </c>
    </row>
    <row r="504" spans="3:20">
      <c r="C504" s="48">
        <v>41845</v>
      </c>
      <c r="D504">
        <v>27</v>
      </c>
      <c r="F504">
        <f t="shared" si="42"/>
        <v>27</v>
      </c>
      <c r="H504">
        <f t="shared" si="43"/>
        <v>27</v>
      </c>
      <c r="J504">
        <f t="shared" si="44"/>
        <v>0</v>
      </c>
      <c r="K504">
        <f t="shared" si="45"/>
        <v>27</v>
      </c>
      <c r="M504" s="48">
        <v>41852</v>
      </c>
      <c r="N504">
        <v>3.7643</v>
      </c>
      <c r="S504">
        <f t="shared" si="46"/>
        <v>0</v>
      </c>
      <c r="T504">
        <f t="shared" si="47"/>
        <v>3.7643</v>
      </c>
    </row>
    <row r="505" spans="3:20">
      <c r="C505" s="48">
        <v>41852</v>
      </c>
      <c r="D505">
        <v>26.67</v>
      </c>
      <c r="F505">
        <f t="shared" si="42"/>
        <v>26.67</v>
      </c>
      <c r="H505">
        <f t="shared" si="43"/>
        <v>26.67</v>
      </c>
      <c r="J505">
        <f t="shared" si="44"/>
        <v>0</v>
      </c>
      <c r="K505">
        <f t="shared" si="45"/>
        <v>26.67</v>
      </c>
      <c r="M505" s="48">
        <v>41859</v>
      </c>
      <c r="N505">
        <v>3.8818999999999999</v>
      </c>
      <c r="S505">
        <f t="shared" si="46"/>
        <v>0</v>
      </c>
      <c r="T505">
        <f t="shared" si="47"/>
        <v>3.8818999999999999</v>
      </c>
    </row>
    <row r="506" spans="3:20">
      <c r="C506" s="48">
        <v>41859</v>
      </c>
      <c r="D506">
        <v>26.32</v>
      </c>
      <c r="F506">
        <f t="shared" si="42"/>
        <v>26.32</v>
      </c>
      <c r="H506">
        <f t="shared" si="43"/>
        <v>26.32</v>
      </c>
      <c r="J506">
        <f t="shared" si="44"/>
        <v>0</v>
      </c>
      <c r="K506">
        <f t="shared" si="45"/>
        <v>26.32</v>
      </c>
      <c r="M506" s="48">
        <v>41866</v>
      </c>
      <c r="N506">
        <v>3.8650000000000002</v>
      </c>
      <c r="S506">
        <f t="shared" si="46"/>
        <v>0</v>
      </c>
      <c r="T506">
        <f t="shared" si="47"/>
        <v>3.8650000000000002</v>
      </c>
    </row>
    <row r="507" spans="3:20">
      <c r="C507" s="48">
        <v>41866</v>
      </c>
      <c r="D507">
        <v>25.844000000000001</v>
      </c>
      <c r="F507">
        <f t="shared" si="42"/>
        <v>25.844000000000001</v>
      </c>
      <c r="H507">
        <f t="shared" si="43"/>
        <v>25.844000000000001</v>
      </c>
      <c r="J507">
        <f t="shared" si="44"/>
        <v>0</v>
      </c>
      <c r="K507">
        <f t="shared" si="45"/>
        <v>25.844000000000001</v>
      </c>
      <c r="M507" s="48">
        <v>41873</v>
      </c>
      <c r="N507">
        <v>3.8351999999999999</v>
      </c>
      <c r="S507">
        <f t="shared" si="46"/>
        <v>0</v>
      </c>
      <c r="T507">
        <f t="shared" si="47"/>
        <v>3.8351999999999999</v>
      </c>
    </row>
    <row r="508" spans="3:20">
      <c r="C508" s="48">
        <v>41873</v>
      </c>
      <c r="D508">
        <v>26.084</v>
      </c>
      <c r="F508">
        <f t="shared" si="42"/>
        <v>26.084</v>
      </c>
      <c r="H508">
        <f t="shared" si="43"/>
        <v>26.084</v>
      </c>
      <c r="J508">
        <f t="shared" si="44"/>
        <v>0</v>
      </c>
      <c r="K508">
        <f t="shared" si="45"/>
        <v>26.084</v>
      </c>
      <c r="M508" s="48">
        <v>41880</v>
      </c>
      <c r="N508">
        <v>3.9811000000000001</v>
      </c>
      <c r="S508">
        <f t="shared" si="46"/>
        <v>0</v>
      </c>
      <c r="T508">
        <f t="shared" si="47"/>
        <v>3.9811000000000001</v>
      </c>
    </row>
    <row r="509" spans="3:20">
      <c r="C509" s="48">
        <v>41880</v>
      </c>
      <c r="D509">
        <v>26.762</v>
      </c>
      <c r="F509">
        <f t="shared" si="42"/>
        <v>26.762</v>
      </c>
      <c r="H509">
        <f t="shared" si="43"/>
        <v>26.762</v>
      </c>
      <c r="J509">
        <f t="shared" si="44"/>
        <v>0</v>
      </c>
      <c r="K509">
        <f t="shared" si="45"/>
        <v>26.762</v>
      </c>
      <c r="M509" s="48">
        <v>41887</v>
      </c>
      <c r="N509">
        <v>3.9201999999999999</v>
      </c>
      <c r="S509">
        <f t="shared" si="46"/>
        <v>0</v>
      </c>
      <c r="T509">
        <f t="shared" si="47"/>
        <v>3.9201999999999999</v>
      </c>
    </row>
    <row r="510" spans="3:20">
      <c r="C510" s="48">
        <v>41887</v>
      </c>
      <c r="D510">
        <v>26.372499999999999</v>
      </c>
      <c r="F510">
        <f t="shared" si="42"/>
        <v>26.372499999999999</v>
      </c>
      <c r="H510">
        <f t="shared" si="43"/>
        <v>26.372499999999999</v>
      </c>
      <c r="J510">
        <f t="shared" si="44"/>
        <v>0</v>
      </c>
      <c r="K510">
        <f t="shared" si="45"/>
        <v>26.372499999999999</v>
      </c>
      <c r="M510" s="48">
        <v>41894</v>
      </c>
      <c r="N510">
        <v>3.8976999999999999</v>
      </c>
      <c r="S510">
        <f t="shared" si="46"/>
        <v>0</v>
      </c>
      <c r="T510">
        <f t="shared" si="47"/>
        <v>3.8976999999999999</v>
      </c>
    </row>
    <row r="511" spans="3:20">
      <c r="C511" s="48">
        <v>41894</v>
      </c>
      <c r="D511">
        <v>25.391999999999999</v>
      </c>
      <c r="F511">
        <f t="shared" si="42"/>
        <v>25.391999999999999</v>
      </c>
      <c r="H511">
        <f t="shared" si="43"/>
        <v>25.391999999999999</v>
      </c>
      <c r="J511">
        <f t="shared" si="44"/>
        <v>0</v>
      </c>
      <c r="K511">
        <f t="shared" si="45"/>
        <v>25.391999999999999</v>
      </c>
      <c r="M511" s="48">
        <v>41901</v>
      </c>
      <c r="N511">
        <v>3.9091</v>
      </c>
      <c r="S511">
        <f t="shared" si="46"/>
        <v>0</v>
      </c>
      <c r="T511">
        <f t="shared" si="47"/>
        <v>3.9091</v>
      </c>
    </row>
    <row r="512" spans="3:20">
      <c r="C512" s="48">
        <v>41901</v>
      </c>
      <c r="D512">
        <v>25.04</v>
      </c>
      <c r="F512">
        <f t="shared" si="42"/>
        <v>25.04</v>
      </c>
      <c r="H512">
        <f t="shared" si="43"/>
        <v>25.04</v>
      </c>
      <c r="J512">
        <f t="shared" si="44"/>
        <v>0</v>
      </c>
      <c r="K512">
        <f t="shared" si="45"/>
        <v>25.04</v>
      </c>
      <c r="M512" s="48">
        <v>41908</v>
      </c>
      <c r="N512">
        <v>3.8773</v>
      </c>
      <c r="S512">
        <f t="shared" si="46"/>
        <v>0</v>
      </c>
      <c r="T512">
        <f t="shared" si="47"/>
        <v>3.8773</v>
      </c>
    </row>
    <row r="513" spans="3:20">
      <c r="C513" s="48">
        <v>41908</v>
      </c>
      <c r="D513">
        <v>23.867999999999999</v>
      </c>
      <c r="F513">
        <f t="shared" si="42"/>
        <v>23.867999999999999</v>
      </c>
      <c r="H513">
        <f t="shared" si="43"/>
        <v>23.867999999999999</v>
      </c>
      <c r="J513">
        <f t="shared" si="44"/>
        <v>0</v>
      </c>
      <c r="K513">
        <f t="shared" si="45"/>
        <v>23.867999999999999</v>
      </c>
      <c r="M513" s="48">
        <v>41915</v>
      </c>
      <c r="N513">
        <v>4.0458999999999996</v>
      </c>
      <c r="S513">
        <f t="shared" si="46"/>
        <v>0</v>
      </c>
      <c r="T513">
        <f t="shared" si="47"/>
        <v>4.0458999999999996</v>
      </c>
    </row>
    <row r="514" spans="3:20">
      <c r="C514" s="48">
        <v>41915</v>
      </c>
      <c r="D514">
        <v>22.608000000000001</v>
      </c>
      <c r="F514">
        <f t="shared" si="42"/>
        <v>22.608000000000001</v>
      </c>
      <c r="H514">
        <f t="shared" si="43"/>
        <v>22.608000000000001</v>
      </c>
      <c r="J514">
        <f t="shared" si="44"/>
        <v>0</v>
      </c>
      <c r="K514">
        <f t="shared" si="45"/>
        <v>22.608000000000001</v>
      </c>
      <c r="M514" s="48">
        <v>41922</v>
      </c>
      <c r="N514">
        <v>3.8704000000000001</v>
      </c>
      <c r="S514">
        <f t="shared" si="46"/>
        <v>0</v>
      </c>
      <c r="T514">
        <f t="shared" si="47"/>
        <v>3.8704000000000001</v>
      </c>
    </row>
    <row r="515" spans="3:20">
      <c r="C515" s="48">
        <v>41922</v>
      </c>
      <c r="D515">
        <v>20.207999999999998</v>
      </c>
      <c r="F515">
        <f t="shared" si="42"/>
        <v>20.207999999999998</v>
      </c>
      <c r="H515">
        <f t="shared" si="43"/>
        <v>20.207999999999998</v>
      </c>
      <c r="J515">
        <f t="shared" si="44"/>
        <v>0</v>
      </c>
      <c r="K515">
        <f t="shared" si="45"/>
        <v>20.207999999999998</v>
      </c>
      <c r="M515" s="48">
        <v>41929</v>
      </c>
      <c r="N515">
        <v>3.823</v>
      </c>
      <c r="S515">
        <f t="shared" si="46"/>
        <v>0</v>
      </c>
      <c r="T515">
        <f t="shared" si="47"/>
        <v>3.823</v>
      </c>
    </row>
    <row r="516" spans="3:20">
      <c r="C516" s="48">
        <v>41929</v>
      </c>
      <c r="D516">
        <v>18.808</v>
      </c>
      <c r="F516">
        <f t="shared" si="42"/>
        <v>18.808</v>
      </c>
      <c r="H516">
        <f t="shared" si="43"/>
        <v>18.808</v>
      </c>
      <c r="J516">
        <f t="shared" si="44"/>
        <v>0</v>
      </c>
      <c r="K516">
        <f t="shared" si="45"/>
        <v>18.808</v>
      </c>
      <c r="M516" s="48">
        <v>41936</v>
      </c>
      <c r="N516">
        <v>3.6137000000000001</v>
      </c>
      <c r="S516">
        <f t="shared" si="46"/>
        <v>0</v>
      </c>
      <c r="T516">
        <f t="shared" si="47"/>
        <v>3.6137000000000001</v>
      </c>
    </row>
    <row r="517" spans="3:20">
      <c r="C517" s="48">
        <v>41936</v>
      </c>
      <c r="D517">
        <v>21.452000000000002</v>
      </c>
      <c r="F517">
        <f t="shared" ref="F517:F562" si="48">D517</f>
        <v>21.452000000000002</v>
      </c>
      <c r="H517">
        <f t="shared" ref="H517:H562" si="49">F517</f>
        <v>21.452000000000002</v>
      </c>
      <c r="J517">
        <f t="shared" ref="J517:J580" si="50">K517-F517</f>
        <v>0</v>
      </c>
      <c r="K517">
        <f t="shared" ref="K517:K562" si="51">H517</f>
        <v>21.452000000000002</v>
      </c>
      <c r="M517" s="48">
        <v>41943</v>
      </c>
      <c r="N517">
        <v>3.629</v>
      </c>
      <c r="S517">
        <f t="shared" ref="S517:S561" si="52">T517-N517</f>
        <v>0</v>
      </c>
      <c r="T517">
        <f t="shared" ref="T517:T561" si="53">N517</f>
        <v>3.629</v>
      </c>
    </row>
    <row r="518" spans="3:20">
      <c r="C518" s="48">
        <v>41943</v>
      </c>
      <c r="D518">
        <v>21.501999999999999</v>
      </c>
      <c r="F518">
        <f t="shared" si="48"/>
        <v>21.501999999999999</v>
      </c>
      <c r="H518">
        <f t="shared" si="49"/>
        <v>21.501999999999999</v>
      </c>
      <c r="J518">
        <f t="shared" si="50"/>
        <v>0</v>
      </c>
      <c r="K518">
        <f t="shared" si="51"/>
        <v>21.501999999999999</v>
      </c>
      <c r="M518" s="48">
        <v>41950</v>
      </c>
      <c r="N518">
        <v>3.8193000000000001</v>
      </c>
      <c r="S518">
        <f t="shared" si="52"/>
        <v>0</v>
      </c>
      <c r="T518">
        <f t="shared" si="53"/>
        <v>3.8193000000000001</v>
      </c>
    </row>
    <row r="519" spans="3:20">
      <c r="C519" s="48">
        <v>41950</v>
      </c>
      <c r="D519">
        <v>22.402000000000001</v>
      </c>
      <c r="F519">
        <f t="shared" si="48"/>
        <v>22.402000000000001</v>
      </c>
      <c r="H519">
        <f t="shared" si="49"/>
        <v>22.402000000000001</v>
      </c>
      <c r="J519">
        <f t="shared" si="50"/>
        <v>0</v>
      </c>
      <c r="K519">
        <f t="shared" si="51"/>
        <v>22.402000000000001</v>
      </c>
      <c r="M519" s="48">
        <v>41957</v>
      </c>
      <c r="N519">
        <v>4.1268000000000002</v>
      </c>
      <c r="S519">
        <f t="shared" si="52"/>
        <v>0</v>
      </c>
      <c r="T519">
        <f t="shared" si="53"/>
        <v>4.1268000000000002</v>
      </c>
    </row>
    <row r="520" spans="3:20">
      <c r="C520" s="48">
        <v>41957</v>
      </c>
      <c r="D520">
        <v>23.132000000000001</v>
      </c>
      <c r="F520">
        <f t="shared" si="48"/>
        <v>23.132000000000001</v>
      </c>
      <c r="H520">
        <f t="shared" si="49"/>
        <v>23.132000000000001</v>
      </c>
      <c r="J520">
        <f t="shared" si="50"/>
        <v>0</v>
      </c>
      <c r="K520">
        <f t="shared" si="51"/>
        <v>23.132000000000001</v>
      </c>
      <c r="M520" s="48">
        <v>41964</v>
      </c>
      <c r="N520">
        <v>4.3304</v>
      </c>
      <c r="S520">
        <f t="shared" si="52"/>
        <v>0</v>
      </c>
      <c r="T520">
        <f t="shared" si="53"/>
        <v>4.3304</v>
      </c>
    </row>
    <row r="521" spans="3:20">
      <c r="C521" s="48">
        <v>41964</v>
      </c>
      <c r="D521">
        <v>23.52</v>
      </c>
      <c r="F521">
        <f t="shared" si="48"/>
        <v>23.52</v>
      </c>
      <c r="H521">
        <f t="shared" si="49"/>
        <v>23.52</v>
      </c>
      <c r="J521">
        <f t="shared" si="50"/>
        <v>0</v>
      </c>
      <c r="K521">
        <f t="shared" si="51"/>
        <v>23.52</v>
      </c>
      <c r="M521" s="48">
        <v>41971</v>
      </c>
      <c r="N521">
        <v>4.1406999999999998</v>
      </c>
      <c r="S521">
        <f t="shared" si="52"/>
        <v>0</v>
      </c>
      <c r="T521">
        <f t="shared" si="53"/>
        <v>4.1406999999999998</v>
      </c>
    </row>
    <row r="522" spans="3:20">
      <c r="C522" s="48">
        <v>41971</v>
      </c>
      <c r="D522">
        <v>22.765000000000001</v>
      </c>
      <c r="F522">
        <f t="shared" si="48"/>
        <v>22.765000000000001</v>
      </c>
      <c r="H522">
        <f t="shared" si="49"/>
        <v>22.765000000000001</v>
      </c>
      <c r="J522">
        <f t="shared" si="50"/>
        <v>0</v>
      </c>
      <c r="K522">
        <f t="shared" si="51"/>
        <v>22.765000000000001</v>
      </c>
      <c r="M522" s="48">
        <v>41978</v>
      </c>
      <c r="N522">
        <v>3.6512000000000002</v>
      </c>
      <c r="S522">
        <f t="shared" si="52"/>
        <v>0</v>
      </c>
      <c r="T522">
        <f t="shared" si="53"/>
        <v>3.6512000000000002</v>
      </c>
    </row>
    <row r="523" spans="3:20">
      <c r="C523" s="48">
        <v>41978</v>
      </c>
      <c r="D523">
        <v>19.722000000000001</v>
      </c>
      <c r="F523">
        <f t="shared" si="48"/>
        <v>19.722000000000001</v>
      </c>
      <c r="H523">
        <f t="shared" si="49"/>
        <v>19.722000000000001</v>
      </c>
      <c r="J523">
        <f t="shared" si="50"/>
        <v>0</v>
      </c>
      <c r="K523">
        <f t="shared" si="51"/>
        <v>19.722000000000001</v>
      </c>
      <c r="M523" s="48">
        <v>41985</v>
      </c>
      <c r="N523">
        <v>3.5933999999999999</v>
      </c>
      <c r="S523">
        <f t="shared" si="52"/>
        <v>0</v>
      </c>
      <c r="T523">
        <f t="shared" si="53"/>
        <v>3.5933999999999999</v>
      </c>
    </row>
    <row r="524" spans="3:20">
      <c r="C524" s="48">
        <v>41985</v>
      </c>
      <c r="D524">
        <v>17.492000000000001</v>
      </c>
      <c r="F524">
        <f t="shared" si="48"/>
        <v>17.492000000000001</v>
      </c>
      <c r="H524">
        <f t="shared" si="49"/>
        <v>17.492000000000001</v>
      </c>
      <c r="J524">
        <f t="shared" si="50"/>
        <v>0</v>
      </c>
      <c r="K524">
        <f t="shared" si="51"/>
        <v>17.492000000000001</v>
      </c>
      <c r="M524" s="48">
        <v>41992</v>
      </c>
      <c r="N524">
        <v>3.5968999999999998</v>
      </c>
      <c r="S524">
        <f t="shared" si="52"/>
        <v>0</v>
      </c>
      <c r="T524">
        <f t="shared" si="53"/>
        <v>3.5968999999999998</v>
      </c>
    </row>
    <row r="525" spans="3:20">
      <c r="C525" s="48">
        <v>41992</v>
      </c>
      <c r="D525">
        <v>18.47</v>
      </c>
      <c r="F525">
        <f t="shared" si="48"/>
        <v>18.47</v>
      </c>
      <c r="H525">
        <f t="shared" si="49"/>
        <v>18.47</v>
      </c>
      <c r="J525">
        <f t="shared" si="50"/>
        <v>0</v>
      </c>
      <c r="K525">
        <f t="shared" si="51"/>
        <v>18.47</v>
      </c>
      <c r="M525" s="48">
        <v>41999</v>
      </c>
      <c r="N525">
        <v>2.9205000000000001</v>
      </c>
      <c r="S525">
        <f t="shared" si="52"/>
        <v>0</v>
      </c>
      <c r="T525">
        <f t="shared" si="53"/>
        <v>2.9205000000000001</v>
      </c>
    </row>
    <row r="526" spans="3:20">
      <c r="C526" s="48">
        <v>41999</v>
      </c>
      <c r="D526">
        <v>19.565000000000001</v>
      </c>
      <c r="F526">
        <f t="shared" si="48"/>
        <v>19.565000000000001</v>
      </c>
      <c r="H526">
        <f t="shared" si="49"/>
        <v>19.565000000000001</v>
      </c>
      <c r="J526">
        <f t="shared" si="50"/>
        <v>0</v>
      </c>
      <c r="K526">
        <f t="shared" si="51"/>
        <v>19.565000000000001</v>
      </c>
      <c r="M526" s="48">
        <v>42006</v>
      </c>
      <c r="N526">
        <v>3.0276000000000001</v>
      </c>
      <c r="S526">
        <f t="shared" si="52"/>
        <v>0</v>
      </c>
      <c r="T526">
        <f t="shared" si="53"/>
        <v>3.0276000000000001</v>
      </c>
    </row>
    <row r="527" spans="3:20">
      <c r="C527" s="48">
        <v>42006</v>
      </c>
      <c r="D527">
        <v>19.745000000000001</v>
      </c>
      <c r="F527">
        <f t="shared" si="48"/>
        <v>19.745000000000001</v>
      </c>
      <c r="H527">
        <f t="shared" si="49"/>
        <v>19.745000000000001</v>
      </c>
      <c r="J527">
        <f t="shared" si="50"/>
        <v>0</v>
      </c>
      <c r="K527">
        <f t="shared" si="51"/>
        <v>19.745000000000001</v>
      </c>
      <c r="M527" s="48">
        <v>42013</v>
      </c>
      <c r="N527">
        <v>3.0200999999999998</v>
      </c>
      <c r="S527">
        <f t="shared" si="52"/>
        <v>0</v>
      </c>
      <c r="T527">
        <f t="shared" si="53"/>
        <v>3.0200999999999998</v>
      </c>
    </row>
    <row r="528" spans="3:20">
      <c r="C528" s="48">
        <v>42013</v>
      </c>
      <c r="D528">
        <v>18.238</v>
      </c>
      <c r="F528">
        <f t="shared" si="48"/>
        <v>18.238</v>
      </c>
      <c r="H528">
        <f t="shared" si="49"/>
        <v>18.238</v>
      </c>
      <c r="J528">
        <f t="shared" si="50"/>
        <v>0</v>
      </c>
      <c r="K528">
        <f t="shared" si="51"/>
        <v>18.238</v>
      </c>
      <c r="M528" s="48">
        <v>42020</v>
      </c>
      <c r="N528">
        <v>3.0608</v>
      </c>
      <c r="S528">
        <f t="shared" si="52"/>
        <v>0</v>
      </c>
      <c r="T528">
        <f t="shared" si="53"/>
        <v>3.0608</v>
      </c>
    </row>
    <row r="529" spans="3:20">
      <c r="C529" s="48">
        <v>42020</v>
      </c>
      <c r="D529">
        <v>18.332000000000001</v>
      </c>
      <c r="F529">
        <f t="shared" si="48"/>
        <v>18.332000000000001</v>
      </c>
      <c r="H529">
        <f t="shared" si="49"/>
        <v>18.332000000000001</v>
      </c>
      <c r="J529">
        <f t="shared" si="50"/>
        <v>0</v>
      </c>
      <c r="K529">
        <f t="shared" si="51"/>
        <v>18.332000000000001</v>
      </c>
      <c r="M529" s="48">
        <v>42027</v>
      </c>
      <c r="N529">
        <v>2.9407999999999999</v>
      </c>
      <c r="S529">
        <f t="shared" si="52"/>
        <v>0</v>
      </c>
      <c r="T529">
        <f t="shared" si="53"/>
        <v>2.9407999999999999</v>
      </c>
    </row>
    <row r="530" spans="3:20">
      <c r="C530" s="48">
        <v>42027</v>
      </c>
      <c r="D530">
        <v>19.557500000000001</v>
      </c>
      <c r="F530">
        <f t="shared" si="48"/>
        <v>19.557500000000001</v>
      </c>
      <c r="H530">
        <f t="shared" si="49"/>
        <v>19.557500000000001</v>
      </c>
      <c r="J530">
        <f t="shared" si="50"/>
        <v>0</v>
      </c>
      <c r="K530">
        <f t="shared" si="51"/>
        <v>19.557500000000001</v>
      </c>
      <c r="M530" s="48">
        <v>42034</v>
      </c>
      <c r="N530">
        <v>2.8656999999999999</v>
      </c>
      <c r="S530">
        <f t="shared" si="52"/>
        <v>0</v>
      </c>
      <c r="T530">
        <f t="shared" si="53"/>
        <v>2.8656999999999999</v>
      </c>
    </row>
    <row r="531" spans="3:20">
      <c r="C531" s="48">
        <v>42034</v>
      </c>
      <c r="D531">
        <v>19.582000000000001</v>
      </c>
      <c r="F531">
        <f t="shared" si="48"/>
        <v>19.582000000000001</v>
      </c>
      <c r="H531">
        <f t="shared" si="49"/>
        <v>19.582000000000001</v>
      </c>
      <c r="J531">
        <f t="shared" si="50"/>
        <v>0</v>
      </c>
      <c r="K531">
        <f t="shared" si="51"/>
        <v>19.582000000000001</v>
      </c>
      <c r="M531" s="48">
        <v>42041</v>
      </c>
      <c r="N531">
        <v>2.6433999999999997</v>
      </c>
      <c r="S531">
        <f t="shared" si="52"/>
        <v>0</v>
      </c>
      <c r="T531">
        <f t="shared" si="53"/>
        <v>2.6433999999999997</v>
      </c>
    </row>
    <row r="532" spans="3:20">
      <c r="C532" s="48">
        <v>42041</v>
      </c>
      <c r="D532">
        <v>20.738</v>
      </c>
      <c r="F532">
        <f t="shared" si="48"/>
        <v>20.738</v>
      </c>
      <c r="H532">
        <f t="shared" si="49"/>
        <v>20.738</v>
      </c>
      <c r="J532">
        <f t="shared" si="50"/>
        <v>0</v>
      </c>
      <c r="K532">
        <f t="shared" si="51"/>
        <v>20.738</v>
      </c>
      <c r="M532" s="48">
        <v>42048</v>
      </c>
      <c r="N532">
        <v>2.7355999999999998</v>
      </c>
      <c r="S532">
        <f t="shared" si="52"/>
        <v>0</v>
      </c>
      <c r="T532">
        <f t="shared" si="53"/>
        <v>2.7355999999999998</v>
      </c>
    </row>
    <row r="533" spans="3:20">
      <c r="C533" s="48">
        <v>42048</v>
      </c>
      <c r="D533">
        <v>20.472000000000001</v>
      </c>
      <c r="F533">
        <f t="shared" si="48"/>
        <v>20.472000000000001</v>
      </c>
      <c r="H533">
        <f t="shared" si="49"/>
        <v>20.472000000000001</v>
      </c>
      <c r="J533">
        <f t="shared" si="50"/>
        <v>0</v>
      </c>
      <c r="K533">
        <f t="shared" si="51"/>
        <v>20.472000000000001</v>
      </c>
      <c r="M533" s="48">
        <v>42055</v>
      </c>
      <c r="N533">
        <v>2.9586000000000001</v>
      </c>
      <c r="S533">
        <f t="shared" si="52"/>
        <v>0</v>
      </c>
      <c r="T533">
        <f t="shared" si="53"/>
        <v>2.9586000000000001</v>
      </c>
    </row>
    <row r="534" spans="3:20">
      <c r="C534" s="48">
        <v>42055</v>
      </c>
      <c r="D534">
        <v>20.677499999999998</v>
      </c>
      <c r="F534">
        <f t="shared" si="48"/>
        <v>20.677499999999998</v>
      </c>
      <c r="H534">
        <f t="shared" si="49"/>
        <v>20.677499999999998</v>
      </c>
      <c r="J534">
        <f t="shared" si="50"/>
        <v>0</v>
      </c>
      <c r="K534">
        <f t="shared" si="51"/>
        <v>20.677499999999998</v>
      </c>
      <c r="M534" s="48">
        <v>42062</v>
      </c>
      <c r="N534">
        <v>3.0758000000000001</v>
      </c>
      <c r="S534">
        <f t="shared" si="52"/>
        <v>0</v>
      </c>
      <c r="T534">
        <f t="shared" si="53"/>
        <v>3.0758000000000001</v>
      </c>
    </row>
    <row r="535" spans="3:20">
      <c r="C535" s="48">
        <v>42062</v>
      </c>
      <c r="D535">
        <v>18.29</v>
      </c>
      <c r="F535">
        <f t="shared" si="48"/>
        <v>18.29</v>
      </c>
      <c r="H535">
        <f t="shared" si="49"/>
        <v>18.29</v>
      </c>
      <c r="J535">
        <f t="shared" si="50"/>
        <v>0</v>
      </c>
      <c r="K535">
        <f t="shared" si="51"/>
        <v>18.29</v>
      </c>
      <c r="M535" s="48">
        <v>42069</v>
      </c>
      <c r="N535">
        <v>3.0352000000000001</v>
      </c>
      <c r="S535">
        <f t="shared" si="52"/>
        <v>0</v>
      </c>
      <c r="T535">
        <f t="shared" si="53"/>
        <v>3.0352000000000001</v>
      </c>
    </row>
    <row r="536" spans="3:20">
      <c r="C536" s="48">
        <v>42069</v>
      </c>
      <c r="D536">
        <v>15.875999999999999</v>
      </c>
      <c r="F536">
        <f t="shared" si="48"/>
        <v>15.875999999999999</v>
      </c>
      <c r="H536">
        <f t="shared" si="49"/>
        <v>15.875999999999999</v>
      </c>
      <c r="J536">
        <f t="shared" si="50"/>
        <v>0</v>
      </c>
      <c r="K536">
        <f t="shared" si="51"/>
        <v>15.875999999999999</v>
      </c>
      <c r="M536" s="48">
        <v>42076</v>
      </c>
      <c r="N536">
        <v>2.7490999999999999</v>
      </c>
      <c r="S536">
        <f t="shared" si="52"/>
        <v>0</v>
      </c>
      <c r="T536">
        <f t="shared" si="53"/>
        <v>2.7490999999999999</v>
      </c>
    </row>
    <row r="537" spans="3:20">
      <c r="C537" s="48">
        <v>42076</v>
      </c>
      <c r="D537">
        <v>14.018000000000001</v>
      </c>
      <c r="F537">
        <f t="shared" si="48"/>
        <v>14.018000000000001</v>
      </c>
      <c r="H537">
        <f t="shared" si="49"/>
        <v>14.018000000000001</v>
      </c>
      <c r="J537">
        <f t="shared" si="50"/>
        <v>0</v>
      </c>
      <c r="K537">
        <f t="shared" si="51"/>
        <v>14.018000000000001</v>
      </c>
      <c r="M537" s="48">
        <v>42083</v>
      </c>
      <c r="N537">
        <v>2.7766999999999999</v>
      </c>
      <c r="S537">
        <f t="shared" si="52"/>
        <v>0</v>
      </c>
      <c r="T537">
        <f t="shared" si="53"/>
        <v>2.7766999999999999</v>
      </c>
    </row>
    <row r="538" spans="3:20">
      <c r="C538" s="48">
        <v>42083</v>
      </c>
      <c r="D538">
        <v>13.802</v>
      </c>
      <c r="F538">
        <f t="shared" si="48"/>
        <v>13.802</v>
      </c>
      <c r="H538">
        <f t="shared" si="49"/>
        <v>13.802</v>
      </c>
      <c r="J538">
        <f t="shared" si="50"/>
        <v>0</v>
      </c>
      <c r="K538">
        <f t="shared" si="51"/>
        <v>13.802</v>
      </c>
      <c r="M538" s="48">
        <v>42090</v>
      </c>
      <c r="N538">
        <v>2.7143999999999999</v>
      </c>
      <c r="S538">
        <f t="shared" si="52"/>
        <v>0</v>
      </c>
      <c r="T538">
        <f t="shared" si="53"/>
        <v>2.7143999999999999</v>
      </c>
    </row>
    <row r="539" spans="3:20">
      <c r="C539" s="48">
        <v>42090</v>
      </c>
      <c r="D539">
        <v>14.192</v>
      </c>
      <c r="F539">
        <f t="shared" si="48"/>
        <v>14.192</v>
      </c>
      <c r="H539">
        <f t="shared" si="49"/>
        <v>14.192</v>
      </c>
      <c r="J539">
        <f t="shared" si="50"/>
        <v>0</v>
      </c>
      <c r="K539">
        <f t="shared" si="51"/>
        <v>14.192</v>
      </c>
      <c r="M539" s="48">
        <v>42097</v>
      </c>
      <c r="N539">
        <v>2.6053999999999999</v>
      </c>
      <c r="S539">
        <f t="shared" si="52"/>
        <v>0</v>
      </c>
      <c r="T539">
        <f t="shared" si="53"/>
        <v>2.6053999999999999</v>
      </c>
    </row>
    <row r="540" spans="3:20">
      <c r="C540" s="48">
        <v>42097</v>
      </c>
      <c r="D540">
        <v>14.2675</v>
      </c>
      <c r="F540">
        <f t="shared" si="48"/>
        <v>14.2675</v>
      </c>
      <c r="H540">
        <f t="shared" si="49"/>
        <v>14.2675</v>
      </c>
      <c r="J540">
        <f t="shared" si="50"/>
        <v>0</v>
      </c>
      <c r="K540">
        <f t="shared" si="51"/>
        <v>14.2675</v>
      </c>
      <c r="M540" s="48">
        <v>42104</v>
      </c>
      <c r="N540">
        <v>2.6255999999999999</v>
      </c>
      <c r="S540">
        <f t="shared" si="52"/>
        <v>0</v>
      </c>
      <c r="T540">
        <f t="shared" si="53"/>
        <v>2.6255999999999999</v>
      </c>
    </row>
    <row r="541" spans="3:20">
      <c r="C541" s="48">
        <v>42104</v>
      </c>
      <c r="D541">
        <v>15.151999999999999</v>
      </c>
      <c r="F541">
        <f t="shared" si="48"/>
        <v>15.151999999999999</v>
      </c>
      <c r="H541">
        <f t="shared" si="49"/>
        <v>15.151999999999999</v>
      </c>
      <c r="J541">
        <f t="shared" si="50"/>
        <v>0</v>
      </c>
      <c r="K541">
        <f t="shared" si="51"/>
        <v>15.151999999999999</v>
      </c>
      <c r="M541" s="48">
        <v>42111</v>
      </c>
      <c r="N541">
        <v>2.5808</v>
      </c>
      <c r="S541">
        <f t="shared" si="52"/>
        <v>0</v>
      </c>
      <c r="T541">
        <f t="shared" si="53"/>
        <v>2.5808</v>
      </c>
    </row>
    <row r="542" spans="3:20">
      <c r="C542" s="48">
        <v>42111</v>
      </c>
      <c r="D542">
        <v>15.472</v>
      </c>
      <c r="F542">
        <f t="shared" si="48"/>
        <v>15.472</v>
      </c>
      <c r="H542">
        <f t="shared" si="49"/>
        <v>15.472</v>
      </c>
      <c r="J542">
        <f t="shared" si="50"/>
        <v>0</v>
      </c>
      <c r="K542">
        <f t="shared" si="51"/>
        <v>15.472</v>
      </c>
      <c r="M542" s="48">
        <v>42118</v>
      </c>
      <c r="N542">
        <v>2.5647000000000002</v>
      </c>
      <c r="S542">
        <f t="shared" si="52"/>
        <v>0</v>
      </c>
      <c r="T542">
        <f t="shared" si="53"/>
        <v>2.5647000000000002</v>
      </c>
    </row>
    <row r="543" spans="3:20">
      <c r="C543" s="48">
        <v>42118</v>
      </c>
      <c r="D543">
        <v>14.672000000000001</v>
      </c>
      <c r="F543">
        <f t="shared" si="48"/>
        <v>14.672000000000001</v>
      </c>
      <c r="H543">
        <f t="shared" si="49"/>
        <v>14.672000000000001</v>
      </c>
      <c r="J543">
        <f t="shared" si="50"/>
        <v>0</v>
      </c>
      <c r="K543">
        <f t="shared" si="51"/>
        <v>14.672000000000001</v>
      </c>
      <c r="M543" s="48">
        <v>42125</v>
      </c>
      <c r="N543">
        <v>2.5601000000000003</v>
      </c>
      <c r="S543">
        <f t="shared" si="52"/>
        <v>0</v>
      </c>
      <c r="T543">
        <f t="shared" si="53"/>
        <v>2.5601000000000003</v>
      </c>
    </row>
    <row r="544" spans="3:20">
      <c r="C544" s="48">
        <v>42125</v>
      </c>
      <c r="D544">
        <v>15.27</v>
      </c>
      <c r="F544">
        <f t="shared" si="48"/>
        <v>15.27</v>
      </c>
      <c r="H544">
        <f t="shared" si="49"/>
        <v>15.27</v>
      </c>
      <c r="J544">
        <f t="shared" si="50"/>
        <v>0</v>
      </c>
      <c r="K544">
        <f t="shared" si="51"/>
        <v>15.27</v>
      </c>
      <c r="M544" s="48">
        <v>42132</v>
      </c>
      <c r="N544">
        <v>2.7542999999999997</v>
      </c>
      <c r="S544">
        <f t="shared" si="52"/>
        <v>0</v>
      </c>
      <c r="T544">
        <f t="shared" si="53"/>
        <v>2.7542999999999997</v>
      </c>
    </row>
    <row r="545" spans="3:20">
      <c r="C545" s="48">
        <v>42132</v>
      </c>
      <c r="D545">
        <v>15.35</v>
      </c>
      <c r="F545">
        <f t="shared" si="48"/>
        <v>15.35</v>
      </c>
      <c r="H545">
        <f t="shared" si="49"/>
        <v>15.35</v>
      </c>
      <c r="J545">
        <f t="shared" si="50"/>
        <v>0</v>
      </c>
      <c r="K545">
        <f t="shared" si="51"/>
        <v>15.35</v>
      </c>
      <c r="M545" s="48">
        <v>42139</v>
      </c>
      <c r="N545">
        <v>2.8794</v>
      </c>
      <c r="S545">
        <f t="shared" si="52"/>
        <v>0</v>
      </c>
      <c r="T545">
        <f t="shared" si="53"/>
        <v>2.8794</v>
      </c>
    </row>
    <row r="546" spans="3:20">
      <c r="C546" s="48">
        <v>42139</v>
      </c>
      <c r="D546">
        <v>15.19</v>
      </c>
      <c r="F546">
        <f t="shared" si="48"/>
        <v>15.19</v>
      </c>
      <c r="H546">
        <f t="shared" si="49"/>
        <v>15.19</v>
      </c>
      <c r="J546">
        <f t="shared" si="50"/>
        <v>0</v>
      </c>
      <c r="K546">
        <f t="shared" si="51"/>
        <v>15.19</v>
      </c>
      <c r="M546" s="48">
        <v>42146</v>
      </c>
      <c r="N546">
        <v>2.9756</v>
      </c>
      <c r="S546">
        <f t="shared" si="52"/>
        <v>0</v>
      </c>
      <c r="T546">
        <f t="shared" si="53"/>
        <v>2.9756</v>
      </c>
    </row>
    <row r="547" spans="3:20">
      <c r="C547" s="48">
        <v>42146</v>
      </c>
      <c r="D547">
        <v>14.916</v>
      </c>
      <c r="F547">
        <f t="shared" si="48"/>
        <v>14.916</v>
      </c>
      <c r="H547">
        <f t="shared" si="49"/>
        <v>14.916</v>
      </c>
      <c r="J547">
        <f t="shared" si="50"/>
        <v>0</v>
      </c>
      <c r="K547">
        <f t="shared" si="51"/>
        <v>14.916</v>
      </c>
      <c r="M547" s="48">
        <v>42153</v>
      </c>
      <c r="N547">
        <v>2.7635000000000001</v>
      </c>
      <c r="S547">
        <f t="shared" si="52"/>
        <v>0</v>
      </c>
      <c r="T547">
        <f t="shared" si="53"/>
        <v>2.7635000000000001</v>
      </c>
    </row>
    <row r="548" spans="3:20">
      <c r="C548" s="48">
        <v>42153</v>
      </c>
      <c r="D548">
        <v>14.46</v>
      </c>
      <c r="F548">
        <f t="shared" si="48"/>
        <v>14.46</v>
      </c>
      <c r="H548">
        <f t="shared" si="49"/>
        <v>14.46</v>
      </c>
      <c r="J548">
        <f t="shared" si="50"/>
        <v>0</v>
      </c>
      <c r="K548">
        <f t="shared" si="51"/>
        <v>14.46</v>
      </c>
      <c r="M548" s="48">
        <v>42160</v>
      </c>
      <c r="N548">
        <v>2.6010999999999997</v>
      </c>
      <c r="S548">
        <f t="shared" si="52"/>
        <v>0</v>
      </c>
      <c r="T548">
        <f t="shared" si="53"/>
        <v>2.6010999999999997</v>
      </c>
    </row>
    <row r="549" spans="3:20">
      <c r="C549" s="48">
        <v>42160</v>
      </c>
      <c r="D549">
        <v>13.532</v>
      </c>
      <c r="F549">
        <f t="shared" si="48"/>
        <v>13.532</v>
      </c>
      <c r="H549">
        <f t="shared" si="49"/>
        <v>13.532</v>
      </c>
      <c r="J549">
        <f t="shared" si="50"/>
        <v>0</v>
      </c>
      <c r="K549">
        <f t="shared" si="51"/>
        <v>13.532</v>
      </c>
      <c r="M549" s="48">
        <v>42167</v>
      </c>
      <c r="N549">
        <v>2.8026</v>
      </c>
      <c r="S549">
        <f t="shared" si="52"/>
        <v>0</v>
      </c>
      <c r="T549">
        <f t="shared" si="53"/>
        <v>2.8026</v>
      </c>
    </row>
    <row r="550" spans="3:20">
      <c r="C550" s="48">
        <v>42167</v>
      </c>
      <c r="D550">
        <v>12.837999999999999</v>
      </c>
      <c r="F550">
        <f t="shared" si="48"/>
        <v>12.837999999999999</v>
      </c>
      <c r="H550">
        <f t="shared" si="49"/>
        <v>12.837999999999999</v>
      </c>
      <c r="J550">
        <f t="shared" si="50"/>
        <v>0</v>
      </c>
      <c r="K550">
        <f t="shared" si="51"/>
        <v>12.837999999999999</v>
      </c>
      <c r="M550" s="48">
        <v>42174</v>
      </c>
      <c r="N550">
        <v>2.8801999999999999</v>
      </c>
      <c r="S550">
        <f t="shared" si="52"/>
        <v>0</v>
      </c>
      <c r="T550">
        <f t="shared" si="53"/>
        <v>2.8801999999999999</v>
      </c>
    </row>
    <row r="551" spans="3:20">
      <c r="C551" s="48">
        <v>42174</v>
      </c>
      <c r="D551">
        <v>12.1</v>
      </c>
      <c r="F551">
        <f t="shared" si="48"/>
        <v>12.1</v>
      </c>
      <c r="H551">
        <f t="shared" si="49"/>
        <v>12.1</v>
      </c>
      <c r="J551">
        <f t="shared" si="50"/>
        <v>0</v>
      </c>
      <c r="K551">
        <f t="shared" si="51"/>
        <v>12.1</v>
      </c>
      <c r="M551" s="48">
        <v>42181</v>
      </c>
      <c r="N551">
        <v>2.7858000000000001</v>
      </c>
      <c r="S551">
        <f t="shared" si="52"/>
        <v>0</v>
      </c>
      <c r="T551">
        <f t="shared" si="53"/>
        <v>2.7858000000000001</v>
      </c>
    </row>
    <row r="552" spans="3:20">
      <c r="C552" s="48">
        <v>42181</v>
      </c>
      <c r="D552">
        <v>11.497999999999999</v>
      </c>
      <c r="F552">
        <f t="shared" si="48"/>
        <v>11.497999999999999</v>
      </c>
      <c r="H552">
        <f t="shared" si="49"/>
        <v>11.497999999999999</v>
      </c>
      <c r="J552">
        <f t="shared" si="50"/>
        <v>0</v>
      </c>
      <c r="K552">
        <f t="shared" si="51"/>
        <v>11.497999999999999</v>
      </c>
      <c r="M552" s="48">
        <v>42188</v>
      </c>
      <c r="N552">
        <v>2.7934000000000001</v>
      </c>
      <c r="S552">
        <f t="shared" si="52"/>
        <v>0</v>
      </c>
      <c r="T552">
        <f t="shared" si="53"/>
        <v>2.7934000000000001</v>
      </c>
    </row>
    <row r="553" spans="3:20">
      <c r="C553" s="48">
        <v>42188</v>
      </c>
      <c r="D553">
        <v>10.88</v>
      </c>
      <c r="F553">
        <f t="shared" si="48"/>
        <v>10.88</v>
      </c>
      <c r="H553">
        <f t="shared" si="49"/>
        <v>10.88</v>
      </c>
      <c r="J553">
        <f t="shared" si="50"/>
        <v>0</v>
      </c>
      <c r="K553">
        <f t="shared" si="51"/>
        <v>10.88</v>
      </c>
      <c r="M553" s="48">
        <v>42195</v>
      </c>
      <c r="N553">
        <v>2.7225000000000001</v>
      </c>
      <c r="S553">
        <f t="shared" si="52"/>
        <v>0</v>
      </c>
      <c r="T553">
        <f t="shared" si="53"/>
        <v>2.7225000000000001</v>
      </c>
    </row>
    <row r="554" spans="3:20">
      <c r="C554" s="48">
        <v>42195</v>
      </c>
      <c r="D554">
        <v>11.247999999999999</v>
      </c>
      <c r="F554">
        <f t="shared" si="48"/>
        <v>11.247999999999999</v>
      </c>
      <c r="H554">
        <f t="shared" si="49"/>
        <v>11.247999999999999</v>
      </c>
      <c r="J554">
        <f t="shared" si="50"/>
        <v>0</v>
      </c>
      <c r="K554">
        <f t="shared" si="51"/>
        <v>11.247999999999999</v>
      </c>
      <c r="M554" s="48">
        <v>42202</v>
      </c>
      <c r="N554">
        <v>2.8980999999999999</v>
      </c>
      <c r="S554">
        <f t="shared" si="52"/>
        <v>0</v>
      </c>
      <c r="T554">
        <f t="shared" si="53"/>
        <v>2.8980999999999999</v>
      </c>
    </row>
    <row r="555" spans="3:20">
      <c r="C555" s="48">
        <v>42202</v>
      </c>
      <c r="D555">
        <v>11.218</v>
      </c>
      <c r="F555">
        <f t="shared" si="48"/>
        <v>11.218</v>
      </c>
      <c r="H555">
        <f t="shared" si="49"/>
        <v>11.218</v>
      </c>
      <c r="J555">
        <f t="shared" si="50"/>
        <v>0</v>
      </c>
      <c r="K555">
        <f t="shared" si="51"/>
        <v>11.218</v>
      </c>
      <c r="M555" s="48">
        <v>42209</v>
      </c>
      <c r="N555">
        <v>2.8679000000000001</v>
      </c>
      <c r="S555">
        <f t="shared" si="52"/>
        <v>0</v>
      </c>
      <c r="T555">
        <f t="shared" si="53"/>
        <v>2.8679000000000001</v>
      </c>
    </row>
    <row r="556" spans="3:20">
      <c r="C556" s="48">
        <v>42209</v>
      </c>
      <c r="D556">
        <v>9.1199999999999992</v>
      </c>
      <c r="F556">
        <f t="shared" si="48"/>
        <v>9.1199999999999992</v>
      </c>
      <c r="H556">
        <f t="shared" si="49"/>
        <v>9.1199999999999992</v>
      </c>
      <c r="J556">
        <f t="shared" si="50"/>
        <v>0</v>
      </c>
      <c r="K556">
        <f t="shared" si="51"/>
        <v>9.1199999999999992</v>
      </c>
      <c r="M556" s="48">
        <v>42216</v>
      </c>
      <c r="N556">
        <v>2.8437999999999999</v>
      </c>
      <c r="S556">
        <f t="shared" si="52"/>
        <v>0</v>
      </c>
      <c r="T556">
        <f t="shared" si="53"/>
        <v>2.8437999999999999</v>
      </c>
    </row>
    <row r="557" spans="3:20">
      <c r="C557" s="48">
        <v>42216</v>
      </c>
      <c r="D557">
        <v>8.83</v>
      </c>
      <c r="F557">
        <f t="shared" si="48"/>
        <v>8.83</v>
      </c>
      <c r="H557">
        <f t="shared" si="49"/>
        <v>8.83</v>
      </c>
      <c r="J557">
        <f t="shared" si="50"/>
        <v>0</v>
      </c>
      <c r="K557">
        <f t="shared" si="51"/>
        <v>8.83</v>
      </c>
      <c r="M557" s="48">
        <v>42223</v>
      </c>
      <c r="N557">
        <v>2.7984</v>
      </c>
      <c r="S557">
        <f t="shared" si="52"/>
        <v>0</v>
      </c>
      <c r="T557">
        <f t="shared" si="53"/>
        <v>2.7984</v>
      </c>
    </row>
    <row r="558" spans="3:20">
      <c r="C558" s="48">
        <v>42223</v>
      </c>
      <c r="D558">
        <v>7.9379999999999997</v>
      </c>
      <c r="F558">
        <f t="shared" si="48"/>
        <v>7.9379999999999997</v>
      </c>
      <c r="H558">
        <f t="shared" si="49"/>
        <v>7.9379999999999997</v>
      </c>
      <c r="J558">
        <f t="shared" si="50"/>
        <v>0</v>
      </c>
      <c r="K558">
        <f t="shared" si="51"/>
        <v>7.9379999999999997</v>
      </c>
      <c r="M558" s="48">
        <v>42230</v>
      </c>
      <c r="N558">
        <v>2.8702999999999999</v>
      </c>
      <c r="S558">
        <f t="shared" si="52"/>
        <v>0</v>
      </c>
      <c r="T558">
        <f t="shared" si="53"/>
        <v>2.8702999999999999</v>
      </c>
    </row>
    <row r="559" spans="3:20">
      <c r="C559" s="48">
        <v>42230</v>
      </c>
      <c r="D559">
        <v>7.97</v>
      </c>
      <c r="F559">
        <f t="shared" si="48"/>
        <v>7.97</v>
      </c>
      <c r="H559">
        <f t="shared" si="49"/>
        <v>7.97</v>
      </c>
      <c r="J559">
        <f t="shared" si="50"/>
        <v>0</v>
      </c>
      <c r="K559">
        <f t="shared" si="51"/>
        <v>7.97</v>
      </c>
      <c r="M559" s="48">
        <v>42237</v>
      </c>
      <c r="N559">
        <v>2.7227999999999999</v>
      </c>
      <c r="S559">
        <f t="shared" si="52"/>
        <v>0</v>
      </c>
      <c r="T559">
        <f t="shared" si="53"/>
        <v>2.7227999999999999</v>
      </c>
    </row>
    <row r="560" spans="3:20">
      <c r="C560" s="48">
        <v>42237</v>
      </c>
      <c r="D560">
        <v>7.3380000000000001</v>
      </c>
      <c r="F560">
        <f t="shared" si="48"/>
        <v>7.3380000000000001</v>
      </c>
      <c r="H560">
        <f t="shared" si="49"/>
        <v>7.3380000000000001</v>
      </c>
      <c r="J560">
        <f t="shared" si="50"/>
        <v>0</v>
      </c>
      <c r="K560">
        <f t="shared" si="51"/>
        <v>7.3380000000000001</v>
      </c>
      <c r="M560" s="48">
        <v>42244</v>
      </c>
      <c r="N560">
        <v>2.6775000000000002</v>
      </c>
      <c r="S560">
        <f t="shared" si="52"/>
        <v>0</v>
      </c>
      <c r="T560">
        <f t="shared" si="53"/>
        <v>2.6775000000000002</v>
      </c>
    </row>
    <row r="561" spans="3:21">
      <c r="C561" s="48">
        <v>42244</v>
      </c>
      <c r="D561">
        <v>6.6779999999999999</v>
      </c>
      <c r="F561">
        <f t="shared" si="48"/>
        <v>6.6779999999999999</v>
      </c>
      <c r="H561">
        <f t="shared" si="49"/>
        <v>6.6779999999999999</v>
      </c>
      <c r="J561">
        <f t="shared" si="50"/>
        <v>0</v>
      </c>
      <c r="K561">
        <f t="shared" si="51"/>
        <v>6.6779999999999999</v>
      </c>
      <c r="M561" s="48">
        <v>42251</v>
      </c>
      <c r="N561">
        <v>2.6959999999999997</v>
      </c>
      <c r="S561">
        <f t="shared" si="52"/>
        <v>0</v>
      </c>
      <c r="T561">
        <f t="shared" si="53"/>
        <v>2.6959999999999997</v>
      </c>
    </row>
    <row r="562" spans="3:21">
      <c r="C562" s="48">
        <v>42251</v>
      </c>
      <c r="D562">
        <v>7.4939999999999998</v>
      </c>
      <c r="F562">
        <f t="shared" si="48"/>
        <v>7.4939999999999998</v>
      </c>
      <c r="H562">
        <f t="shared" si="49"/>
        <v>7.4939999999999998</v>
      </c>
      <c r="J562">
        <f t="shared" si="50"/>
        <v>0</v>
      </c>
      <c r="K562">
        <f t="shared" si="51"/>
        <v>7.4939999999999998</v>
      </c>
      <c r="N562">
        <f>N561</f>
        <v>2.6959999999999997</v>
      </c>
      <c r="O562">
        <f>N562</f>
        <v>2.6959999999999997</v>
      </c>
      <c r="Q562">
        <f>O562</f>
        <v>2.6959999999999997</v>
      </c>
      <c r="S562" s="7">
        <f t="shared" ref="S562:S593" si="54">T562-O562</f>
        <v>0</v>
      </c>
      <c r="T562">
        <f>Q562</f>
        <v>2.6959999999999997</v>
      </c>
    </row>
    <row r="563" spans="3:21">
      <c r="C563" s="48">
        <f t="shared" ref="C563:C626" si="55">C562+7</f>
        <v>42258</v>
      </c>
      <c r="E563">
        <f>683-562</f>
        <v>121</v>
      </c>
      <c r="F563" s="3">
        <f t="shared" ref="F563:F594" si="56">F562+$G$563</f>
        <v>7.4932231404958678</v>
      </c>
      <c r="G563" s="7">
        <f>(F683-F562)/121</f>
        <v>-7.768595041322266E-4</v>
      </c>
      <c r="J563">
        <f t="shared" si="50"/>
        <v>0.1776859504132231</v>
      </c>
      <c r="K563" s="3">
        <f t="shared" ref="K563:K594" si="57">$L$563+K562</f>
        <v>7.6709090909090909</v>
      </c>
      <c r="L563" s="7">
        <f>(K683-K562)/121</f>
        <v>0.1769090909090909</v>
      </c>
      <c r="O563" s="3">
        <f t="shared" ref="O563:O594" si="58">O562+$P$563</f>
        <v>2.7005785123966941</v>
      </c>
      <c r="P563" s="7">
        <f>(O683-O562)/121</f>
        <v>4.5785123966942173E-3</v>
      </c>
      <c r="Q563" s="3">
        <f t="shared" ref="Q563:Q594" si="59">Q562+$R$563</f>
        <v>2.7047107438016527</v>
      </c>
      <c r="R563" s="7">
        <f>(Q683-Q562)/121</f>
        <v>8.7107438016528951E-3</v>
      </c>
      <c r="S563" s="7">
        <f t="shared" si="54"/>
        <v>8.6776859504129611E-3</v>
      </c>
      <c r="T563" s="3">
        <f t="shared" ref="T563:T594" si="60">T562+$U$563</f>
        <v>2.7092561983471071</v>
      </c>
      <c r="U563" s="7">
        <f>(T683-T562)/121</f>
        <v>1.3256198347107439E-2</v>
      </c>
    </row>
    <row r="564" spans="3:21">
      <c r="C564" s="48">
        <f t="shared" si="55"/>
        <v>42265</v>
      </c>
      <c r="E564">
        <f t="shared" ref="E564:E595" si="61">E563-1</f>
        <v>120</v>
      </c>
      <c r="F564" s="3">
        <f t="shared" si="56"/>
        <v>7.4924462809917358</v>
      </c>
      <c r="G564" s="3"/>
      <c r="J564">
        <f t="shared" si="50"/>
        <v>0.35537190082644621</v>
      </c>
      <c r="K564" s="3">
        <f t="shared" si="57"/>
        <v>7.847818181818182</v>
      </c>
      <c r="O564" s="3">
        <f t="shared" si="58"/>
        <v>2.7051570247933885</v>
      </c>
      <c r="Q564" s="3">
        <f t="shared" si="59"/>
        <v>2.7134214876033056</v>
      </c>
      <c r="S564" s="7">
        <f t="shared" si="54"/>
        <v>1.7355371900825922E-2</v>
      </c>
      <c r="T564" s="3">
        <f t="shared" si="60"/>
        <v>2.7225123966942144</v>
      </c>
    </row>
    <row r="565" spans="3:21">
      <c r="C565" s="48">
        <f t="shared" si="55"/>
        <v>42272</v>
      </c>
      <c r="E565">
        <f t="shared" si="61"/>
        <v>119</v>
      </c>
      <c r="F565" s="3">
        <f t="shared" si="56"/>
        <v>7.4916694214876038</v>
      </c>
      <c r="G565" s="3"/>
      <c r="J565">
        <f t="shared" si="50"/>
        <v>0.53305785123966842</v>
      </c>
      <c r="K565" s="3">
        <f t="shared" si="57"/>
        <v>8.0247272727272723</v>
      </c>
      <c r="O565" s="3">
        <f t="shared" si="58"/>
        <v>2.7097355371900829</v>
      </c>
      <c r="Q565" s="3">
        <f t="shared" si="59"/>
        <v>2.7221322314049585</v>
      </c>
      <c r="S565" s="7">
        <f t="shared" si="54"/>
        <v>2.6033057851238883E-2</v>
      </c>
      <c r="T565" s="3">
        <f t="shared" si="60"/>
        <v>2.7357685950413217</v>
      </c>
    </row>
    <row r="566" spans="3:21">
      <c r="C566" s="48">
        <f t="shared" si="55"/>
        <v>42279</v>
      </c>
      <c r="E566">
        <f t="shared" si="61"/>
        <v>118</v>
      </c>
      <c r="F566" s="3">
        <f t="shared" si="56"/>
        <v>7.4908925619834719</v>
      </c>
      <c r="G566" s="3"/>
      <c r="J566">
        <f t="shared" si="50"/>
        <v>0.71074380165289064</v>
      </c>
      <c r="K566" s="3">
        <f t="shared" si="57"/>
        <v>8.2016363636363625</v>
      </c>
      <c r="O566" s="3">
        <f t="shared" si="58"/>
        <v>2.7143140495867772</v>
      </c>
      <c r="Q566" s="3">
        <f t="shared" si="59"/>
        <v>2.7308429752066115</v>
      </c>
      <c r="S566" s="7">
        <f t="shared" si="54"/>
        <v>3.4710743801651844E-2</v>
      </c>
      <c r="T566" s="3">
        <f t="shared" si="60"/>
        <v>2.7490247933884291</v>
      </c>
    </row>
    <row r="567" spans="3:21">
      <c r="C567" s="48">
        <f t="shared" si="55"/>
        <v>42286</v>
      </c>
      <c r="E567">
        <f t="shared" si="61"/>
        <v>117</v>
      </c>
      <c r="F567" s="3">
        <f t="shared" si="56"/>
        <v>7.4901157024793399</v>
      </c>
      <c r="G567" s="3"/>
      <c r="J567">
        <f t="shared" si="50"/>
        <v>0.88842975206611285</v>
      </c>
      <c r="K567" s="3">
        <f t="shared" si="57"/>
        <v>8.3785454545454527</v>
      </c>
      <c r="O567" s="3">
        <f t="shared" si="58"/>
        <v>2.7188925619834716</v>
      </c>
      <c r="Q567" s="3">
        <f t="shared" si="59"/>
        <v>2.7395537190082644</v>
      </c>
      <c r="S567" s="7">
        <f t="shared" si="54"/>
        <v>4.3388429752064805E-2</v>
      </c>
      <c r="T567" s="3">
        <f t="shared" si="60"/>
        <v>2.7622809917355364</v>
      </c>
    </row>
    <row r="568" spans="3:21">
      <c r="C568" s="48">
        <f t="shared" si="55"/>
        <v>42293</v>
      </c>
      <c r="E568">
        <f t="shared" si="61"/>
        <v>116</v>
      </c>
      <c r="F568" s="3">
        <f t="shared" si="56"/>
        <v>7.4893388429752079</v>
      </c>
      <c r="G568" s="3"/>
      <c r="J568">
        <f t="shared" si="50"/>
        <v>1.0661157024793351</v>
      </c>
      <c r="K568" s="3">
        <f t="shared" si="57"/>
        <v>8.555454545454543</v>
      </c>
      <c r="O568" s="3">
        <f t="shared" si="58"/>
        <v>2.723471074380166</v>
      </c>
      <c r="Q568" s="3">
        <f t="shared" si="59"/>
        <v>2.7482644628099173</v>
      </c>
      <c r="S568" s="7">
        <f t="shared" si="54"/>
        <v>5.2066115702477767E-2</v>
      </c>
      <c r="T568" s="3">
        <f t="shared" si="60"/>
        <v>2.7755371900826438</v>
      </c>
    </row>
    <row r="569" spans="3:21">
      <c r="C569" s="48">
        <f t="shared" si="55"/>
        <v>42300</v>
      </c>
      <c r="E569">
        <f t="shared" si="61"/>
        <v>115</v>
      </c>
      <c r="F569" s="3">
        <f t="shared" si="56"/>
        <v>7.4885619834710759</v>
      </c>
      <c r="G569" s="3"/>
      <c r="J569">
        <f t="shared" si="50"/>
        <v>1.2438016528925573</v>
      </c>
      <c r="K569" s="3">
        <f t="shared" si="57"/>
        <v>8.7323636363636332</v>
      </c>
      <c r="O569" s="3">
        <f t="shared" si="58"/>
        <v>2.7280495867768604</v>
      </c>
      <c r="Q569" s="3">
        <f t="shared" si="59"/>
        <v>2.7569752066115703</v>
      </c>
      <c r="S569" s="7">
        <f t="shared" si="54"/>
        <v>6.0743801652890728E-2</v>
      </c>
      <c r="T569" s="3">
        <f t="shared" si="60"/>
        <v>2.7887933884297511</v>
      </c>
    </row>
    <row r="570" spans="3:21">
      <c r="C570" s="48">
        <f t="shared" si="55"/>
        <v>42307</v>
      </c>
      <c r="E570">
        <f t="shared" si="61"/>
        <v>114</v>
      </c>
      <c r="F570" s="3">
        <f t="shared" si="56"/>
        <v>7.487785123966944</v>
      </c>
      <c r="G570" s="3"/>
      <c r="J570">
        <f t="shared" si="50"/>
        <v>1.4214876033057795</v>
      </c>
      <c r="K570" s="3">
        <f t="shared" si="57"/>
        <v>8.9092727272727235</v>
      </c>
      <c r="O570" s="3">
        <f t="shared" si="58"/>
        <v>2.7326280991735548</v>
      </c>
      <c r="Q570" s="3">
        <f t="shared" si="59"/>
        <v>2.7656859504132232</v>
      </c>
      <c r="S570" s="7">
        <f t="shared" si="54"/>
        <v>6.9421487603303689E-2</v>
      </c>
      <c r="T570" s="3">
        <f t="shared" si="60"/>
        <v>2.8020495867768584</v>
      </c>
    </row>
    <row r="571" spans="3:21">
      <c r="C571" s="48">
        <f t="shared" si="55"/>
        <v>42314</v>
      </c>
      <c r="E571">
        <f t="shared" si="61"/>
        <v>113</v>
      </c>
      <c r="F571" s="3">
        <f t="shared" si="56"/>
        <v>7.487008264462812</v>
      </c>
      <c r="G571" s="3"/>
      <c r="J571">
        <f t="shared" si="50"/>
        <v>1.5991735537190017</v>
      </c>
      <c r="K571" s="3">
        <f t="shared" si="57"/>
        <v>9.0861818181818137</v>
      </c>
      <c r="O571" s="3">
        <f t="shared" si="58"/>
        <v>2.7372066115702491</v>
      </c>
      <c r="Q571" s="3">
        <f t="shared" si="59"/>
        <v>2.7743966942148761</v>
      </c>
      <c r="S571" s="7">
        <f t="shared" si="54"/>
        <v>7.809917355371665E-2</v>
      </c>
      <c r="T571" s="3">
        <f t="shared" si="60"/>
        <v>2.8153057851239658</v>
      </c>
    </row>
    <row r="572" spans="3:21">
      <c r="C572" s="48">
        <f t="shared" si="55"/>
        <v>42321</v>
      </c>
      <c r="E572">
        <f t="shared" si="61"/>
        <v>112</v>
      </c>
      <c r="F572" s="3">
        <f t="shared" si="56"/>
        <v>7.48623140495868</v>
      </c>
      <c r="G572" s="3"/>
      <c r="J572">
        <f t="shared" si="50"/>
        <v>1.7768595041322239</v>
      </c>
      <c r="K572" s="3">
        <f t="shared" si="57"/>
        <v>9.2630909090909039</v>
      </c>
      <c r="O572" s="3">
        <f t="shared" si="58"/>
        <v>2.7417851239669435</v>
      </c>
      <c r="Q572" s="3">
        <f t="shared" si="59"/>
        <v>2.783107438016529</v>
      </c>
      <c r="S572" s="7">
        <f t="shared" si="54"/>
        <v>8.6776859504129611E-2</v>
      </c>
      <c r="T572" s="3">
        <f t="shared" si="60"/>
        <v>2.8285619834710731</v>
      </c>
    </row>
    <row r="573" spans="3:21">
      <c r="C573" s="48">
        <f t="shared" si="55"/>
        <v>42328</v>
      </c>
      <c r="E573">
        <f t="shared" si="61"/>
        <v>111</v>
      </c>
      <c r="F573" s="3">
        <f t="shared" si="56"/>
        <v>7.485454545454548</v>
      </c>
      <c r="G573" s="3"/>
      <c r="J573">
        <f t="shared" si="50"/>
        <v>1.9545454545454461</v>
      </c>
      <c r="K573" s="3">
        <f t="shared" si="57"/>
        <v>9.4399999999999942</v>
      </c>
      <c r="O573" s="3">
        <f t="shared" si="58"/>
        <v>2.7463636363636379</v>
      </c>
      <c r="Q573" s="3">
        <f t="shared" si="59"/>
        <v>2.791818181818182</v>
      </c>
      <c r="S573" s="7">
        <f t="shared" si="54"/>
        <v>9.5454545454542572E-2</v>
      </c>
      <c r="T573" s="3">
        <f t="shared" si="60"/>
        <v>2.8418181818181805</v>
      </c>
    </row>
    <row r="574" spans="3:21">
      <c r="C574" s="48">
        <f t="shared" si="55"/>
        <v>42335</v>
      </c>
      <c r="E574">
        <f t="shared" si="61"/>
        <v>110</v>
      </c>
      <c r="F574" s="3">
        <f t="shared" si="56"/>
        <v>7.484677685950416</v>
      </c>
      <c r="G574" s="3"/>
      <c r="J574">
        <f t="shared" si="50"/>
        <v>2.1322314049586684</v>
      </c>
      <c r="K574" s="3">
        <f t="shared" si="57"/>
        <v>9.6169090909090844</v>
      </c>
      <c r="O574" s="3">
        <f t="shared" si="58"/>
        <v>2.7509421487603323</v>
      </c>
      <c r="Q574" s="3">
        <f t="shared" si="59"/>
        <v>2.8005289256198349</v>
      </c>
      <c r="S574" s="7">
        <f t="shared" si="54"/>
        <v>0.10413223140495553</v>
      </c>
      <c r="T574" s="3">
        <f t="shared" si="60"/>
        <v>2.8550743801652878</v>
      </c>
    </row>
    <row r="575" spans="3:21">
      <c r="C575" s="48">
        <f t="shared" si="55"/>
        <v>42342</v>
      </c>
      <c r="E575">
        <f t="shared" si="61"/>
        <v>109</v>
      </c>
      <c r="F575" s="3">
        <f t="shared" si="56"/>
        <v>7.4839008264462841</v>
      </c>
      <c r="G575" s="3"/>
      <c r="J575">
        <f t="shared" si="50"/>
        <v>2.3099173553718906</v>
      </c>
      <c r="K575" s="3">
        <f t="shared" si="57"/>
        <v>9.7938181818181747</v>
      </c>
      <c r="O575" s="3">
        <f t="shared" si="58"/>
        <v>2.7555206611570267</v>
      </c>
      <c r="Q575" s="3">
        <f t="shared" si="59"/>
        <v>2.8092396694214878</v>
      </c>
      <c r="S575" s="7">
        <f t="shared" si="54"/>
        <v>0.11280991735536849</v>
      </c>
      <c r="T575" s="3">
        <f t="shared" si="60"/>
        <v>2.8683305785123951</v>
      </c>
    </row>
    <row r="576" spans="3:21">
      <c r="C576" s="48">
        <f t="shared" si="55"/>
        <v>42349</v>
      </c>
      <c r="E576">
        <f t="shared" si="61"/>
        <v>108</v>
      </c>
      <c r="F576" s="3">
        <f t="shared" si="56"/>
        <v>7.4831239669421521</v>
      </c>
      <c r="G576" s="3"/>
      <c r="J576">
        <f t="shared" si="50"/>
        <v>2.4876033057851128</v>
      </c>
      <c r="K576" s="3">
        <f t="shared" si="57"/>
        <v>9.9707272727272649</v>
      </c>
      <c r="O576" s="3">
        <f t="shared" si="58"/>
        <v>2.760099173553721</v>
      </c>
      <c r="Q576" s="3">
        <f t="shared" si="59"/>
        <v>2.8179504132231408</v>
      </c>
      <c r="S576" s="7">
        <f t="shared" si="54"/>
        <v>0.12148760330578146</v>
      </c>
      <c r="T576" s="3">
        <f t="shared" si="60"/>
        <v>2.8815867768595025</v>
      </c>
    </row>
    <row r="577" spans="3:20">
      <c r="C577" s="48">
        <f t="shared" si="55"/>
        <v>42356</v>
      </c>
      <c r="E577">
        <f t="shared" si="61"/>
        <v>107</v>
      </c>
      <c r="F577" s="3">
        <f t="shared" si="56"/>
        <v>7.4823471074380201</v>
      </c>
      <c r="G577" s="3"/>
      <c r="J577">
        <f t="shared" si="50"/>
        <v>2.665289256198335</v>
      </c>
      <c r="K577" s="3">
        <f t="shared" si="57"/>
        <v>10.147636363636355</v>
      </c>
      <c r="O577" s="3">
        <f t="shared" si="58"/>
        <v>2.7646776859504154</v>
      </c>
      <c r="Q577" s="3">
        <f t="shared" si="59"/>
        <v>2.8266611570247937</v>
      </c>
      <c r="S577" s="7">
        <f t="shared" si="54"/>
        <v>0.13016528925619442</v>
      </c>
      <c r="T577" s="3">
        <f t="shared" si="60"/>
        <v>2.8948429752066098</v>
      </c>
    </row>
    <row r="578" spans="3:20">
      <c r="C578" s="48">
        <f t="shared" si="55"/>
        <v>42363</v>
      </c>
      <c r="E578">
        <f t="shared" si="61"/>
        <v>106</v>
      </c>
      <c r="F578" s="3">
        <f t="shared" si="56"/>
        <v>7.4815702479338881</v>
      </c>
      <c r="G578" s="3"/>
      <c r="J578">
        <f t="shared" si="50"/>
        <v>2.8429752066115572</v>
      </c>
      <c r="K578" s="3">
        <f t="shared" si="57"/>
        <v>10.324545454545445</v>
      </c>
      <c r="O578" s="3">
        <f t="shared" si="58"/>
        <v>2.7692561983471098</v>
      </c>
      <c r="Q578" s="3">
        <f t="shared" si="59"/>
        <v>2.8353719008264466</v>
      </c>
      <c r="S578" s="7">
        <f t="shared" si="54"/>
        <v>0.13884297520660738</v>
      </c>
      <c r="T578" s="3">
        <f t="shared" si="60"/>
        <v>2.9080991735537172</v>
      </c>
    </row>
    <row r="579" spans="3:20">
      <c r="C579" s="48">
        <f t="shared" si="55"/>
        <v>42370</v>
      </c>
      <c r="E579">
        <f t="shared" si="61"/>
        <v>105</v>
      </c>
      <c r="F579" s="3">
        <f t="shared" si="56"/>
        <v>7.4807933884297562</v>
      </c>
      <c r="G579" s="3"/>
      <c r="J579">
        <f t="shared" si="50"/>
        <v>3.0206611570247794</v>
      </c>
      <c r="K579" s="3">
        <f t="shared" si="57"/>
        <v>10.501454545454536</v>
      </c>
      <c r="O579" s="3">
        <f t="shared" si="58"/>
        <v>2.7738347107438042</v>
      </c>
      <c r="Q579" s="3">
        <f t="shared" si="59"/>
        <v>2.8440826446280996</v>
      </c>
      <c r="S579" s="7">
        <f t="shared" si="54"/>
        <v>0.14752066115702034</v>
      </c>
      <c r="T579" s="3">
        <f t="shared" si="60"/>
        <v>2.9213553719008245</v>
      </c>
    </row>
    <row r="580" spans="3:20">
      <c r="C580" s="48">
        <f t="shared" si="55"/>
        <v>42377</v>
      </c>
      <c r="E580">
        <f t="shared" si="61"/>
        <v>104</v>
      </c>
      <c r="F580" s="3">
        <f t="shared" si="56"/>
        <v>7.4800165289256242</v>
      </c>
      <c r="G580" s="3"/>
      <c r="J580">
        <f t="shared" si="50"/>
        <v>3.1983471074380017</v>
      </c>
      <c r="K580" s="3">
        <f t="shared" si="57"/>
        <v>10.678363636363626</v>
      </c>
      <c r="O580" s="3">
        <f t="shared" si="58"/>
        <v>2.7784132231404985</v>
      </c>
      <c r="Q580" s="3">
        <f t="shared" si="59"/>
        <v>2.8527933884297525</v>
      </c>
      <c r="S580" s="7">
        <f t="shared" si="54"/>
        <v>0.1561983471074333</v>
      </c>
      <c r="T580" s="3">
        <f t="shared" si="60"/>
        <v>2.9346115702479318</v>
      </c>
    </row>
    <row r="581" spans="3:20">
      <c r="C581" s="48">
        <f t="shared" si="55"/>
        <v>42384</v>
      </c>
      <c r="E581">
        <f t="shared" si="61"/>
        <v>103</v>
      </c>
      <c r="F581" s="3">
        <f t="shared" si="56"/>
        <v>7.4792396694214922</v>
      </c>
      <c r="G581" s="3"/>
      <c r="J581">
        <f t="shared" ref="J581:J644" si="62">K581-F581</f>
        <v>3.3760330578512239</v>
      </c>
      <c r="K581" s="3">
        <f t="shared" si="57"/>
        <v>10.855272727272716</v>
      </c>
      <c r="O581" s="3">
        <f t="shared" si="58"/>
        <v>2.7829917355371929</v>
      </c>
      <c r="Q581" s="3">
        <f t="shared" si="59"/>
        <v>2.8615041322314054</v>
      </c>
      <c r="S581" s="7">
        <f t="shared" si="54"/>
        <v>0.16487603305784626</v>
      </c>
      <c r="T581" s="3">
        <f t="shared" si="60"/>
        <v>2.9478677685950392</v>
      </c>
    </row>
    <row r="582" spans="3:20">
      <c r="C582" s="48">
        <f t="shared" si="55"/>
        <v>42391</v>
      </c>
      <c r="E582">
        <f t="shared" si="61"/>
        <v>102</v>
      </c>
      <c r="F582" s="3">
        <f t="shared" si="56"/>
        <v>7.4784628099173602</v>
      </c>
      <c r="G582" s="3"/>
      <c r="J582">
        <f t="shared" si="62"/>
        <v>3.5537190082644461</v>
      </c>
      <c r="K582" s="3">
        <f t="shared" si="57"/>
        <v>11.032181818181806</v>
      </c>
      <c r="O582" s="3">
        <f t="shared" si="58"/>
        <v>2.7875702479338873</v>
      </c>
      <c r="Q582" s="3">
        <f t="shared" si="59"/>
        <v>2.8702148760330584</v>
      </c>
      <c r="S582" s="7">
        <f t="shared" si="54"/>
        <v>0.17355371900825922</v>
      </c>
      <c r="T582" s="3">
        <f t="shared" si="60"/>
        <v>2.9611239669421465</v>
      </c>
    </row>
    <row r="583" spans="3:20">
      <c r="C583" s="48">
        <f t="shared" si="55"/>
        <v>42398</v>
      </c>
      <c r="E583">
        <f t="shared" si="61"/>
        <v>101</v>
      </c>
      <c r="F583" s="3">
        <f t="shared" si="56"/>
        <v>7.4776859504132283</v>
      </c>
      <c r="G583" s="3"/>
      <c r="J583">
        <f t="shared" si="62"/>
        <v>3.7314049586776683</v>
      </c>
      <c r="K583" s="3">
        <f t="shared" si="57"/>
        <v>11.209090909090897</v>
      </c>
      <c r="O583" s="3">
        <f t="shared" si="58"/>
        <v>2.7921487603305817</v>
      </c>
      <c r="Q583" s="3">
        <f t="shared" si="59"/>
        <v>2.8789256198347113</v>
      </c>
      <c r="S583" s="7">
        <f t="shared" si="54"/>
        <v>0.18223140495867218</v>
      </c>
      <c r="T583" s="3">
        <f t="shared" si="60"/>
        <v>2.9743801652892539</v>
      </c>
    </row>
    <row r="584" spans="3:20">
      <c r="C584" s="48">
        <f t="shared" si="55"/>
        <v>42405</v>
      </c>
      <c r="E584">
        <f t="shared" si="61"/>
        <v>100</v>
      </c>
      <c r="F584" s="3">
        <f t="shared" si="56"/>
        <v>7.4769090909090963</v>
      </c>
      <c r="G584" s="3"/>
      <c r="J584">
        <f t="shared" si="62"/>
        <v>3.9090909090908905</v>
      </c>
      <c r="K584" s="3">
        <f t="shared" si="57"/>
        <v>11.385999999999987</v>
      </c>
      <c r="O584" s="3">
        <f t="shared" si="58"/>
        <v>2.7967272727272761</v>
      </c>
      <c r="Q584" s="3">
        <f t="shared" si="59"/>
        <v>2.8876363636363642</v>
      </c>
      <c r="S584" s="7">
        <f t="shared" si="54"/>
        <v>0.19090909090908514</v>
      </c>
      <c r="T584" s="3">
        <f t="shared" si="60"/>
        <v>2.9876363636363612</v>
      </c>
    </row>
    <row r="585" spans="3:20">
      <c r="C585" s="48">
        <f t="shared" si="55"/>
        <v>42412</v>
      </c>
      <c r="E585">
        <f t="shared" si="61"/>
        <v>99</v>
      </c>
      <c r="F585" s="3">
        <f t="shared" si="56"/>
        <v>7.4761322314049643</v>
      </c>
      <c r="G585" s="3"/>
      <c r="J585">
        <f t="shared" si="62"/>
        <v>4.0867768595041127</v>
      </c>
      <c r="K585" s="3">
        <f t="shared" si="57"/>
        <v>11.562909090909077</v>
      </c>
      <c r="O585" s="3">
        <f t="shared" si="58"/>
        <v>2.8013057851239704</v>
      </c>
      <c r="Q585" s="3">
        <f t="shared" si="59"/>
        <v>2.8963471074380172</v>
      </c>
      <c r="S585" s="7">
        <f t="shared" si="54"/>
        <v>0.19958677685949811</v>
      </c>
      <c r="T585" s="3">
        <f t="shared" si="60"/>
        <v>3.0008925619834685</v>
      </c>
    </row>
    <row r="586" spans="3:20">
      <c r="C586" s="48">
        <f t="shared" si="55"/>
        <v>42419</v>
      </c>
      <c r="E586">
        <f t="shared" si="61"/>
        <v>98</v>
      </c>
      <c r="F586" s="3">
        <f t="shared" si="56"/>
        <v>7.4753553719008323</v>
      </c>
      <c r="G586" s="3"/>
      <c r="J586">
        <f t="shared" si="62"/>
        <v>4.264462809917335</v>
      </c>
      <c r="K586" s="3">
        <f t="shared" si="57"/>
        <v>11.739818181818167</v>
      </c>
      <c r="O586" s="3">
        <f t="shared" si="58"/>
        <v>2.8058842975206648</v>
      </c>
      <c r="Q586" s="3">
        <f t="shared" si="59"/>
        <v>2.9050578512396701</v>
      </c>
      <c r="S586" s="7">
        <f t="shared" si="54"/>
        <v>0.20826446280991107</v>
      </c>
      <c r="T586" s="3">
        <f t="shared" si="60"/>
        <v>3.0141487603305759</v>
      </c>
    </row>
    <row r="587" spans="3:20">
      <c r="C587" s="48">
        <f t="shared" si="55"/>
        <v>42426</v>
      </c>
      <c r="E587">
        <f t="shared" si="61"/>
        <v>97</v>
      </c>
      <c r="F587" s="3">
        <f t="shared" si="56"/>
        <v>7.4745785123967003</v>
      </c>
      <c r="G587" s="3"/>
      <c r="J587">
        <f t="shared" si="62"/>
        <v>4.4421487603305572</v>
      </c>
      <c r="K587" s="3">
        <f t="shared" si="57"/>
        <v>11.916727272727258</v>
      </c>
      <c r="O587" s="3">
        <f t="shared" si="58"/>
        <v>2.8104628099173592</v>
      </c>
      <c r="Q587" s="3">
        <f t="shared" si="59"/>
        <v>2.913768595041323</v>
      </c>
      <c r="S587" s="7">
        <f t="shared" si="54"/>
        <v>0.21694214876032403</v>
      </c>
      <c r="T587" s="3">
        <f t="shared" si="60"/>
        <v>3.0274049586776832</v>
      </c>
    </row>
    <row r="588" spans="3:20">
      <c r="C588" s="48">
        <f t="shared" si="55"/>
        <v>42433</v>
      </c>
      <c r="E588">
        <f t="shared" si="61"/>
        <v>96</v>
      </c>
      <c r="F588" s="3">
        <f t="shared" si="56"/>
        <v>7.4738016528925684</v>
      </c>
      <c r="G588" s="3"/>
      <c r="J588">
        <f t="shared" si="62"/>
        <v>4.6198347107437794</v>
      </c>
      <c r="K588" s="3">
        <f t="shared" si="57"/>
        <v>12.093636363636348</v>
      </c>
      <c r="O588" s="3">
        <f t="shared" si="58"/>
        <v>2.8150413223140536</v>
      </c>
      <c r="Q588" s="3">
        <f t="shared" si="59"/>
        <v>2.9224793388429759</v>
      </c>
      <c r="S588" s="7">
        <f t="shared" si="54"/>
        <v>0.22561983471073699</v>
      </c>
      <c r="T588" s="3">
        <f t="shared" si="60"/>
        <v>3.0406611570247906</v>
      </c>
    </row>
    <row r="589" spans="3:20">
      <c r="C589" s="48">
        <f t="shared" si="55"/>
        <v>42440</v>
      </c>
      <c r="E589">
        <f t="shared" si="61"/>
        <v>95</v>
      </c>
      <c r="F589" s="3">
        <f t="shared" si="56"/>
        <v>7.4730247933884364</v>
      </c>
      <c r="G589" s="3"/>
      <c r="J589">
        <f t="shared" si="62"/>
        <v>4.7975206611570016</v>
      </c>
      <c r="K589" s="3">
        <f t="shared" si="57"/>
        <v>12.270545454545438</v>
      </c>
      <c r="O589" s="3">
        <f t="shared" si="58"/>
        <v>2.819619834710748</v>
      </c>
      <c r="Q589" s="3">
        <f t="shared" si="59"/>
        <v>2.9311900826446289</v>
      </c>
      <c r="S589" s="7">
        <f t="shared" si="54"/>
        <v>0.23429752066114995</v>
      </c>
      <c r="T589" s="3">
        <f t="shared" si="60"/>
        <v>3.0539173553718979</v>
      </c>
    </row>
    <row r="590" spans="3:20">
      <c r="C590" s="48">
        <f t="shared" si="55"/>
        <v>42447</v>
      </c>
      <c r="E590">
        <f t="shared" si="61"/>
        <v>94</v>
      </c>
      <c r="F590" s="3">
        <f t="shared" si="56"/>
        <v>7.4722479338843044</v>
      </c>
      <c r="G590" s="3"/>
      <c r="J590">
        <f t="shared" si="62"/>
        <v>4.9752066115702238</v>
      </c>
      <c r="K590" s="3">
        <f t="shared" si="57"/>
        <v>12.447454545454528</v>
      </c>
      <c r="O590" s="3">
        <f t="shared" si="58"/>
        <v>2.8241983471074423</v>
      </c>
      <c r="Q590" s="3">
        <f t="shared" si="59"/>
        <v>2.9399008264462818</v>
      </c>
      <c r="S590" s="7">
        <f t="shared" si="54"/>
        <v>0.24297520661156291</v>
      </c>
      <c r="T590" s="3">
        <f t="shared" si="60"/>
        <v>3.0671735537190052</v>
      </c>
    </row>
    <row r="591" spans="3:20">
      <c r="C591" s="48">
        <f t="shared" si="55"/>
        <v>42454</v>
      </c>
      <c r="E591">
        <f t="shared" si="61"/>
        <v>93</v>
      </c>
      <c r="F591" s="3">
        <f t="shared" si="56"/>
        <v>7.4714710743801724</v>
      </c>
      <c r="G591" s="3"/>
      <c r="J591">
        <f t="shared" si="62"/>
        <v>5.152892561983446</v>
      </c>
      <c r="K591" s="3">
        <f t="shared" si="57"/>
        <v>12.624363636363618</v>
      </c>
      <c r="O591" s="3">
        <f t="shared" si="58"/>
        <v>2.8287768595041367</v>
      </c>
      <c r="Q591" s="3">
        <f t="shared" si="59"/>
        <v>2.9486115702479347</v>
      </c>
      <c r="S591" s="7">
        <f t="shared" si="54"/>
        <v>0.25165289256197587</v>
      </c>
      <c r="T591" s="3">
        <f t="shared" si="60"/>
        <v>3.0804297520661126</v>
      </c>
    </row>
    <row r="592" spans="3:20">
      <c r="C592" s="48">
        <f t="shared" si="55"/>
        <v>42461</v>
      </c>
      <c r="E592">
        <f t="shared" si="61"/>
        <v>92</v>
      </c>
      <c r="F592" s="3">
        <f t="shared" si="56"/>
        <v>7.4706942148760405</v>
      </c>
      <c r="G592" s="3"/>
      <c r="J592">
        <f t="shared" si="62"/>
        <v>5.3305785123966682</v>
      </c>
      <c r="K592" s="3">
        <f t="shared" si="57"/>
        <v>12.801272727272709</v>
      </c>
      <c r="O592" s="3">
        <f t="shared" si="58"/>
        <v>2.8333553719008311</v>
      </c>
      <c r="Q592" s="3">
        <f t="shared" si="59"/>
        <v>2.9573223140495877</v>
      </c>
      <c r="S592" s="7">
        <f t="shared" si="54"/>
        <v>0.26033057851238883</v>
      </c>
      <c r="T592" s="3">
        <f t="shared" si="60"/>
        <v>3.0936859504132199</v>
      </c>
    </row>
    <row r="593" spans="3:20">
      <c r="C593" s="48">
        <f t="shared" si="55"/>
        <v>42468</v>
      </c>
      <c r="E593">
        <f t="shared" si="61"/>
        <v>91</v>
      </c>
      <c r="F593" s="3">
        <f t="shared" si="56"/>
        <v>7.4699173553719085</v>
      </c>
      <c r="G593" s="3"/>
      <c r="J593">
        <f t="shared" si="62"/>
        <v>5.5082644628098905</v>
      </c>
      <c r="K593" s="3">
        <f t="shared" si="57"/>
        <v>12.978181818181799</v>
      </c>
      <c r="O593" s="3">
        <f t="shared" si="58"/>
        <v>2.8379338842975255</v>
      </c>
      <c r="Q593" s="3">
        <f t="shared" si="59"/>
        <v>2.9660330578512406</v>
      </c>
      <c r="S593" s="7">
        <f t="shared" si="54"/>
        <v>0.26900826446280179</v>
      </c>
      <c r="T593" s="3">
        <f t="shared" si="60"/>
        <v>3.1069421487603273</v>
      </c>
    </row>
    <row r="594" spans="3:20">
      <c r="C594" s="48">
        <f t="shared" si="55"/>
        <v>42475</v>
      </c>
      <c r="E594">
        <f t="shared" si="61"/>
        <v>90</v>
      </c>
      <c r="F594" s="3">
        <f t="shared" si="56"/>
        <v>7.4691404958677765</v>
      </c>
      <c r="G594" s="3"/>
      <c r="J594">
        <f t="shared" si="62"/>
        <v>5.6859504132231127</v>
      </c>
      <c r="K594" s="3">
        <f t="shared" si="57"/>
        <v>13.155090909090889</v>
      </c>
      <c r="O594" s="3">
        <f t="shared" si="58"/>
        <v>2.8425123966942198</v>
      </c>
      <c r="Q594" s="3">
        <f t="shared" si="59"/>
        <v>2.9747438016528935</v>
      </c>
      <c r="S594" s="7">
        <f t="shared" ref="S594:S625" si="63">T594-O594</f>
        <v>0.27768595041321475</v>
      </c>
      <c r="T594" s="3">
        <f t="shared" si="60"/>
        <v>3.1201983471074346</v>
      </c>
    </row>
    <row r="595" spans="3:20">
      <c r="C595" s="48">
        <f t="shared" si="55"/>
        <v>42482</v>
      </c>
      <c r="E595">
        <f t="shared" si="61"/>
        <v>89</v>
      </c>
      <c r="F595" s="3">
        <f t="shared" ref="F595:F626" si="64">F594+$G$563</f>
        <v>7.4683636363636445</v>
      </c>
      <c r="G595" s="3"/>
      <c r="J595">
        <f t="shared" si="62"/>
        <v>5.8636363636363349</v>
      </c>
      <c r="K595" s="3">
        <f t="shared" ref="K595:K626" si="65">$L$563+K594</f>
        <v>13.331999999999979</v>
      </c>
      <c r="O595" s="3">
        <f t="shared" ref="O595:O626" si="66">O594+$P$563</f>
        <v>2.8470909090909142</v>
      </c>
      <c r="Q595" s="3">
        <f t="shared" ref="Q595:Q626" si="67">Q594+$R$563</f>
        <v>2.9834545454545465</v>
      </c>
      <c r="S595" s="7">
        <f t="shared" si="63"/>
        <v>0.28636363636362772</v>
      </c>
      <c r="T595" s="3">
        <f t="shared" ref="T595:T626" si="68">T594+$U$563</f>
        <v>3.1334545454545419</v>
      </c>
    </row>
    <row r="596" spans="3:20">
      <c r="C596" s="48">
        <f t="shared" si="55"/>
        <v>42489</v>
      </c>
      <c r="E596">
        <f t="shared" ref="E596:E627" si="69">E595-1</f>
        <v>88</v>
      </c>
      <c r="F596" s="3">
        <f t="shared" si="64"/>
        <v>7.4675867768595126</v>
      </c>
      <c r="G596" s="3"/>
      <c r="J596">
        <f t="shared" si="62"/>
        <v>6.0413223140495571</v>
      </c>
      <c r="K596" s="3">
        <f t="shared" si="65"/>
        <v>13.50890909090907</v>
      </c>
      <c r="O596" s="3">
        <f t="shared" si="66"/>
        <v>2.8516694214876086</v>
      </c>
      <c r="Q596" s="3">
        <f t="shared" si="67"/>
        <v>2.9921652892561994</v>
      </c>
      <c r="S596" s="7">
        <f t="shared" si="63"/>
        <v>0.29504132231404068</v>
      </c>
      <c r="T596" s="3">
        <f t="shared" si="68"/>
        <v>3.1467107438016493</v>
      </c>
    </row>
    <row r="597" spans="3:20">
      <c r="C597" s="48">
        <f t="shared" si="55"/>
        <v>42496</v>
      </c>
      <c r="E597">
        <f t="shared" si="69"/>
        <v>87</v>
      </c>
      <c r="F597" s="3">
        <f t="shared" si="64"/>
        <v>7.4668099173553806</v>
      </c>
      <c r="G597" s="3"/>
      <c r="J597">
        <f t="shared" si="62"/>
        <v>6.2190082644627793</v>
      </c>
      <c r="K597" s="3">
        <f t="shared" si="65"/>
        <v>13.68581818181816</v>
      </c>
      <c r="O597" s="3">
        <f t="shared" si="66"/>
        <v>2.856247933884303</v>
      </c>
      <c r="Q597" s="3">
        <f t="shared" si="67"/>
        <v>3.0008760330578523</v>
      </c>
      <c r="S597" s="7">
        <f t="shared" si="63"/>
        <v>0.30371900826445364</v>
      </c>
      <c r="T597" s="3">
        <f t="shared" si="68"/>
        <v>3.1599669421487566</v>
      </c>
    </row>
    <row r="598" spans="3:20">
      <c r="C598" s="48">
        <f t="shared" si="55"/>
        <v>42503</v>
      </c>
      <c r="E598">
        <f t="shared" si="69"/>
        <v>86</v>
      </c>
      <c r="F598" s="3">
        <f t="shared" si="64"/>
        <v>7.4660330578512486</v>
      </c>
      <c r="G598" s="3"/>
      <c r="J598">
        <f t="shared" si="62"/>
        <v>6.3966942148760015</v>
      </c>
      <c r="K598" s="3">
        <f t="shared" si="65"/>
        <v>13.86272727272725</v>
      </c>
      <c r="O598" s="3">
        <f t="shared" si="66"/>
        <v>2.8608264462809974</v>
      </c>
      <c r="Q598" s="3">
        <f t="shared" si="67"/>
        <v>3.0095867768595053</v>
      </c>
      <c r="S598" s="7">
        <f t="shared" si="63"/>
        <v>0.3123966942148666</v>
      </c>
      <c r="T598" s="3">
        <f t="shared" si="68"/>
        <v>3.173223140495864</v>
      </c>
    </row>
    <row r="599" spans="3:20">
      <c r="C599" s="48">
        <f t="shared" si="55"/>
        <v>42510</v>
      </c>
      <c r="E599">
        <f t="shared" si="69"/>
        <v>85</v>
      </c>
      <c r="F599" s="3">
        <f t="shared" si="64"/>
        <v>7.4652561983471166</v>
      </c>
      <c r="G599" s="3"/>
      <c r="J599">
        <f t="shared" si="62"/>
        <v>6.5743801652892238</v>
      </c>
      <c r="K599" s="3">
        <f t="shared" si="65"/>
        <v>14.03963636363634</v>
      </c>
      <c r="O599" s="3">
        <f t="shared" si="66"/>
        <v>2.8654049586776917</v>
      </c>
      <c r="Q599" s="3">
        <f t="shared" si="67"/>
        <v>3.0182975206611582</v>
      </c>
      <c r="S599" s="7">
        <f t="shared" si="63"/>
        <v>0.32107438016527956</v>
      </c>
      <c r="T599" s="3">
        <f t="shared" si="68"/>
        <v>3.1864793388429713</v>
      </c>
    </row>
    <row r="600" spans="3:20">
      <c r="C600" s="48">
        <f t="shared" si="55"/>
        <v>42517</v>
      </c>
      <c r="E600">
        <f t="shared" si="69"/>
        <v>84</v>
      </c>
      <c r="F600" s="3">
        <f t="shared" si="64"/>
        <v>7.4644793388429846</v>
      </c>
      <c r="G600" s="3"/>
      <c r="J600">
        <f t="shared" si="62"/>
        <v>6.752066115702446</v>
      </c>
      <c r="K600" s="3">
        <f t="shared" si="65"/>
        <v>14.216545454545431</v>
      </c>
      <c r="O600" s="3">
        <f t="shared" si="66"/>
        <v>2.8699834710743861</v>
      </c>
      <c r="Q600" s="3">
        <f t="shared" si="67"/>
        <v>3.0270082644628111</v>
      </c>
      <c r="S600" s="7">
        <f t="shared" si="63"/>
        <v>0.32975206611569252</v>
      </c>
      <c r="T600" s="3">
        <f t="shared" si="68"/>
        <v>3.1997355371900786</v>
      </c>
    </row>
    <row r="601" spans="3:20">
      <c r="C601" s="48">
        <f t="shared" si="55"/>
        <v>42524</v>
      </c>
      <c r="E601">
        <f t="shared" si="69"/>
        <v>83</v>
      </c>
      <c r="F601" s="3">
        <f t="shared" si="64"/>
        <v>7.4637024793388527</v>
      </c>
      <c r="G601" s="3"/>
      <c r="J601">
        <f t="shared" si="62"/>
        <v>6.9297520661156682</v>
      </c>
      <c r="K601" s="3">
        <f t="shared" si="65"/>
        <v>14.393454545454521</v>
      </c>
      <c r="O601" s="3">
        <f t="shared" si="66"/>
        <v>2.8745619834710805</v>
      </c>
      <c r="Q601" s="3">
        <f t="shared" si="67"/>
        <v>3.0357190082644641</v>
      </c>
      <c r="S601" s="7">
        <f t="shared" si="63"/>
        <v>0.33842975206610548</v>
      </c>
      <c r="T601" s="3">
        <f t="shared" si="68"/>
        <v>3.212991735537186</v>
      </c>
    </row>
    <row r="602" spans="3:20">
      <c r="C602" s="48">
        <f t="shared" si="55"/>
        <v>42531</v>
      </c>
      <c r="E602">
        <f t="shared" si="69"/>
        <v>82</v>
      </c>
      <c r="F602" s="3">
        <f t="shared" si="64"/>
        <v>7.4629256198347207</v>
      </c>
      <c r="G602" s="3"/>
      <c r="J602">
        <f t="shared" si="62"/>
        <v>7.1074380165288904</v>
      </c>
      <c r="K602" s="3">
        <f t="shared" si="65"/>
        <v>14.570363636363611</v>
      </c>
      <c r="O602" s="3">
        <f t="shared" si="66"/>
        <v>2.8791404958677749</v>
      </c>
      <c r="Q602" s="3">
        <f t="shared" si="67"/>
        <v>3.044429752066117</v>
      </c>
      <c r="S602" s="7">
        <f t="shared" si="63"/>
        <v>0.34710743801651844</v>
      </c>
      <c r="T602" s="3">
        <f t="shared" si="68"/>
        <v>3.2262479338842933</v>
      </c>
    </row>
    <row r="603" spans="3:20">
      <c r="C603" s="48">
        <f t="shared" si="55"/>
        <v>42538</v>
      </c>
      <c r="E603">
        <f t="shared" si="69"/>
        <v>81</v>
      </c>
      <c r="F603" s="3">
        <f t="shared" si="64"/>
        <v>7.4621487603305887</v>
      </c>
      <c r="G603" s="3"/>
      <c r="J603">
        <f t="shared" si="62"/>
        <v>7.2851239669421126</v>
      </c>
      <c r="K603" s="3">
        <f t="shared" si="65"/>
        <v>14.747272727272701</v>
      </c>
      <c r="O603" s="3">
        <f t="shared" si="66"/>
        <v>2.8837190082644693</v>
      </c>
      <c r="Q603" s="3">
        <f t="shared" si="67"/>
        <v>3.0531404958677699</v>
      </c>
      <c r="S603" s="7">
        <f t="shared" si="63"/>
        <v>0.3557851239669314</v>
      </c>
      <c r="T603" s="3">
        <f t="shared" si="68"/>
        <v>3.2395041322314007</v>
      </c>
    </row>
    <row r="604" spans="3:20">
      <c r="C604" s="48">
        <f t="shared" si="55"/>
        <v>42545</v>
      </c>
      <c r="E604">
        <f t="shared" si="69"/>
        <v>80</v>
      </c>
      <c r="F604" s="3">
        <f t="shared" si="64"/>
        <v>7.4613719008264567</v>
      </c>
      <c r="G604" s="3"/>
      <c r="J604">
        <f t="shared" si="62"/>
        <v>7.4628099173553348</v>
      </c>
      <c r="K604" s="3">
        <f t="shared" si="65"/>
        <v>14.924181818181792</v>
      </c>
      <c r="O604" s="3">
        <f t="shared" si="66"/>
        <v>2.8882975206611636</v>
      </c>
      <c r="Q604" s="3">
        <f t="shared" si="67"/>
        <v>3.0618512396694229</v>
      </c>
      <c r="S604" s="7">
        <f t="shared" si="63"/>
        <v>0.36446280991734437</v>
      </c>
      <c r="T604" s="3">
        <f t="shared" si="68"/>
        <v>3.252760330578508</v>
      </c>
    </row>
    <row r="605" spans="3:20">
      <c r="C605" s="48">
        <f t="shared" si="55"/>
        <v>42552</v>
      </c>
      <c r="E605">
        <f t="shared" si="69"/>
        <v>79</v>
      </c>
      <c r="F605" s="3">
        <f t="shared" si="64"/>
        <v>7.4605950413223248</v>
      </c>
      <c r="G605" s="3"/>
      <c r="J605">
        <f t="shared" si="62"/>
        <v>7.640495867768557</v>
      </c>
      <c r="K605" s="3">
        <f t="shared" si="65"/>
        <v>15.101090909090882</v>
      </c>
      <c r="O605" s="3">
        <f t="shared" si="66"/>
        <v>2.892876033057858</v>
      </c>
      <c r="Q605" s="3">
        <f t="shared" si="67"/>
        <v>3.0705619834710758</v>
      </c>
      <c r="S605" s="7">
        <f t="shared" si="63"/>
        <v>0.37314049586775733</v>
      </c>
      <c r="T605" s="3">
        <f t="shared" si="68"/>
        <v>3.2660165289256153</v>
      </c>
    </row>
    <row r="606" spans="3:20">
      <c r="C606" s="48">
        <f t="shared" si="55"/>
        <v>42559</v>
      </c>
      <c r="E606">
        <f t="shared" si="69"/>
        <v>78</v>
      </c>
      <c r="F606" s="3">
        <f t="shared" si="64"/>
        <v>7.4598181818181928</v>
      </c>
      <c r="G606" s="3"/>
      <c r="J606">
        <f t="shared" si="62"/>
        <v>7.8181818181817793</v>
      </c>
      <c r="K606" s="3">
        <f t="shared" si="65"/>
        <v>15.277999999999972</v>
      </c>
      <c r="O606" s="3">
        <f t="shared" si="66"/>
        <v>2.8974545454545524</v>
      </c>
      <c r="Q606" s="3">
        <f t="shared" si="67"/>
        <v>3.0792727272727287</v>
      </c>
      <c r="S606" s="7">
        <f t="shared" si="63"/>
        <v>0.38181818181817029</v>
      </c>
      <c r="T606" s="3">
        <f t="shared" si="68"/>
        <v>3.2792727272727227</v>
      </c>
    </row>
    <row r="607" spans="3:20">
      <c r="C607" s="48">
        <f t="shared" si="55"/>
        <v>42566</v>
      </c>
      <c r="E607">
        <f t="shared" si="69"/>
        <v>77</v>
      </c>
      <c r="F607" s="3">
        <f t="shared" si="64"/>
        <v>7.4590413223140608</v>
      </c>
      <c r="G607" s="3"/>
      <c r="J607">
        <f t="shared" si="62"/>
        <v>7.9958677685950015</v>
      </c>
      <c r="K607" s="3">
        <f t="shared" si="65"/>
        <v>15.454909090909062</v>
      </c>
      <c r="O607" s="3">
        <f t="shared" si="66"/>
        <v>2.9020330578512468</v>
      </c>
      <c r="Q607" s="3">
        <f t="shared" si="67"/>
        <v>3.0879834710743816</v>
      </c>
      <c r="S607" s="7">
        <f t="shared" si="63"/>
        <v>0.39049586776858325</v>
      </c>
      <c r="T607" s="3">
        <f t="shared" si="68"/>
        <v>3.29252892561983</v>
      </c>
    </row>
    <row r="608" spans="3:20">
      <c r="C608" s="48">
        <f t="shared" si="55"/>
        <v>42573</v>
      </c>
      <c r="E608">
        <f t="shared" si="69"/>
        <v>76</v>
      </c>
      <c r="F608" s="3">
        <f t="shared" si="64"/>
        <v>7.4582644628099288</v>
      </c>
      <c r="G608" s="3"/>
      <c r="J608">
        <f t="shared" si="62"/>
        <v>8.1735537190082237</v>
      </c>
      <c r="K608" s="3">
        <f t="shared" si="65"/>
        <v>15.631818181818153</v>
      </c>
      <c r="O608" s="3">
        <f t="shared" si="66"/>
        <v>2.9066115702479411</v>
      </c>
      <c r="Q608" s="3">
        <f t="shared" si="67"/>
        <v>3.0966942148760346</v>
      </c>
      <c r="S608" s="7">
        <f t="shared" si="63"/>
        <v>0.39917355371899621</v>
      </c>
      <c r="T608" s="3">
        <f t="shared" si="68"/>
        <v>3.3057851239669374</v>
      </c>
    </row>
    <row r="609" spans="3:20">
      <c r="C609" s="48">
        <f t="shared" si="55"/>
        <v>42580</v>
      </c>
      <c r="E609">
        <f t="shared" si="69"/>
        <v>75</v>
      </c>
      <c r="F609" s="3">
        <f t="shared" si="64"/>
        <v>7.4574876033057969</v>
      </c>
      <c r="G609" s="3"/>
      <c r="J609">
        <f t="shared" si="62"/>
        <v>8.3512396694214459</v>
      </c>
      <c r="K609" s="3">
        <f t="shared" si="65"/>
        <v>15.808727272727243</v>
      </c>
      <c r="O609" s="3">
        <f t="shared" si="66"/>
        <v>2.9111900826446355</v>
      </c>
      <c r="Q609" s="3">
        <f t="shared" si="67"/>
        <v>3.1054049586776875</v>
      </c>
      <c r="S609" s="7">
        <f t="shared" si="63"/>
        <v>0.40785123966940917</v>
      </c>
      <c r="T609" s="3">
        <f t="shared" si="68"/>
        <v>3.3190413223140447</v>
      </c>
    </row>
    <row r="610" spans="3:20">
      <c r="C610" s="48">
        <f t="shared" si="55"/>
        <v>42587</v>
      </c>
      <c r="E610">
        <f t="shared" si="69"/>
        <v>74</v>
      </c>
      <c r="F610" s="3">
        <f t="shared" si="64"/>
        <v>7.4567107438016649</v>
      </c>
      <c r="G610" s="3"/>
      <c r="J610">
        <f t="shared" si="62"/>
        <v>8.5289256198346681</v>
      </c>
      <c r="K610" s="3">
        <f t="shared" si="65"/>
        <v>15.985636363636333</v>
      </c>
      <c r="O610" s="3">
        <f t="shared" si="66"/>
        <v>2.9157685950413299</v>
      </c>
      <c r="Q610" s="3">
        <f t="shared" si="67"/>
        <v>3.1141157024793404</v>
      </c>
      <c r="S610" s="7">
        <f t="shared" si="63"/>
        <v>0.41652892561982213</v>
      </c>
      <c r="T610" s="3">
        <f t="shared" si="68"/>
        <v>3.332297520661152</v>
      </c>
    </row>
    <row r="611" spans="3:20">
      <c r="C611" s="48">
        <f t="shared" si="55"/>
        <v>42594</v>
      </c>
      <c r="E611">
        <f t="shared" si="69"/>
        <v>73</v>
      </c>
      <c r="F611" s="3">
        <f t="shared" si="64"/>
        <v>7.4559338842975329</v>
      </c>
      <c r="G611" s="3"/>
      <c r="J611">
        <f t="shared" si="62"/>
        <v>8.7066115702478903</v>
      </c>
      <c r="K611" s="3">
        <f t="shared" si="65"/>
        <v>16.162545454545423</v>
      </c>
      <c r="O611" s="3">
        <f t="shared" si="66"/>
        <v>2.9203471074380243</v>
      </c>
      <c r="Q611" s="3">
        <f t="shared" si="67"/>
        <v>3.1228264462809934</v>
      </c>
      <c r="S611" s="7">
        <f t="shared" si="63"/>
        <v>0.42520661157023509</v>
      </c>
      <c r="T611" s="3">
        <f t="shared" si="68"/>
        <v>3.3455537190082594</v>
      </c>
    </row>
    <row r="612" spans="3:20">
      <c r="C612" s="48">
        <f t="shared" si="55"/>
        <v>42601</v>
      </c>
      <c r="E612">
        <f t="shared" si="69"/>
        <v>72</v>
      </c>
      <c r="F612" s="3">
        <f t="shared" si="64"/>
        <v>7.4551570247934009</v>
      </c>
      <c r="G612" s="3"/>
      <c r="J612">
        <f t="shared" si="62"/>
        <v>8.8842975206611143</v>
      </c>
      <c r="K612" s="3">
        <f t="shared" si="65"/>
        <v>16.339454545454515</v>
      </c>
      <c r="O612" s="3">
        <f t="shared" si="66"/>
        <v>2.9249256198347187</v>
      </c>
      <c r="Q612" s="3">
        <f t="shared" si="67"/>
        <v>3.1315371900826463</v>
      </c>
      <c r="S612" s="7">
        <f t="shared" si="63"/>
        <v>0.43388429752064805</v>
      </c>
      <c r="T612" s="3">
        <f t="shared" si="68"/>
        <v>3.3588099173553667</v>
      </c>
    </row>
    <row r="613" spans="3:20">
      <c r="C613" s="48">
        <f t="shared" si="55"/>
        <v>42608</v>
      </c>
      <c r="E613">
        <f t="shared" si="69"/>
        <v>71</v>
      </c>
      <c r="F613" s="3">
        <f t="shared" si="64"/>
        <v>7.4543801652892689</v>
      </c>
      <c r="G613" s="3"/>
      <c r="J613">
        <f t="shared" si="62"/>
        <v>9.0619834710743383</v>
      </c>
      <c r="K613" s="3">
        <f t="shared" si="65"/>
        <v>16.516363636363607</v>
      </c>
      <c r="O613" s="3">
        <f t="shared" si="66"/>
        <v>2.929504132231413</v>
      </c>
      <c r="Q613" s="3">
        <f t="shared" si="67"/>
        <v>3.1402479338842992</v>
      </c>
      <c r="S613" s="7">
        <f t="shared" si="63"/>
        <v>0.44256198347106102</v>
      </c>
      <c r="T613" s="3">
        <f t="shared" si="68"/>
        <v>3.3720661157024741</v>
      </c>
    </row>
    <row r="614" spans="3:20">
      <c r="C614" s="48">
        <f t="shared" si="55"/>
        <v>42615</v>
      </c>
      <c r="E614">
        <f t="shared" si="69"/>
        <v>70</v>
      </c>
      <c r="F614" s="3">
        <f t="shared" si="64"/>
        <v>7.453603305785137</v>
      </c>
      <c r="G614" s="3"/>
      <c r="J614">
        <f t="shared" si="62"/>
        <v>9.2396694214875623</v>
      </c>
      <c r="K614" s="3">
        <f t="shared" si="65"/>
        <v>16.693272727272699</v>
      </c>
      <c r="O614" s="3">
        <f t="shared" si="66"/>
        <v>2.9340826446281074</v>
      </c>
      <c r="Q614" s="3">
        <f t="shared" si="67"/>
        <v>3.1489586776859522</v>
      </c>
      <c r="S614" s="7">
        <f t="shared" si="63"/>
        <v>0.45123966942147398</v>
      </c>
      <c r="T614" s="3">
        <f t="shared" si="68"/>
        <v>3.3853223140495814</v>
      </c>
    </row>
    <row r="615" spans="3:20">
      <c r="C615" s="48">
        <f t="shared" si="55"/>
        <v>42622</v>
      </c>
      <c r="E615">
        <f t="shared" si="69"/>
        <v>69</v>
      </c>
      <c r="F615" s="3">
        <f t="shared" si="64"/>
        <v>7.452826446281005</v>
      </c>
      <c r="G615" s="3"/>
      <c r="J615">
        <f t="shared" si="62"/>
        <v>9.4173553719007863</v>
      </c>
      <c r="K615" s="3">
        <f t="shared" si="65"/>
        <v>16.870181818181791</v>
      </c>
      <c r="O615" s="3">
        <f t="shared" si="66"/>
        <v>2.9386611570248018</v>
      </c>
      <c r="Q615" s="3">
        <f t="shared" si="67"/>
        <v>3.1576694214876051</v>
      </c>
      <c r="S615" s="7">
        <f t="shared" si="63"/>
        <v>0.45991735537188694</v>
      </c>
      <c r="T615" s="3">
        <f t="shared" si="68"/>
        <v>3.3985785123966887</v>
      </c>
    </row>
    <row r="616" spans="3:20">
      <c r="C616" s="48">
        <f t="shared" si="55"/>
        <v>42629</v>
      </c>
      <c r="E616">
        <f t="shared" si="69"/>
        <v>68</v>
      </c>
      <c r="F616" s="3">
        <f t="shared" si="64"/>
        <v>7.452049586776873</v>
      </c>
      <c r="G616" s="3"/>
      <c r="J616">
        <f t="shared" si="62"/>
        <v>9.5950413223140103</v>
      </c>
      <c r="K616" s="3">
        <f t="shared" si="65"/>
        <v>17.047090909090883</v>
      </c>
      <c r="O616" s="3">
        <f t="shared" si="66"/>
        <v>2.9432396694214962</v>
      </c>
      <c r="Q616" s="3">
        <f t="shared" si="67"/>
        <v>3.166380165289258</v>
      </c>
      <c r="S616" s="7">
        <f t="shared" si="63"/>
        <v>0.4685950413222999</v>
      </c>
      <c r="T616" s="3">
        <f t="shared" si="68"/>
        <v>3.4118347107437961</v>
      </c>
    </row>
    <row r="617" spans="3:20">
      <c r="C617" s="48">
        <f t="shared" si="55"/>
        <v>42636</v>
      </c>
      <c r="E617">
        <f t="shared" si="69"/>
        <v>67</v>
      </c>
      <c r="F617" s="3">
        <f t="shared" si="64"/>
        <v>7.451272727272741</v>
      </c>
      <c r="G617" s="3"/>
      <c r="J617">
        <f t="shared" si="62"/>
        <v>9.7727272727272343</v>
      </c>
      <c r="K617" s="3">
        <f t="shared" si="65"/>
        <v>17.223999999999975</v>
      </c>
      <c r="O617" s="3">
        <f t="shared" si="66"/>
        <v>2.9478181818181906</v>
      </c>
      <c r="Q617" s="3">
        <f t="shared" si="67"/>
        <v>3.175090909090911</v>
      </c>
      <c r="S617" s="7">
        <f t="shared" si="63"/>
        <v>0.47727272727271286</v>
      </c>
      <c r="T617" s="3">
        <f t="shared" si="68"/>
        <v>3.4250909090909034</v>
      </c>
    </row>
    <row r="618" spans="3:20">
      <c r="C618" s="48">
        <f t="shared" si="55"/>
        <v>42643</v>
      </c>
      <c r="E618">
        <f t="shared" si="69"/>
        <v>66</v>
      </c>
      <c r="F618" s="3">
        <f t="shared" si="64"/>
        <v>7.4504958677686091</v>
      </c>
      <c r="G618" s="3"/>
      <c r="J618">
        <f t="shared" si="62"/>
        <v>9.9504132231404583</v>
      </c>
      <c r="K618" s="3">
        <f t="shared" si="65"/>
        <v>17.400909090909067</v>
      </c>
      <c r="O618" s="3">
        <f t="shared" si="66"/>
        <v>2.9523966942148849</v>
      </c>
      <c r="Q618" s="3">
        <f t="shared" si="67"/>
        <v>3.1838016528925639</v>
      </c>
      <c r="S618" s="7">
        <f t="shared" si="63"/>
        <v>0.48595041322312582</v>
      </c>
      <c r="T618" s="3">
        <f t="shared" si="68"/>
        <v>3.4383471074380108</v>
      </c>
    </row>
    <row r="619" spans="3:20">
      <c r="C619" s="48">
        <f t="shared" si="55"/>
        <v>42650</v>
      </c>
      <c r="E619">
        <f t="shared" si="69"/>
        <v>65</v>
      </c>
      <c r="F619" s="3">
        <f t="shared" si="64"/>
        <v>7.4497190082644771</v>
      </c>
      <c r="G619" s="3"/>
      <c r="J619">
        <f t="shared" si="62"/>
        <v>10.128099173553682</v>
      </c>
      <c r="K619" s="3">
        <f t="shared" si="65"/>
        <v>17.577818181818159</v>
      </c>
      <c r="O619" s="3">
        <f t="shared" si="66"/>
        <v>2.9569752066115793</v>
      </c>
      <c r="Q619" s="3">
        <f t="shared" si="67"/>
        <v>3.1925123966942168</v>
      </c>
      <c r="S619" s="7">
        <f t="shared" si="63"/>
        <v>0.49462809917353878</v>
      </c>
      <c r="T619" s="3">
        <f t="shared" si="68"/>
        <v>3.4516033057851181</v>
      </c>
    </row>
    <row r="620" spans="3:20">
      <c r="C620" s="48">
        <f t="shared" si="55"/>
        <v>42657</v>
      </c>
      <c r="E620">
        <f t="shared" si="69"/>
        <v>64</v>
      </c>
      <c r="F620" s="3">
        <f t="shared" si="64"/>
        <v>7.4489421487603451</v>
      </c>
      <c r="G620" s="3"/>
      <c r="J620">
        <f t="shared" si="62"/>
        <v>10.305785123966906</v>
      </c>
      <c r="K620" s="3">
        <f t="shared" si="65"/>
        <v>17.754727272727251</v>
      </c>
      <c r="O620" s="3">
        <f t="shared" si="66"/>
        <v>2.9615537190082737</v>
      </c>
      <c r="Q620" s="3">
        <f t="shared" si="67"/>
        <v>3.2012231404958698</v>
      </c>
      <c r="S620" s="7">
        <f t="shared" si="63"/>
        <v>0.50330578512395174</v>
      </c>
      <c r="T620" s="3">
        <f t="shared" si="68"/>
        <v>3.4648595041322254</v>
      </c>
    </row>
    <row r="621" spans="3:20">
      <c r="C621" s="48">
        <f t="shared" si="55"/>
        <v>42664</v>
      </c>
      <c r="E621">
        <f t="shared" si="69"/>
        <v>63</v>
      </c>
      <c r="F621" s="3">
        <f t="shared" si="64"/>
        <v>7.4481652892562131</v>
      </c>
      <c r="G621" s="3"/>
      <c r="J621">
        <f t="shared" si="62"/>
        <v>10.48347107438013</v>
      </c>
      <c r="K621" s="3">
        <f t="shared" si="65"/>
        <v>17.931636363636343</v>
      </c>
      <c r="O621" s="3">
        <f t="shared" si="66"/>
        <v>2.9661322314049681</v>
      </c>
      <c r="Q621" s="3">
        <f t="shared" si="67"/>
        <v>3.2099338842975227</v>
      </c>
      <c r="S621" s="7">
        <f t="shared" si="63"/>
        <v>0.5119834710743647</v>
      </c>
      <c r="T621" s="3">
        <f t="shared" si="68"/>
        <v>3.4781157024793328</v>
      </c>
    </row>
    <row r="622" spans="3:20">
      <c r="C622" s="48">
        <f t="shared" si="55"/>
        <v>42671</v>
      </c>
      <c r="E622">
        <f t="shared" si="69"/>
        <v>62</v>
      </c>
      <c r="F622" s="3">
        <f t="shared" si="64"/>
        <v>7.4473884297520812</v>
      </c>
      <c r="G622" s="3"/>
      <c r="J622">
        <f t="shared" si="62"/>
        <v>10.661157024793354</v>
      </c>
      <c r="K622" s="3">
        <f t="shared" si="65"/>
        <v>18.108545454545435</v>
      </c>
      <c r="O622" s="3">
        <f t="shared" si="66"/>
        <v>2.9707107438016624</v>
      </c>
      <c r="Q622" s="3">
        <f t="shared" si="67"/>
        <v>3.2186446280991756</v>
      </c>
      <c r="S622" s="7">
        <f t="shared" si="63"/>
        <v>0.52066115702477767</v>
      </c>
      <c r="T622" s="3">
        <f t="shared" si="68"/>
        <v>3.4913719008264401</v>
      </c>
    </row>
    <row r="623" spans="3:20">
      <c r="C623" s="48">
        <f t="shared" si="55"/>
        <v>42678</v>
      </c>
      <c r="E623">
        <f t="shared" si="69"/>
        <v>61</v>
      </c>
      <c r="F623" s="3">
        <f t="shared" si="64"/>
        <v>7.4466115702479492</v>
      </c>
      <c r="G623" s="3"/>
      <c r="J623">
        <f t="shared" si="62"/>
        <v>10.838842975206578</v>
      </c>
      <c r="K623" s="3">
        <f t="shared" si="65"/>
        <v>18.285454545454527</v>
      </c>
      <c r="O623" s="3">
        <f t="shared" si="66"/>
        <v>2.9752892561983568</v>
      </c>
      <c r="Q623" s="3">
        <f t="shared" si="67"/>
        <v>3.2273553719008286</v>
      </c>
      <c r="S623" s="7">
        <f t="shared" si="63"/>
        <v>0.52933884297519063</v>
      </c>
      <c r="T623" s="3">
        <f t="shared" si="68"/>
        <v>3.5046280991735475</v>
      </c>
    </row>
    <row r="624" spans="3:20">
      <c r="C624" s="48">
        <f t="shared" si="55"/>
        <v>42685</v>
      </c>
      <c r="E624">
        <f t="shared" si="69"/>
        <v>60</v>
      </c>
      <c r="F624" s="3">
        <f t="shared" si="64"/>
        <v>7.4458347107438172</v>
      </c>
      <c r="G624" s="3"/>
      <c r="J624">
        <f t="shared" si="62"/>
        <v>11.016528925619802</v>
      </c>
      <c r="K624" s="3">
        <f t="shared" si="65"/>
        <v>18.462363636363619</v>
      </c>
      <c r="O624" s="3">
        <f t="shared" si="66"/>
        <v>2.9798677685950512</v>
      </c>
      <c r="Q624" s="3">
        <f t="shared" si="67"/>
        <v>3.2360661157024815</v>
      </c>
      <c r="S624" s="7">
        <f t="shared" si="63"/>
        <v>0.53801652892560359</v>
      </c>
      <c r="T624" s="3">
        <f t="shared" si="68"/>
        <v>3.5178842975206548</v>
      </c>
    </row>
    <row r="625" spans="3:20">
      <c r="C625" s="48">
        <f t="shared" si="55"/>
        <v>42692</v>
      </c>
      <c r="E625">
        <f t="shared" si="69"/>
        <v>59</v>
      </c>
      <c r="F625" s="3">
        <f t="shared" si="64"/>
        <v>7.4450578512396852</v>
      </c>
      <c r="G625" s="3"/>
      <c r="J625">
        <f t="shared" si="62"/>
        <v>11.194214876033026</v>
      </c>
      <c r="K625" s="3">
        <f t="shared" si="65"/>
        <v>18.639272727272711</v>
      </c>
      <c r="O625" s="3">
        <f t="shared" si="66"/>
        <v>2.9844462809917456</v>
      </c>
      <c r="Q625" s="3">
        <f t="shared" si="67"/>
        <v>3.2447768595041344</v>
      </c>
      <c r="S625" s="7">
        <f t="shared" si="63"/>
        <v>0.54669421487601655</v>
      </c>
      <c r="T625" s="3">
        <f t="shared" si="68"/>
        <v>3.5311404958677621</v>
      </c>
    </row>
    <row r="626" spans="3:20">
      <c r="C626" s="48">
        <f t="shared" si="55"/>
        <v>42699</v>
      </c>
      <c r="E626">
        <f t="shared" si="69"/>
        <v>58</v>
      </c>
      <c r="F626" s="3">
        <f t="shared" si="64"/>
        <v>7.4442809917355532</v>
      </c>
      <c r="G626" s="3"/>
      <c r="J626">
        <f t="shared" si="62"/>
        <v>11.37190082644625</v>
      </c>
      <c r="K626" s="3">
        <f t="shared" si="65"/>
        <v>18.816181818181803</v>
      </c>
      <c r="O626" s="3">
        <f t="shared" si="66"/>
        <v>2.98902479338844</v>
      </c>
      <c r="Q626" s="3">
        <f t="shared" si="67"/>
        <v>3.2534876033057873</v>
      </c>
      <c r="S626" s="7">
        <f t="shared" ref="S626:S657" si="70">T626-O626</f>
        <v>0.55537190082642951</v>
      </c>
      <c r="T626" s="3">
        <f t="shared" si="68"/>
        <v>3.5443966942148695</v>
      </c>
    </row>
    <row r="627" spans="3:20">
      <c r="C627" s="48">
        <f t="shared" ref="C627:C690" si="71">C626+7</f>
        <v>42706</v>
      </c>
      <c r="E627">
        <f t="shared" si="69"/>
        <v>57</v>
      </c>
      <c r="F627" s="3">
        <f t="shared" ref="F627:F658" si="72">F626+$G$563</f>
        <v>7.4435041322314213</v>
      </c>
      <c r="G627" s="3"/>
      <c r="J627">
        <f t="shared" si="62"/>
        <v>11.549586776859474</v>
      </c>
      <c r="K627" s="3">
        <f t="shared" ref="K627:K658" si="73">$L$563+K626</f>
        <v>18.993090909090895</v>
      </c>
      <c r="O627" s="3">
        <f t="shared" ref="O627:O658" si="74">O626+$P$563</f>
        <v>2.9936033057851343</v>
      </c>
      <c r="Q627" s="3">
        <f t="shared" ref="Q627:Q658" si="75">Q626+$R$563</f>
        <v>3.2621983471074403</v>
      </c>
      <c r="S627" s="7">
        <f t="shared" si="70"/>
        <v>0.56404958677684247</v>
      </c>
      <c r="T627" s="3">
        <f t="shared" ref="T627:T658" si="76">T626+$U$563</f>
        <v>3.5576528925619768</v>
      </c>
    </row>
    <row r="628" spans="3:20">
      <c r="C628" s="48">
        <f t="shared" si="71"/>
        <v>42713</v>
      </c>
      <c r="E628">
        <f t="shared" ref="E628:E659" si="77">E627-1</f>
        <v>56</v>
      </c>
      <c r="F628" s="3">
        <f t="shared" si="72"/>
        <v>7.4427272727272893</v>
      </c>
      <c r="G628" s="3"/>
      <c r="J628">
        <f t="shared" si="62"/>
        <v>11.727272727272698</v>
      </c>
      <c r="K628" s="3">
        <f t="shared" si="73"/>
        <v>19.169999999999987</v>
      </c>
      <c r="O628" s="3">
        <f t="shared" si="74"/>
        <v>2.9981818181818287</v>
      </c>
      <c r="Q628" s="3">
        <f t="shared" si="75"/>
        <v>3.2709090909090932</v>
      </c>
      <c r="S628" s="7">
        <f t="shared" si="70"/>
        <v>0.57272727272725543</v>
      </c>
      <c r="T628" s="3">
        <f t="shared" si="76"/>
        <v>3.5709090909090841</v>
      </c>
    </row>
    <row r="629" spans="3:20">
      <c r="C629" s="48">
        <f t="shared" si="71"/>
        <v>42720</v>
      </c>
      <c r="E629">
        <f t="shared" si="77"/>
        <v>55</v>
      </c>
      <c r="F629" s="3">
        <f t="shared" si="72"/>
        <v>7.4419504132231573</v>
      </c>
      <c r="G629" s="3"/>
      <c r="J629">
        <f t="shared" si="62"/>
        <v>11.904958677685922</v>
      </c>
      <c r="K629" s="3">
        <f t="shared" si="73"/>
        <v>19.34690909090908</v>
      </c>
      <c r="O629" s="3">
        <f t="shared" si="74"/>
        <v>3.0027603305785231</v>
      </c>
      <c r="Q629" s="3">
        <f t="shared" si="75"/>
        <v>3.2796198347107461</v>
      </c>
      <c r="S629" s="7">
        <f t="shared" si="70"/>
        <v>0.58140495867766839</v>
      </c>
      <c r="T629" s="3">
        <f t="shared" si="76"/>
        <v>3.5841652892561915</v>
      </c>
    </row>
    <row r="630" spans="3:20">
      <c r="C630" s="48">
        <f t="shared" si="71"/>
        <v>42727</v>
      </c>
      <c r="E630">
        <f t="shared" si="77"/>
        <v>54</v>
      </c>
      <c r="F630" s="3">
        <f t="shared" si="72"/>
        <v>7.4411735537190253</v>
      </c>
      <c r="G630" s="3"/>
      <c r="J630">
        <f t="shared" si="62"/>
        <v>12.082644628099146</v>
      </c>
      <c r="K630" s="3">
        <f t="shared" si="73"/>
        <v>19.523818181818172</v>
      </c>
      <c r="O630" s="3">
        <f t="shared" si="74"/>
        <v>3.0073388429752175</v>
      </c>
      <c r="Q630" s="3">
        <f t="shared" si="75"/>
        <v>3.2883305785123991</v>
      </c>
      <c r="S630" s="7">
        <f t="shared" si="70"/>
        <v>0.59008264462808135</v>
      </c>
      <c r="T630" s="3">
        <f t="shared" si="76"/>
        <v>3.5974214876032988</v>
      </c>
    </row>
    <row r="631" spans="3:20">
      <c r="C631" s="48">
        <f t="shared" si="71"/>
        <v>42734</v>
      </c>
      <c r="E631">
        <f t="shared" si="77"/>
        <v>53</v>
      </c>
      <c r="F631" s="3">
        <f t="shared" si="72"/>
        <v>7.4403966942148934</v>
      </c>
      <c r="G631" s="3"/>
      <c r="J631">
        <f t="shared" si="62"/>
        <v>12.26033057851237</v>
      </c>
      <c r="K631" s="3">
        <f t="shared" si="73"/>
        <v>19.700727272727264</v>
      </c>
      <c r="O631" s="3">
        <f t="shared" si="74"/>
        <v>3.0119173553719119</v>
      </c>
      <c r="Q631" s="3">
        <f t="shared" si="75"/>
        <v>3.297041322314052</v>
      </c>
      <c r="S631" s="7">
        <f t="shared" si="70"/>
        <v>0.59876033057849432</v>
      </c>
      <c r="T631" s="3">
        <f t="shared" si="76"/>
        <v>3.6106776859504062</v>
      </c>
    </row>
    <row r="632" spans="3:20">
      <c r="C632" s="48">
        <f t="shared" si="71"/>
        <v>42741</v>
      </c>
      <c r="E632">
        <f t="shared" si="77"/>
        <v>52</v>
      </c>
      <c r="F632" s="3">
        <f t="shared" si="72"/>
        <v>7.4396198347107614</v>
      </c>
      <c r="G632" s="3"/>
      <c r="J632">
        <f t="shared" si="62"/>
        <v>12.438016528925594</v>
      </c>
      <c r="K632" s="3">
        <f t="shared" si="73"/>
        <v>19.877636363636356</v>
      </c>
      <c r="O632" s="3">
        <f t="shared" si="74"/>
        <v>3.0164958677686062</v>
      </c>
      <c r="Q632" s="3">
        <f t="shared" si="75"/>
        <v>3.3057520661157049</v>
      </c>
      <c r="S632" s="7">
        <f t="shared" si="70"/>
        <v>0.60743801652890728</v>
      </c>
      <c r="T632" s="3">
        <f t="shared" si="76"/>
        <v>3.6239338842975135</v>
      </c>
    </row>
    <row r="633" spans="3:20">
      <c r="C633" s="48">
        <f t="shared" si="71"/>
        <v>42748</v>
      </c>
      <c r="E633">
        <f t="shared" si="77"/>
        <v>51</v>
      </c>
      <c r="F633" s="3">
        <f t="shared" si="72"/>
        <v>7.4388429752066294</v>
      </c>
      <c r="G633" s="3"/>
      <c r="J633">
        <f t="shared" si="62"/>
        <v>12.615702479338818</v>
      </c>
      <c r="K633" s="3">
        <f t="shared" si="73"/>
        <v>20.054545454545448</v>
      </c>
      <c r="O633" s="3">
        <f t="shared" si="74"/>
        <v>3.0210743801653006</v>
      </c>
      <c r="Q633" s="3">
        <f t="shared" si="75"/>
        <v>3.3144628099173579</v>
      </c>
      <c r="S633" s="7">
        <f t="shared" si="70"/>
        <v>0.61611570247932024</v>
      </c>
      <c r="T633" s="3">
        <f t="shared" si="76"/>
        <v>3.6371900826446208</v>
      </c>
    </row>
    <row r="634" spans="3:20">
      <c r="C634" s="48">
        <f t="shared" si="71"/>
        <v>42755</v>
      </c>
      <c r="E634">
        <f t="shared" si="77"/>
        <v>50</v>
      </c>
      <c r="F634" s="3">
        <f t="shared" si="72"/>
        <v>7.4380661157024974</v>
      </c>
      <c r="G634" s="3"/>
      <c r="J634">
        <f t="shared" si="62"/>
        <v>12.793388429752042</v>
      </c>
      <c r="K634" s="3">
        <f t="shared" si="73"/>
        <v>20.23145454545454</v>
      </c>
      <c r="O634" s="3">
        <f t="shared" si="74"/>
        <v>3.025652892561995</v>
      </c>
      <c r="Q634" s="3">
        <f t="shared" si="75"/>
        <v>3.3231735537190108</v>
      </c>
      <c r="S634" s="7">
        <f t="shared" si="70"/>
        <v>0.6247933884297332</v>
      </c>
      <c r="T634" s="3">
        <f t="shared" si="76"/>
        <v>3.6504462809917282</v>
      </c>
    </row>
    <row r="635" spans="3:20">
      <c r="C635" s="48">
        <f t="shared" si="71"/>
        <v>42762</v>
      </c>
      <c r="E635">
        <f t="shared" si="77"/>
        <v>49</v>
      </c>
      <c r="F635" s="3">
        <f t="shared" si="72"/>
        <v>7.4372892561983655</v>
      </c>
      <c r="G635" s="3"/>
      <c r="J635">
        <f t="shared" si="62"/>
        <v>12.971074380165266</v>
      </c>
      <c r="K635" s="3">
        <f t="shared" si="73"/>
        <v>20.408363636363632</v>
      </c>
      <c r="O635" s="3">
        <f t="shared" si="74"/>
        <v>3.0302314049586894</v>
      </c>
      <c r="Q635" s="3">
        <f t="shared" si="75"/>
        <v>3.3318842975206637</v>
      </c>
      <c r="S635" s="7">
        <f t="shared" si="70"/>
        <v>0.63347107438014616</v>
      </c>
      <c r="T635" s="3">
        <f t="shared" si="76"/>
        <v>3.6637024793388355</v>
      </c>
    </row>
    <row r="636" spans="3:20">
      <c r="C636" s="48">
        <f t="shared" si="71"/>
        <v>42769</v>
      </c>
      <c r="E636">
        <f t="shared" si="77"/>
        <v>48</v>
      </c>
      <c r="F636" s="3">
        <f t="shared" si="72"/>
        <v>7.4365123966942335</v>
      </c>
      <c r="G636" s="3"/>
      <c r="J636">
        <f t="shared" si="62"/>
        <v>13.14876033057849</v>
      </c>
      <c r="K636" s="3">
        <f t="shared" si="73"/>
        <v>20.585272727272724</v>
      </c>
      <c r="O636" s="3">
        <f t="shared" si="74"/>
        <v>3.0348099173553837</v>
      </c>
      <c r="Q636" s="3">
        <f t="shared" si="75"/>
        <v>3.3405950413223167</v>
      </c>
      <c r="S636" s="7">
        <f t="shared" si="70"/>
        <v>0.64214876033055912</v>
      </c>
      <c r="T636" s="3">
        <f t="shared" si="76"/>
        <v>3.6769586776859429</v>
      </c>
    </row>
    <row r="637" spans="3:20">
      <c r="C637" s="48">
        <f t="shared" si="71"/>
        <v>42776</v>
      </c>
      <c r="E637">
        <f t="shared" si="77"/>
        <v>47</v>
      </c>
      <c r="F637" s="3">
        <f t="shared" si="72"/>
        <v>7.4357355371901015</v>
      </c>
      <c r="G637" s="3"/>
      <c r="J637">
        <f t="shared" si="62"/>
        <v>13.326446280991714</v>
      </c>
      <c r="K637" s="3">
        <f t="shared" si="73"/>
        <v>20.762181818181816</v>
      </c>
      <c r="O637" s="3">
        <f t="shared" si="74"/>
        <v>3.0393884297520781</v>
      </c>
      <c r="Q637" s="3">
        <f t="shared" si="75"/>
        <v>3.3493057851239696</v>
      </c>
      <c r="S637" s="7">
        <f t="shared" si="70"/>
        <v>0.65082644628097208</v>
      </c>
      <c r="T637" s="3">
        <f t="shared" si="76"/>
        <v>3.6902148760330502</v>
      </c>
    </row>
    <row r="638" spans="3:20">
      <c r="C638" s="48">
        <f t="shared" si="71"/>
        <v>42783</v>
      </c>
      <c r="E638">
        <f t="shared" si="77"/>
        <v>46</v>
      </c>
      <c r="F638" s="3">
        <f t="shared" si="72"/>
        <v>7.4349586776859695</v>
      </c>
      <c r="G638" s="3"/>
      <c r="J638">
        <f t="shared" si="62"/>
        <v>13.504132231404938</v>
      </c>
      <c r="K638" s="3">
        <f t="shared" si="73"/>
        <v>20.939090909090908</v>
      </c>
      <c r="O638" s="3">
        <f t="shared" si="74"/>
        <v>3.0439669421487725</v>
      </c>
      <c r="Q638" s="3">
        <f t="shared" si="75"/>
        <v>3.3580165289256225</v>
      </c>
      <c r="S638" s="7">
        <f t="shared" si="70"/>
        <v>0.65950413223138504</v>
      </c>
      <c r="T638" s="3">
        <f t="shared" si="76"/>
        <v>3.7034710743801575</v>
      </c>
    </row>
    <row r="639" spans="3:20">
      <c r="C639" s="48">
        <f t="shared" si="71"/>
        <v>42790</v>
      </c>
      <c r="E639">
        <f t="shared" si="77"/>
        <v>45</v>
      </c>
      <c r="F639" s="3">
        <f t="shared" si="72"/>
        <v>7.4341818181818375</v>
      </c>
      <c r="G639" s="3"/>
      <c r="J639">
        <f t="shared" si="62"/>
        <v>13.681818181818162</v>
      </c>
      <c r="K639" s="3">
        <f t="shared" si="73"/>
        <v>21.116</v>
      </c>
      <c r="O639" s="3">
        <f t="shared" si="74"/>
        <v>3.0485454545454669</v>
      </c>
      <c r="Q639" s="3">
        <f t="shared" si="75"/>
        <v>3.3667272727272755</v>
      </c>
      <c r="S639" s="7">
        <f t="shared" si="70"/>
        <v>0.668181818181798</v>
      </c>
      <c r="T639" s="3">
        <f t="shared" si="76"/>
        <v>3.7167272727272649</v>
      </c>
    </row>
    <row r="640" spans="3:20">
      <c r="C640" s="48">
        <f t="shared" si="71"/>
        <v>42797</v>
      </c>
      <c r="E640">
        <f t="shared" si="77"/>
        <v>44</v>
      </c>
      <c r="F640" s="3">
        <f t="shared" si="72"/>
        <v>7.4334049586777056</v>
      </c>
      <c r="G640" s="3"/>
      <c r="J640">
        <f t="shared" si="62"/>
        <v>13.859504132231386</v>
      </c>
      <c r="K640" s="3">
        <f t="shared" si="73"/>
        <v>21.292909090909092</v>
      </c>
      <c r="O640" s="3">
        <f t="shared" si="74"/>
        <v>3.0531239669421613</v>
      </c>
      <c r="Q640" s="3">
        <f t="shared" si="75"/>
        <v>3.3754380165289284</v>
      </c>
      <c r="S640" s="7">
        <f t="shared" si="70"/>
        <v>0.67685950413221097</v>
      </c>
      <c r="T640" s="3">
        <f t="shared" si="76"/>
        <v>3.7299834710743722</v>
      </c>
    </row>
    <row r="641" spans="3:20">
      <c r="C641" s="48">
        <f t="shared" si="71"/>
        <v>42804</v>
      </c>
      <c r="E641">
        <f t="shared" si="77"/>
        <v>43</v>
      </c>
      <c r="F641" s="3">
        <f t="shared" si="72"/>
        <v>7.4326280991735736</v>
      </c>
      <c r="G641" s="3"/>
      <c r="J641">
        <f t="shared" si="62"/>
        <v>14.03719008264461</v>
      </c>
      <c r="K641" s="3">
        <f t="shared" si="73"/>
        <v>21.469818181818184</v>
      </c>
      <c r="O641" s="3">
        <f t="shared" si="74"/>
        <v>3.0577024793388556</v>
      </c>
      <c r="Q641" s="3">
        <f t="shared" si="75"/>
        <v>3.3841487603305813</v>
      </c>
      <c r="S641" s="7">
        <f t="shared" si="70"/>
        <v>0.68553719008262393</v>
      </c>
      <c r="T641" s="3">
        <f t="shared" si="76"/>
        <v>3.7432396694214796</v>
      </c>
    </row>
    <row r="642" spans="3:20">
      <c r="C642" s="48">
        <f t="shared" si="71"/>
        <v>42811</v>
      </c>
      <c r="E642">
        <f t="shared" si="77"/>
        <v>42</v>
      </c>
      <c r="F642" s="3">
        <f t="shared" si="72"/>
        <v>7.4318512396694416</v>
      </c>
      <c r="G642" s="3"/>
      <c r="J642">
        <f t="shared" si="62"/>
        <v>14.214876033057834</v>
      </c>
      <c r="K642" s="3">
        <f t="shared" si="73"/>
        <v>21.646727272727276</v>
      </c>
      <c r="O642" s="3">
        <f t="shared" si="74"/>
        <v>3.06228099173555</v>
      </c>
      <c r="Q642" s="3">
        <f t="shared" si="75"/>
        <v>3.3928595041322342</v>
      </c>
      <c r="S642" s="7">
        <f t="shared" si="70"/>
        <v>0.69421487603303689</v>
      </c>
      <c r="T642" s="3">
        <f t="shared" si="76"/>
        <v>3.7564958677685869</v>
      </c>
    </row>
    <row r="643" spans="3:20">
      <c r="C643" s="48">
        <f t="shared" si="71"/>
        <v>42818</v>
      </c>
      <c r="E643">
        <f t="shared" si="77"/>
        <v>41</v>
      </c>
      <c r="F643" s="3">
        <f t="shared" si="72"/>
        <v>7.4310743801653096</v>
      </c>
      <c r="G643" s="3"/>
      <c r="J643">
        <f t="shared" si="62"/>
        <v>14.392561983471058</v>
      </c>
      <c r="K643" s="3">
        <f t="shared" si="73"/>
        <v>21.823636363636368</v>
      </c>
      <c r="O643" s="3">
        <f t="shared" si="74"/>
        <v>3.0668595041322444</v>
      </c>
      <c r="Q643" s="3">
        <f t="shared" si="75"/>
        <v>3.4015702479338872</v>
      </c>
      <c r="S643" s="7">
        <f t="shared" si="70"/>
        <v>0.70289256198344985</v>
      </c>
      <c r="T643" s="3">
        <f t="shared" si="76"/>
        <v>3.7697520661156942</v>
      </c>
    </row>
    <row r="644" spans="3:20">
      <c r="C644" s="48">
        <f t="shared" si="71"/>
        <v>42825</v>
      </c>
      <c r="E644">
        <f t="shared" si="77"/>
        <v>40</v>
      </c>
      <c r="F644" s="3">
        <f t="shared" si="72"/>
        <v>7.4302975206611777</v>
      </c>
      <c r="G644" s="3"/>
      <c r="J644">
        <f t="shared" si="62"/>
        <v>14.570247933884282</v>
      </c>
      <c r="K644" s="3">
        <f t="shared" si="73"/>
        <v>22.00054545454546</v>
      </c>
      <c r="O644" s="3">
        <f t="shared" si="74"/>
        <v>3.0714380165289388</v>
      </c>
      <c r="Q644" s="3">
        <f t="shared" si="75"/>
        <v>3.4102809917355401</v>
      </c>
      <c r="S644" s="7">
        <f t="shared" si="70"/>
        <v>0.71157024793386281</v>
      </c>
      <c r="T644" s="3">
        <f t="shared" si="76"/>
        <v>3.7830082644628016</v>
      </c>
    </row>
    <row r="645" spans="3:20">
      <c r="C645" s="48">
        <f t="shared" si="71"/>
        <v>42832</v>
      </c>
      <c r="E645">
        <f t="shared" si="77"/>
        <v>39</v>
      </c>
      <c r="F645" s="3">
        <f t="shared" si="72"/>
        <v>7.4295206611570457</v>
      </c>
      <c r="G645" s="3"/>
      <c r="J645">
        <f t="shared" ref="J645:J683" si="78">K645-F645</f>
        <v>14.747933884297506</v>
      </c>
      <c r="K645" s="3">
        <f t="shared" si="73"/>
        <v>22.177454545454552</v>
      </c>
      <c r="O645" s="3">
        <f t="shared" si="74"/>
        <v>3.0760165289256332</v>
      </c>
      <c r="Q645" s="3">
        <f t="shared" si="75"/>
        <v>3.418991735537193</v>
      </c>
      <c r="S645" s="7">
        <f t="shared" si="70"/>
        <v>0.72024793388427577</v>
      </c>
      <c r="T645" s="3">
        <f t="shared" si="76"/>
        <v>3.7962644628099089</v>
      </c>
    </row>
    <row r="646" spans="3:20">
      <c r="C646" s="48">
        <f t="shared" si="71"/>
        <v>42839</v>
      </c>
      <c r="E646">
        <f t="shared" si="77"/>
        <v>38</v>
      </c>
      <c r="F646" s="3">
        <f t="shared" si="72"/>
        <v>7.4287438016529137</v>
      </c>
      <c r="G646" s="3"/>
      <c r="J646">
        <f t="shared" si="78"/>
        <v>14.92561983471073</v>
      </c>
      <c r="K646" s="3">
        <f t="shared" si="73"/>
        <v>22.354363636363644</v>
      </c>
      <c r="O646" s="3">
        <f t="shared" si="74"/>
        <v>3.0805950413223275</v>
      </c>
      <c r="Q646" s="3">
        <f t="shared" si="75"/>
        <v>3.427702479338846</v>
      </c>
      <c r="S646" s="7">
        <f t="shared" si="70"/>
        <v>0.72892561983468873</v>
      </c>
      <c r="T646" s="3">
        <f t="shared" si="76"/>
        <v>3.8095206611570163</v>
      </c>
    </row>
    <row r="647" spans="3:20">
      <c r="C647" s="48">
        <f t="shared" si="71"/>
        <v>42846</v>
      </c>
      <c r="E647">
        <f t="shared" si="77"/>
        <v>37</v>
      </c>
      <c r="F647" s="3">
        <f t="shared" si="72"/>
        <v>7.4279669421487817</v>
      </c>
      <c r="G647" s="3"/>
      <c r="J647">
        <f t="shared" si="78"/>
        <v>15.103305785123954</v>
      </c>
      <c r="K647" s="3">
        <f t="shared" si="73"/>
        <v>22.531272727272736</v>
      </c>
      <c r="O647" s="3">
        <f t="shared" si="74"/>
        <v>3.0851735537190219</v>
      </c>
      <c r="Q647" s="3">
        <f t="shared" si="75"/>
        <v>3.4364132231404989</v>
      </c>
      <c r="S647" s="7">
        <f t="shared" si="70"/>
        <v>0.73760330578510169</v>
      </c>
      <c r="T647" s="3">
        <f t="shared" si="76"/>
        <v>3.8227768595041236</v>
      </c>
    </row>
    <row r="648" spans="3:20">
      <c r="C648" s="48">
        <f t="shared" si="71"/>
        <v>42853</v>
      </c>
      <c r="E648">
        <f t="shared" si="77"/>
        <v>36</v>
      </c>
      <c r="F648" s="3">
        <f t="shared" si="72"/>
        <v>7.4271900826446497</v>
      </c>
      <c r="G648" s="3"/>
      <c r="J648">
        <f t="shared" si="78"/>
        <v>15.280991735537178</v>
      </c>
      <c r="K648" s="3">
        <f t="shared" si="73"/>
        <v>22.708181818181828</v>
      </c>
      <c r="O648" s="3">
        <f t="shared" si="74"/>
        <v>3.0897520661157163</v>
      </c>
      <c r="Q648" s="3">
        <f t="shared" si="75"/>
        <v>3.4451239669421518</v>
      </c>
      <c r="S648" s="7">
        <f t="shared" si="70"/>
        <v>0.74628099173551465</v>
      </c>
      <c r="T648" s="3">
        <f t="shared" si="76"/>
        <v>3.8360330578512309</v>
      </c>
    </row>
    <row r="649" spans="3:20">
      <c r="C649" s="48">
        <f t="shared" si="71"/>
        <v>42860</v>
      </c>
      <c r="E649">
        <f t="shared" si="77"/>
        <v>35</v>
      </c>
      <c r="F649" s="3">
        <f t="shared" si="72"/>
        <v>7.4264132231405178</v>
      </c>
      <c r="G649" s="3"/>
      <c r="J649">
        <f t="shared" si="78"/>
        <v>15.458677685950402</v>
      </c>
      <c r="K649" s="3">
        <f t="shared" si="73"/>
        <v>22.88509090909092</v>
      </c>
      <c r="O649" s="3">
        <f t="shared" si="74"/>
        <v>3.0943305785124107</v>
      </c>
      <c r="Q649" s="3">
        <f t="shared" si="75"/>
        <v>3.4538347107438048</v>
      </c>
      <c r="S649" s="7">
        <f t="shared" si="70"/>
        <v>0.75495867768592761</v>
      </c>
      <c r="T649" s="3">
        <f t="shared" si="76"/>
        <v>3.8492892561983383</v>
      </c>
    </row>
    <row r="650" spans="3:20">
      <c r="C650" s="48">
        <f t="shared" si="71"/>
        <v>42867</v>
      </c>
      <c r="E650">
        <f t="shared" si="77"/>
        <v>34</v>
      </c>
      <c r="F650" s="3">
        <f t="shared" si="72"/>
        <v>7.4256363636363858</v>
      </c>
      <c r="G650" s="3"/>
      <c r="J650">
        <f t="shared" si="78"/>
        <v>15.636363636363626</v>
      </c>
      <c r="K650" s="3">
        <f t="shared" si="73"/>
        <v>23.062000000000012</v>
      </c>
      <c r="O650" s="3">
        <f t="shared" si="74"/>
        <v>3.098909090909105</v>
      </c>
      <c r="Q650" s="3">
        <f t="shared" si="75"/>
        <v>3.4625454545454577</v>
      </c>
      <c r="S650" s="7">
        <f t="shared" si="70"/>
        <v>0.76363636363634058</v>
      </c>
      <c r="T650" s="3">
        <f t="shared" si="76"/>
        <v>3.8625454545454456</v>
      </c>
    </row>
    <row r="651" spans="3:20">
      <c r="C651" s="48">
        <f t="shared" si="71"/>
        <v>42874</v>
      </c>
      <c r="E651">
        <f t="shared" si="77"/>
        <v>33</v>
      </c>
      <c r="F651" s="3">
        <f t="shared" si="72"/>
        <v>7.4248595041322538</v>
      </c>
      <c r="G651" s="3"/>
      <c r="J651">
        <f t="shared" si="78"/>
        <v>15.81404958677685</v>
      </c>
      <c r="K651" s="3">
        <f t="shared" si="73"/>
        <v>23.238909090909104</v>
      </c>
      <c r="O651" s="3">
        <f t="shared" si="74"/>
        <v>3.1034876033057994</v>
      </c>
      <c r="Q651" s="3">
        <f t="shared" si="75"/>
        <v>3.4712561983471106</v>
      </c>
      <c r="S651" s="7">
        <f t="shared" si="70"/>
        <v>0.77231404958675354</v>
      </c>
      <c r="T651" s="3">
        <f t="shared" si="76"/>
        <v>3.875801652892553</v>
      </c>
    </row>
    <row r="652" spans="3:20">
      <c r="C652" s="48">
        <f t="shared" si="71"/>
        <v>42881</v>
      </c>
      <c r="E652">
        <f t="shared" si="77"/>
        <v>32</v>
      </c>
      <c r="F652" s="3">
        <f t="shared" si="72"/>
        <v>7.4240826446281218</v>
      </c>
      <c r="G652" s="3"/>
      <c r="J652">
        <f t="shared" si="78"/>
        <v>15.991735537190074</v>
      </c>
      <c r="K652" s="3">
        <f t="shared" si="73"/>
        <v>23.415818181818196</v>
      </c>
      <c r="O652" s="3">
        <f t="shared" si="74"/>
        <v>3.1080661157024938</v>
      </c>
      <c r="Q652" s="3">
        <f t="shared" si="75"/>
        <v>3.4799669421487636</v>
      </c>
      <c r="S652" s="7">
        <f t="shared" si="70"/>
        <v>0.7809917355371665</v>
      </c>
      <c r="T652" s="3">
        <f t="shared" si="76"/>
        <v>3.8890578512396603</v>
      </c>
    </row>
    <row r="653" spans="3:20">
      <c r="C653" s="48">
        <f t="shared" si="71"/>
        <v>42888</v>
      </c>
      <c r="E653">
        <f t="shared" si="77"/>
        <v>31</v>
      </c>
      <c r="F653" s="3">
        <f t="shared" si="72"/>
        <v>7.4233057851239899</v>
      </c>
      <c r="G653" s="3"/>
      <c r="J653">
        <f t="shared" si="78"/>
        <v>16.169421487603298</v>
      </c>
      <c r="K653" s="3">
        <f t="shared" si="73"/>
        <v>23.592727272727288</v>
      </c>
      <c r="O653" s="3">
        <f t="shared" si="74"/>
        <v>3.1126446280991882</v>
      </c>
      <c r="Q653" s="3">
        <f t="shared" si="75"/>
        <v>3.4886776859504165</v>
      </c>
      <c r="S653" s="7">
        <f t="shared" si="70"/>
        <v>0.78966942148757946</v>
      </c>
      <c r="T653" s="3">
        <f t="shared" si="76"/>
        <v>3.9023140495867676</v>
      </c>
    </row>
    <row r="654" spans="3:20">
      <c r="C654" s="48">
        <f t="shared" si="71"/>
        <v>42895</v>
      </c>
      <c r="E654">
        <f t="shared" si="77"/>
        <v>30</v>
      </c>
      <c r="F654" s="3">
        <f t="shared" si="72"/>
        <v>7.4225289256198579</v>
      </c>
      <c r="G654" s="3"/>
      <c r="J654">
        <f t="shared" si="78"/>
        <v>16.347107438016522</v>
      </c>
      <c r="K654" s="3">
        <f t="shared" si="73"/>
        <v>23.76963636363638</v>
      </c>
      <c r="O654" s="3">
        <f t="shared" si="74"/>
        <v>3.1172231404958826</v>
      </c>
      <c r="Q654" s="3">
        <f t="shared" si="75"/>
        <v>3.4973884297520694</v>
      </c>
      <c r="S654" s="7">
        <f t="shared" si="70"/>
        <v>0.79834710743799242</v>
      </c>
      <c r="T654" s="3">
        <f t="shared" si="76"/>
        <v>3.915570247933875</v>
      </c>
    </row>
    <row r="655" spans="3:20">
      <c r="C655" s="48">
        <f t="shared" si="71"/>
        <v>42902</v>
      </c>
      <c r="E655">
        <f t="shared" si="77"/>
        <v>29</v>
      </c>
      <c r="F655" s="3">
        <f t="shared" si="72"/>
        <v>7.4217520661157259</v>
      </c>
      <c r="G655" s="3"/>
      <c r="J655">
        <f t="shared" si="78"/>
        <v>16.524793388429746</v>
      </c>
      <c r="K655" s="3">
        <f t="shared" si="73"/>
        <v>23.946545454545472</v>
      </c>
      <c r="O655" s="3">
        <f t="shared" si="74"/>
        <v>3.1218016528925769</v>
      </c>
      <c r="Q655" s="3">
        <f t="shared" si="75"/>
        <v>3.5060991735537224</v>
      </c>
      <c r="S655" s="7">
        <f t="shared" si="70"/>
        <v>0.80702479338840538</v>
      </c>
      <c r="T655" s="3">
        <f t="shared" si="76"/>
        <v>3.9288264462809823</v>
      </c>
    </row>
    <row r="656" spans="3:20">
      <c r="C656" s="48">
        <f t="shared" si="71"/>
        <v>42909</v>
      </c>
      <c r="E656">
        <f t="shared" si="77"/>
        <v>28</v>
      </c>
      <c r="F656" s="3">
        <f t="shared" si="72"/>
        <v>7.4209752066115939</v>
      </c>
      <c r="G656" s="3"/>
      <c r="J656">
        <f t="shared" si="78"/>
        <v>16.70247933884297</v>
      </c>
      <c r="K656" s="3">
        <f t="shared" si="73"/>
        <v>24.123454545454564</v>
      </c>
      <c r="O656" s="3">
        <f t="shared" si="74"/>
        <v>3.1263801652892713</v>
      </c>
      <c r="Q656" s="3">
        <f t="shared" si="75"/>
        <v>3.5148099173553753</v>
      </c>
      <c r="S656" s="7">
        <f t="shared" si="70"/>
        <v>0.81570247933881834</v>
      </c>
      <c r="T656" s="3">
        <f t="shared" si="76"/>
        <v>3.9420826446280897</v>
      </c>
    </row>
    <row r="657" spans="3:20">
      <c r="C657" s="48">
        <f t="shared" si="71"/>
        <v>42916</v>
      </c>
      <c r="E657">
        <f t="shared" si="77"/>
        <v>27</v>
      </c>
      <c r="F657" s="3">
        <f t="shared" si="72"/>
        <v>7.420198347107462</v>
      </c>
      <c r="G657" s="3"/>
      <c r="J657">
        <f t="shared" si="78"/>
        <v>16.880165289256194</v>
      </c>
      <c r="K657" s="3">
        <f t="shared" si="73"/>
        <v>24.300363636363656</v>
      </c>
      <c r="O657" s="3">
        <f t="shared" si="74"/>
        <v>3.1309586776859657</v>
      </c>
      <c r="Q657" s="3">
        <f t="shared" si="75"/>
        <v>3.5235206611570282</v>
      </c>
      <c r="S657" s="7">
        <f t="shared" si="70"/>
        <v>0.8243801652892313</v>
      </c>
      <c r="T657" s="3">
        <f t="shared" si="76"/>
        <v>3.955338842975197</v>
      </c>
    </row>
    <row r="658" spans="3:20">
      <c r="C658" s="48">
        <f t="shared" si="71"/>
        <v>42923</v>
      </c>
      <c r="E658">
        <f t="shared" si="77"/>
        <v>26</v>
      </c>
      <c r="F658" s="3">
        <f t="shared" si="72"/>
        <v>7.41942148760333</v>
      </c>
      <c r="G658" s="3"/>
      <c r="J658">
        <f t="shared" si="78"/>
        <v>17.057851239669418</v>
      </c>
      <c r="K658" s="3">
        <f t="shared" si="73"/>
        <v>24.477272727272748</v>
      </c>
      <c r="O658" s="3">
        <f t="shared" si="74"/>
        <v>3.1355371900826601</v>
      </c>
      <c r="Q658" s="3">
        <f t="shared" si="75"/>
        <v>3.5322314049586812</v>
      </c>
      <c r="S658" s="7">
        <f t="shared" ref="S658:S683" si="79">T658-O658</f>
        <v>0.83305785123964426</v>
      </c>
      <c r="T658" s="3">
        <f t="shared" si="76"/>
        <v>3.9685950413223043</v>
      </c>
    </row>
    <row r="659" spans="3:20">
      <c r="C659" s="48">
        <f t="shared" si="71"/>
        <v>42930</v>
      </c>
      <c r="E659">
        <f t="shared" si="77"/>
        <v>25</v>
      </c>
      <c r="F659" s="3">
        <f t="shared" ref="F659:F682" si="80">F658+$G$563</f>
        <v>7.418644628099198</v>
      </c>
      <c r="G659" s="3"/>
      <c r="J659">
        <f t="shared" si="78"/>
        <v>17.235537190082642</v>
      </c>
      <c r="K659" s="3">
        <f t="shared" ref="K659:K682" si="81">$L$563+K658</f>
        <v>24.65418181818184</v>
      </c>
      <c r="O659" s="3">
        <f t="shared" ref="O659:O682" si="82">O658+$P$563</f>
        <v>3.1401157024793545</v>
      </c>
      <c r="Q659" s="3">
        <f t="shared" ref="Q659:Q682" si="83">Q658+$R$563</f>
        <v>3.5409421487603341</v>
      </c>
      <c r="S659" s="7">
        <f t="shared" si="79"/>
        <v>0.84173553719005723</v>
      </c>
      <c r="T659" s="3">
        <f t="shared" ref="T659:T682" si="84">T658+$U$563</f>
        <v>3.9818512396694117</v>
      </c>
    </row>
    <row r="660" spans="3:20">
      <c r="C660" s="48">
        <f t="shared" si="71"/>
        <v>42937</v>
      </c>
      <c r="E660">
        <f t="shared" ref="E660:E683" si="85">E659-1</f>
        <v>24</v>
      </c>
      <c r="F660" s="3">
        <f t="shared" si="80"/>
        <v>7.417867768595066</v>
      </c>
      <c r="G660" s="3"/>
      <c r="J660">
        <f t="shared" si="78"/>
        <v>17.413223140495866</v>
      </c>
      <c r="K660" s="3">
        <f t="shared" si="81"/>
        <v>24.831090909090932</v>
      </c>
      <c r="O660" s="3">
        <f t="shared" si="82"/>
        <v>3.1446942148760488</v>
      </c>
      <c r="Q660" s="3">
        <f t="shared" si="83"/>
        <v>3.549652892561987</v>
      </c>
      <c r="S660" s="7">
        <f t="shared" si="79"/>
        <v>0.85041322314047019</v>
      </c>
      <c r="T660" s="3">
        <f t="shared" si="84"/>
        <v>3.995107438016519</v>
      </c>
    </row>
    <row r="661" spans="3:20">
      <c r="C661" s="48">
        <f t="shared" si="71"/>
        <v>42944</v>
      </c>
      <c r="E661">
        <f t="shared" si="85"/>
        <v>23</v>
      </c>
      <c r="F661" s="3">
        <f t="shared" si="80"/>
        <v>7.417090909090934</v>
      </c>
      <c r="G661" s="3"/>
      <c r="J661">
        <f t="shared" si="78"/>
        <v>17.59090909090909</v>
      </c>
      <c r="K661" s="3">
        <f t="shared" si="81"/>
        <v>25.008000000000024</v>
      </c>
      <c r="O661" s="3">
        <f t="shared" si="82"/>
        <v>3.1492727272727432</v>
      </c>
      <c r="Q661" s="3">
        <f t="shared" si="83"/>
        <v>3.5583636363636399</v>
      </c>
      <c r="S661" s="7">
        <f t="shared" si="79"/>
        <v>0.85909090909088359</v>
      </c>
      <c r="T661" s="3">
        <f t="shared" si="84"/>
        <v>4.0083636363636268</v>
      </c>
    </row>
    <row r="662" spans="3:20">
      <c r="C662" s="48">
        <f t="shared" si="71"/>
        <v>42951</v>
      </c>
      <c r="E662">
        <f t="shared" si="85"/>
        <v>22</v>
      </c>
      <c r="F662" s="3">
        <f t="shared" si="80"/>
        <v>7.4163140495868021</v>
      </c>
      <c r="G662" s="3"/>
      <c r="J662">
        <f t="shared" si="78"/>
        <v>17.768595041322314</v>
      </c>
      <c r="K662" s="3">
        <f t="shared" si="81"/>
        <v>25.184909090909116</v>
      </c>
      <c r="O662" s="3">
        <f t="shared" si="82"/>
        <v>3.1538512396694376</v>
      </c>
      <c r="Q662" s="3">
        <f t="shared" si="83"/>
        <v>3.5670743801652929</v>
      </c>
      <c r="S662" s="7">
        <f t="shared" si="79"/>
        <v>0.867768595041297</v>
      </c>
      <c r="T662" s="3">
        <f t="shared" si="84"/>
        <v>4.0216198347107346</v>
      </c>
    </row>
    <row r="663" spans="3:20">
      <c r="C663" s="48">
        <f t="shared" si="71"/>
        <v>42958</v>
      </c>
      <c r="E663">
        <f t="shared" si="85"/>
        <v>21</v>
      </c>
      <c r="F663" s="3">
        <f t="shared" si="80"/>
        <v>7.4155371900826701</v>
      </c>
      <c r="G663" s="3"/>
      <c r="J663">
        <f t="shared" si="78"/>
        <v>17.946280991735538</v>
      </c>
      <c r="K663" s="3">
        <f t="shared" si="81"/>
        <v>25.361818181818208</v>
      </c>
      <c r="O663" s="3">
        <f t="shared" si="82"/>
        <v>3.158429752066132</v>
      </c>
      <c r="Q663" s="3">
        <f t="shared" si="83"/>
        <v>3.5757851239669458</v>
      </c>
      <c r="S663" s="7">
        <f t="shared" si="79"/>
        <v>0.8764462809917104</v>
      </c>
      <c r="T663" s="3">
        <f t="shared" si="84"/>
        <v>4.0348760330578424</v>
      </c>
    </row>
    <row r="664" spans="3:20">
      <c r="C664" s="48">
        <f t="shared" si="71"/>
        <v>42965</v>
      </c>
      <c r="E664">
        <f t="shared" si="85"/>
        <v>20</v>
      </c>
      <c r="F664" s="3">
        <f t="shared" si="80"/>
        <v>7.4147603305785381</v>
      </c>
      <c r="G664" s="3"/>
      <c r="J664">
        <f t="shared" si="78"/>
        <v>18.123966942148762</v>
      </c>
      <c r="K664" s="3">
        <f t="shared" si="81"/>
        <v>25.5387272727273</v>
      </c>
      <c r="O664" s="3">
        <f t="shared" si="82"/>
        <v>3.1630082644628263</v>
      </c>
      <c r="Q664" s="3">
        <f t="shared" si="83"/>
        <v>3.5844958677685987</v>
      </c>
      <c r="S664" s="7">
        <f t="shared" si="79"/>
        <v>0.88512396694212381</v>
      </c>
      <c r="T664" s="3">
        <f t="shared" si="84"/>
        <v>4.0481322314049502</v>
      </c>
    </row>
    <row r="665" spans="3:20">
      <c r="C665" s="48">
        <f t="shared" si="71"/>
        <v>42972</v>
      </c>
      <c r="E665">
        <f t="shared" si="85"/>
        <v>19</v>
      </c>
      <c r="F665" s="3">
        <f t="shared" si="80"/>
        <v>7.4139834710744061</v>
      </c>
      <c r="G665" s="3"/>
      <c r="J665">
        <f t="shared" si="78"/>
        <v>18.301652892561986</v>
      </c>
      <c r="K665" s="3">
        <f t="shared" si="81"/>
        <v>25.715636363636392</v>
      </c>
      <c r="O665" s="3">
        <f t="shared" si="82"/>
        <v>3.1675867768595207</v>
      </c>
      <c r="Q665" s="3">
        <f t="shared" si="83"/>
        <v>3.5932066115702517</v>
      </c>
      <c r="S665" s="7">
        <f t="shared" si="79"/>
        <v>0.89380165289253721</v>
      </c>
      <c r="T665" s="3">
        <f t="shared" si="84"/>
        <v>4.0613884297520579</v>
      </c>
    </row>
    <row r="666" spans="3:20">
      <c r="C666" s="48">
        <f t="shared" si="71"/>
        <v>42979</v>
      </c>
      <c r="E666">
        <f t="shared" si="85"/>
        <v>18</v>
      </c>
      <c r="F666" s="3">
        <f t="shared" si="80"/>
        <v>7.4132066115702742</v>
      </c>
      <c r="G666" s="3"/>
      <c r="J666">
        <f t="shared" si="78"/>
        <v>18.47933884297521</v>
      </c>
      <c r="K666" s="3">
        <f t="shared" si="81"/>
        <v>25.892545454545484</v>
      </c>
      <c r="O666" s="3">
        <f t="shared" si="82"/>
        <v>3.1721652892562151</v>
      </c>
      <c r="Q666" s="3">
        <f t="shared" si="83"/>
        <v>3.6019173553719046</v>
      </c>
      <c r="S666" s="7">
        <f t="shared" si="79"/>
        <v>0.90247933884295062</v>
      </c>
      <c r="T666" s="3">
        <f t="shared" si="84"/>
        <v>4.0746446280991657</v>
      </c>
    </row>
    <row r="667" spans="3:20">
      <c r="C667" s="48">
        <f t="shared" si="71"/>
        <v>42986</v>
      </c>
      <c r="E667">
        <f t="shared" si="85"/>
        <v>17</v>
      </c>
      <c r="F667" s="3">
        <f t="shared" si="80"/>
        <v>7.4124297520661422</v>
      </c>
      <c r="G667" s="3"/>
      <c r="J667">
        <f t="shared" si="78"/>
        <v>18.657024793388434</v>
      </c>
      <c r="K667" s="3">
        <f t="shared" si="81"/>
        <v>26.069454545454576</v>
      </c>
      <c r="O667" s="3">
        <f t="shared" si="82"/>
        <v>3.1767438016529095</v>
      </c>
      <c r="Q667" s="3">
        <f t="shared" si="83"/>
        <v>3.6106280991735575</v>
      </c>
      <c r="S667" s="7">
        <f t="shared" si="79"/>
        <v>0.91115702479336402</v>
      </c>
      <c r="T667" s="3">
        <f t="shared" si="84"/>
        <v>4.0879008264462735</v>
      </c>
    </row>
    <row r="668" spans="3:20">
      <c r="C668" s="48">
        <f t="shared" si="71"/>
        <v>42993</v>
      </c>
      <c r="E668">
        <f t="shared" si="85"/>
        <v>16</v>
      </c>
      <c r="F668" s="3">
        <f t="shared" si="80"/>
        <v>7.4116528925620102</v>
      </c>
      <c r="G668" s="3"/>
      <c r="J668">
        <f t="shared" si="78"/>
        <v>18.834710743801658</v>
      </c>
      <c r="K668" s="3">
        <f t="shared" si="81"/>
        <v>26.246363636363668</v>
      </c>
      <c r="O668" s="3">
        <f t="shared" si="82"/>
        <v>3.1813223140496039</v>
      </c>
      <c r="Q668" s="3">
        <f t="shared" si="83"/>
        <v>3.6193388429752105</v>
      </c>
      <c r="S668" s="7">
        <f t="shared" si="79"/>
        <v>0.91983471074377743</v>
      </c>
      <c r="T668" s="3">
        <f t="shared" si="84"/>
        <v>4.1011570247933813</v>
      </c>
    </row>
    <row r="669" spans="3:20">
      <c r="C669" s="48">
        <f t="shared" si="71"/>
        <v>43000</v>
      </c>
      <c r="E669">
        <f t="shared" si="85"/>
        <v>15</v>
      </c>
      <c r="F669" s="3">
        <f t="shared" si="80"/>
        <v>7.4108760330578782</v>
      </c>
      <c r="G669" s="3"/>
      <c r="J669">
        <f t="shared" si="78"/>
        <v>19.012396694214882</v>
      </c>
      <c r="K669" s="3">
        <f t="shared" si="81"/>
        <v>26.42327272727276</v>
      </c>
      <c r="O669" s="3">
        <f t="shared" si="82"/>
        <v>3.1859008264462982</v>
      </c>
      <c r="Q669" s="3">
        <f t="shared" si="83"/>
        <v>3.6280495867768634</v>
      </c>
      <c r="S669" s="7">
        <f t="shared" si="79"/>
        <v>0.92851239669419083</v>
      </c>
      <c r="T669" s="3">
        <f t="shared" si="84"/>
        <v>4.1144132231404891</v>
      </c>
    </row>
    <row r="670" spans="3:20">
      <c r="C670" s="48">
        <f t="shared" si="71"/>
        <v>43007</v>
      </c>
      <c r="E670">
        <f t="shared" si="85"/>
        <v>14</v>
      </c>
      <c r="F670" s="3">
        <f t="shared" si="80"/>
        <v>7.4100991735537463</v>
      </c>
      <c r="G670" s="3"/>
      <c r="J670">
        <f t="shared" si="78"/>
        <v>19.190082644628106</v>
      </c>
      <c r="K670" s="3">
        <f t="shared" si="81"/>
        <v>26.600181818181852</v>
      </c>
      <c r="O670" s="3">
        <f t="shared" si="82"/>
        <v>3.1904793388429926</v>
      </c>
      <c r="Q670" s="3">
        <f t="shared" si="83"/>
        <v>3.6367603305785163</v>
      </c>
      <c r="S670" s="7">
        <f t="shared" si="79"/>
        <v>0.93719008264460424</v>
      </c>
      <c r="T670" s="3">
        <f t="shared" si="84"/>
        <v>4.1276694214875969</v>
      </c>
    </row>
    <row r="671" spans="3:20">
      <c r="C671" s="48">
        <f t="shared" si="71"/>
        <v>43014</v>
      </c>
      <c r="E671">
        <f t="shared" si="85"/>
        <v>13</v>
      </c>
      <c r="F671" s="3">
        <f t="shared" si="80"/>
        <v>7.4093223140496143</v>
      </c>
      <c r="G671" s="3"/>
      <c r="J671">
        <f t="shared" si="78"/>
        <v>19.36776859504133</v>
      </c>
      <c r="K671" s="3">
        <f t="shared" si="81"/>
        <v>26.777090909090944</v>
      </c>
      <c r="O671" s="3">
        <f t="shared" si="82"/>
        <v>3.195057851239687</v>
      </c>
      <c r="Q671" s="3">
        <f t="shared" si="83"/>
        <v>3.6454710743801693</v>
      </c>
      <c r="S671" s="7">
        <f t="shared" si="79"/>
        <v>0.94586776859501764</v>
      </c>
      <c r="T671" s="3">
        <f t="shared" si="84"/>
        <v>4.1409256198347046</v>
      </c>
    </row>
    <row r="672" spans="3:20">
      <c r="C672" s="48">
        <f t="shared" si="71"/>
        <v>43021</v>
      </c>
      <c r="E672">
        <f t="shared" si="85"/>
        <v>12</v>
      </c>
      <c r="F672" s="3">
        <f t="shared" si="80"/>
        <v>7.4085454545454823</v>
      </c>
      <c r="G672" s="3"/>
      <c r="J672">
        <f t="shared" si="78"/>
        <v>19.545454545454554</v>
      </c>
      <c r="K672" s="3">
        <f t="shared" si="81"/>
        <v>26.954000000000036</v>
      </c>
      <c r="O672" s="3">
        <f t="shared" si="82"/>
        <v>3.1996363636363814</v>
      </c>
      <c r="Q672" s="3">
        <f t="shared" si="83"/>
        <v>3.6541818181818222</v>
      </c>
      <c r="S672" s="7">
        <f t="shared" si="79"/>
        <v>0.95454545454543105</v>
      </c>
      <c r="T672" s="3">
        <f t="shared" si="84"/>
        <v>4.1541818181818124</v>
      </c>
    </row>
    <row r="673" spans="3:20">
      <c r="C673" s="48">
        <f t="shared" si="71"/>
        <v>43028</v>
      </c>
      <c r="E673">
        <f t="shared" si="85"/>
        <v>11</v>
      </c>
      <c r="F673" s="3">
        <f t="shared" si="80"/>
        <v>7.4077685950413503</v>
      </c>
      <c r="G673" s="3"/>
      <c r="J673">
        <f t="shared" si="78"/>
        <v>19.723140495867778</v>
      </c>
      <c r="K673" s="3">
        <f t="shared" si="81"/>
        <v>27.130909090909128</v>
      </c>
      <c r="O673" s="3">
        <f t="shared" si="82"/>
        <v>3.2042148760330758</v>
      </c>
      <c r="Q673" s="3">
        <f t="shared" si="83"/>
        <v>3.6628925619834751</v>
      </c>
      <c r="S673" s="7">
        <f t="shared" si="79"/>
        <v>0.96322314049584445</v>
      </c>
      <c r="T673" s="3">
        <f t="shared" si="84"/>
        <v>4.1674380165289202</v>
      </c>
    </row>
    <row r="674" spans="3:20">
      <c r="C674" s="48">
        <f t="shared" si="71"/>
        <v>43035</v>
      </c>
      <c r="E674">
        <f t="shared" si="85"/>
        <v>10</v>
      </c>
      <c r="F674" s="3">
        <f t="shared" si="80"/>
        <v>7.4069917355372183</v>
      </c>
      <c r="G674" s="3"/>
      <c r="J674">
        <f t="shared" si="78"/>
        <v>19.900826446281002</v>
      </c>
      <c r="K674" s="3">
        <f t="shared" si="81"/>
        <v>27.30781818181822</v>
      </c>
      <c r="O674" s="3">
        <f t="shared" si="82"/>
        <v>3.2087933884297701</v>
      </c>
      <c r="Q674" s="3">
        <f t="shared" si="83"/>
        <v>3.6716033057851281</v>
      </c>
      <c r="S674" s="7">
        <f t="shared" si="79"/>
        <v>0.97190082644625786</v>
      </c>
      <c r="T674" s="3">
        <f t="shared" si="84"/>
        <v>4.180694214876028</v>
      </c>
    </row>
    <row r="675" spans="3:20">
      <c r="C675" s="48">
        <f t="shared" si="71"/>
        <v>43042</v>
      </c>
      <c r="E675">
        <f t="shared" si="85"/>
        <v>9</v>
      </c>
      <c r="F675" s="3">
        <f t="shared" si="80"/>
        <v>7.4062148760330864</v>
      </c>
      <c r="G675" s="3"/>
      <c r="J675">
        <f t="shared" si="78"/>
        <v>20.078512396694226</v>
      </c>
      <c r="K675" s="3">
        <f t="shared" si="81"/>
        <v>27.484727272727312</v>
      </c>
      <c r="O675" s="3">
        <f t="shared" si="82"/>
        <v>3.2133719008264645</v>
      </c>
      <c r="Q675" s="3">
        <f t="shared" si="83"/>
        <v>3.680314049586781</v>
      </c>
      <c r="S675" s="7">
        <f t="shared" si="79"/>
        <v>0.98057851239667126</v>
      </c>
      <c r="T675" s="3">
        <f t="shared" si="84"/>
        <v>4.1939504132231358</v>
      </c>
    </row>
    <row r="676" spans="3:20">
      <c r="C676" s="48">
        <f t="shared" si="71"/>
        <v>43049</v>
      </c>
      <c r="E676">
        <f t="shared" si="85"/>
        <v>8</v>
      </c>
      <c r="F676" s="3">
        <f t="shared" si="80"/>
        <v>7.4054380165289544</v>
      </c>
      <c r="G676" s="3"/>
      <c r="J676">
        <f t="shared" si="78"/>
        <v>20.25619834710745</v>
      </c>
      <c r="K676" s="3">
        <f t="shared" si="81"/>
        <v>27.661636363636404</v>
      </c>
      <c r="O676" s="3">
        <f t="shared" si="82"/>
        <v>3.2179504132231589</v>
      </c>
      <c r="Q676" s="3">
        <f t="shared" si="83"/>
        <v>3.6890247933884339</v>
      </c>
      <c r="S676" s="7">
        <f t="shared" si="79"/>
        <v>0.98925619834708467</v>
      </c>
      <c r="T676" s="3">
        <f t="shared" si="84"/>
        <v>4.2072066115702436</v>
      </c>
    </row>
    <row r="677" spans="3:20">
      <c r="C677" s="48">
        <f t="shared" si="71"/>
        <v>43056</v>
      </c>
      <c r="E677">
        <f t="shared" si="85"/>
        <v>7</v>
      </c>
      <c r="F677" s="3">
        <f t="shared" si="80"/>
        <v>7.4046611570248224</v>
      </c>
      <c r="G677" s="3"/>
      <c r="J677">
        <f t="shared" si="78"/>
        <v>20.433884297520674</v>
      </c>
      <c r="K677" s="3">
        <f t="shared" si="81"/>
        <v>27.838545454545496</v>
      </c>
      <c r="O677" s="3">
        <f t="shared" si="82"/>
        <v>3.2225289256198533</v>
      </c>
      <c r="Q677" s="3">
        <f t="shared" si="83"/>
        <v>3.6977355371900869</v>
      </c>
      <c r="S677" s="7">
        <f t="shared" si="79"/>
        <v>0.99793388429749808</v>
      </c>
      <c r="T677" s="3">
        <f t="shared" si="84"/>
        <v>4.2204628099173513</v>
      </c>
    </row>
    <row r="678" spans="3:20">
      <c r="C678" s="48">
        <f t="shared" si="71"/>
        <v>43063</v>
      </c>
      <c r="E678">
        <f t="shared" si="85"/>
        <v>6</v>
      </c>
      <c r="F678" s="3">
        <f t="shared" si="80"/>
        <v>7.4038842975206904</v>
      </c>
      <c r="G678" s="3"/>
      <c r="J678">
        <f t="shared" si="78"/>
        <v>20.611570247933898</v>
      </c>
      <c r="K678" s="3">
        <f t="shared" si="81"/>
        <v>28.015454545454588</v>
      </c>
      <c r="O678" s="3">
        <f t="shared" si="82"/>
        <v>3.2271074380165476</v>
      </c>
      <c r="Q678" s="3">
        <f t="shared" si="83"/>
        <v>3.7064462809917398</v>
      </c>
      <c r="S678" s="7">
        <f t="shared" si="79"/>
        <v>1.0066115702479115</v>
      </c>
      <c r="T678" s="3">
        <f t="shared" si="84"/>
        <v>4.2337190082644591</v>
      </c>
    </row>
    <row r="679" spans="3:20">
      <c r="C679" s="48">
        <f t="shared" si="71"/>
        <v>43070</v>
      </c>
      <c r="E679">
        <f t="shared" si="85"/>
        <v>5</v>
      </c>
      <c r="F679" s="3">
        <f t="shared" si="80"/>
        <v>7.4031074380165585</v>
      </c>
      <c r="G679" s="3"/>
      <c r="J679">
        <f t="shared" si="78"/>
        <v>20.789256198347122</v>
      </c>
      <c r="K679" s="3">
        <f t="shared" si="81"/>
        <v>28.19236363636368</v>
      </c>
      <c r="O679" s="3">
        <f t="shared" si="82"/>
        <v>3.231685950413242</v>
      </c>
      <c r="Q679" s="3">
        <f t="shared" si="83"/>
        <v>3.7151570247933927</v>
      </c>
      <c r="S679" s="7">
        <f t="shared" si="79"/>
        <v>1.0152892561983249</v>
      </c>
      <c r="T679" s="3">
        <f t="shared" si="84"/>
        <v>4.2469752066115669</v>
      </c>
    </row>
    <row r="680" spans="3:20">
      <c r="C680" s="48">
        <f t="shared" si="71"/>
        <v>43077</v>
      </c>
      <c r="E680">
        <f t="shared" si="85"/>
        <v>4</v>
      </c>
      <c r="F680" s="3">
        <f t="shared" si="80"/>
        <v>7.4023305785124265</v>
      </c>
      <c r="G680" s="3"/>
      <c r="J680">
        <f t="shared" si="78"/>
        <v>20.966942148760346</v>
      </c>
      <c r="K680" s="3">
        <f t="shared" si="81"/>
        <v>28.369272727272772</v>
      </c>
      <c r="O680" s="3">
        <f t="shared" si="82"/>
        <v>3.2362644628099364</v>
      </c>
      <c r="Q680" s="3">
        <f t="shared" si="83"/>
        <v>3.7238677685950456</v>
      </c>
      <c r="S680" s="7">
        <f t="shared" si="79"/>
        <v>1.0239669421487383</v>
      </c>
      <c r="T680" s="3">
        <f t="shared" si="84"/>
        <v>4.2602314049586747</v>
      </c>
    </row>
    <row r="681" spans="3:20">
      <c r="C681" s="48">
        <f t="shared" si="71"/>
        <v>43084</v>
      </c>
      <c r="E681">
        <f t="shared" si="85"/>
        <v>3</v>
      </c>
      <c r="F681" s="3">
        <f t="shared" si="80"/>
        <v>7.4015537190082945</v>
      </c>
      <c r="G681" s="3"/>
      <c r="J681">
        <f t="shared" si="78"/>
        <v>21.14462809917357</v>
      </c>
      <c r="K681" s="3">
        <f t="shared" si="81"/>
        <v>28.546181818181864</v>
      </c>
      <c r="O681" s="3">
        <f t="shared" si="82"/>
        <v>3.2408429752066308</v>
      </c>
      <c r="Q681" s="3">
        <f t="shared" si="83"/>
        <v>3.7325785123966986</v>
      </c>
      <c r="S681" s="7">
        <f t="shared" si="79"/>
        <v>1.0326446280991517</v>
      </c>
      <c r="T681" s="3">
        <f t="shared" si="84"/>
        <v>4.2734876033057825</v>
      </c>
    </row>
    <row r="682" spans="3:20">
      <c r="C682" s="48">
        <f t="shared" si="71"/>
        <v>43091</v>
      </c>
      <c r="E682">
        <f t="shared" si="85"/>
        <v>2</v>
      </c>
      <c r="F682" s="3">
        <f t="shared" si="80"/>
        <v>7.4007768595041625</v>
      </c>
      <c r="G682" s="3"/>
      <c r="J682">
        <f t="shared" si="78"/>
        <v>21.322314049586794</v>
      </c>
      <c r="K682" s="3">
        <f t="shared" si="81"/>
        <v>28.723090909090956</v>
      </c>
      <c r="O682" s="3">
        <f t="shared" si="82"/>
        <v>3.2454214876033252</v>
      </c>
      <c r="Q682" s="3">
        <f t="shared" si="83"/>
        <v>3.7412892561983515</v>
      </c>
      <c r="S682" s="7">
        <f t="shared" si="79"/>
        <v>1.0413223140495651</v>
      </c>
      <c r="T682" s="3">
        <f t="shared" si="84"/>
        <v>4.2867438016528903</v>
      </c>
    </row>
    <row r="683" spans="3:20">
      <c r="C683" s="48">
        <f t="shared" si="71"/>
        <v>43098</v>
      </c>
      <c r="E683">
        <f t="shared" si="85"/>
        <v>1</v>
      </c>
      <c r="F683">
        <f>Y4</f>
        <v>7.4</v>
      </c>
      <c r="H683">
        <f>AA4</f>
        <v>18.600000000000001</v>
      </c>
      <c r="J683">
        <f t="shared" si="78"/>
        <v>21.5</v>
      </c>
      <c r="K683">
        <f>AC4</f>
        <v>28.9</v>
      </c>
      <c r="O683">
        <v>3.25</v>
      </c>
      <c r="Q683">
        <v>3.75</v>
      </c>
      <c r="S683" s="7">
        <f t="shared" si="79"/>
        <v>1.0499999999999998</v>
      </c>
      <c r="T683">
        <v>4.3</v>
      </c>
    </row>
    <row r="684" spans="3:20">
      <c r="C684" s="48">
        <f t="shared" si="71"/>
        <v>43105</v>
      </c>
      <c r="F684" s="7"/>
      <c r="G684" s="7"/>
    </row>
    <row r="685" spans="3:20">
      <c r="C685" s="48">
        <f t="shared" si="71"/>
        <v>43112</v>
      </c>
      <c r="F685" s="7"/>
      <c r="G685" s="7"/>
    </row>
    <row r="686" spans="3:20">
      <c r="C686" s="48">
        <f t="shared" si="71"/>
        <v>43119</v>
      </c>
      <c r="F686" s="7"/>
      <c r="G686" s="7"/>
    </row>
    <row r="687" spans="3:20">
      <c r="C687" s="48">
        <f t="shared" si="71"/>
        <v>43126</v>
      </c>
      <c r="F687" s="7"/>
      <c r="G687" s="7"/>
    </row>
    <row r="688" spans="3:20">
      <c r="C688" s="48">
        <f t="shared" si="71"/>
        <v>43133</v>
      </c>
      <c r="F688" s="7"/>
      <c r="G688" s="7"/>
    </row>
    <row r="689" spans="3:7">
      <c r="C689" s="48">
        <f t="shared" si="71"/>
        <v>43140</v>
      </c>
      <c r="F689" s="7"/>
      <c r="G689" s="7"/>
    </row>
    <row r="690" spans="3:7">
      <c r="C690" s="48">
        <f t="shared" si="71"/>
        <v>43147</v>
      </c>
      <c r="F690" s="7"/>
      <c r="G690" s="7"/>
    </row>
    <row r="691" spans="3:7">
      <c r="C691" s="48">
        <f t="shared" ref="C691:C754" si="86">C690+7</f>
        <v>43154</v>
      </c>
      <c r="F691" s="7"/>
      <c r="G691" s="7"/>
    </row>
    <row r="692" spans="3:7">
      <c r="C692" s="48">
        <f t="shared" si="86"/>
        <v>43161</v>
      </c>
      <c r="F692" s="7"/>
      <c r="G692" s="7"/>
    </row>
    <row r="693" spans="3:7">
      <c r="C693" s="48">
        <f t="shared" si="86"/>
        <v>43168</v>
      </c>
      <c r="F693" s="7"/>
      <c r="G693" s="7"/>
    </row>
    <row r="694" spans="3:7">
      <c r="C694" s="48">
        <f t="shared" si="86"/>
        <v>43175</v>
      </c>
      <c r="F694" s="7"/>
      <c r="G694" s="7"/>
    </row>
    <row r="695" spans="3:7">
      <c r="C695" s="48">
        <f t="shared" si="86"/>
        <v>43182</v>
      </c>
      <c r="F695" s="7"/>
      <c r="G695" s="7"/>
    </row>
    <row r="696" spans="3:7">
      <c r="C696" s="48">
        <f t="shared" si="86"/>
        <v>43189</v>
      </c>
      <c r="F696" s="7"/>
      <c r="G696" s="7"/>
    </row>
    <row r="697" spans="3:7">
      <c r="C697" s="48">
        <f t="shared" si="86"/>
        <v>43196</v>
      </c>
      <c r="F697" s="7"/>
      <c r="G697" s="7"/>
    </row>
    <row r="698" spans="3:7">
      <c r="C698" s="48">
        <f t="shared" si="86"/>
        <v>43203</v>
      </c>
      <c r="F698" s="7"/>
      <c r="G698" s="7"/>
    </row>
    <row r="699" spans="3:7">
      <c r="C699" s="48">
        <f t="shared" si="86"/>
        <v>43210</v>
      </c>
      <c r="F699" s="7"/>
      <c r="G699" s="7"/>
    </row>
    <row r="700" spans="3:7">
      <c r="C700" s="48">
        <f t="shared" si="86"/>
        <v>43217</v>
      </c>
      <c r="F700" s="7"/>
      <c r="G700" s="7"/>
    </row>
    <row r="701" spans="3:7">
      <c r="C701" s="48">
        <f t="shared" si="86"/>
        <v>43224</v>
      </c>
      <c r="F701" s="7"/>
      <c r="G701" s="7"/>
    </row>
    <row r="702" spans="3:7">
      <c r="C702" s="48">
        <f t="shared" si="86"/>
        <v>43231</v>
      </c>
      <c r="F702" s="7"/>
      <c r="G702" s="7"/>
    </row>
    <row r="703" spans="3:7">
      <c r="C703" s="48">
        <f t="shared" si="86"/>
        <v>43238</v>
      </c>
      <c r="F703" s="7"/>
      <c r="G703" s="7"/>
    </row>
    <row r="704" spans="3:7">
      <c r="C704" s="48">
        <f t="shared" si="86"/>
        <v>43245</v>
      </c>
      <c r="F704" s="7"/>
      <c r="G704" s="7"/>
    </row>
    <row r="705" spans="3:7">
      <c r="C705" s="48">
        <f t="shared" si="86"/>
        <v>43252</v>
      </c>
      <c r="F705" s="7"/>
      <c r="G705" s="7"/>
    </row>
    <row r="706" spans="3:7">
      <c r="C706" s="48">
        <f t="shared" si="86"/>
        <v>43259</v>
      </c>
      <c r="F706" s="7"/>
      <c r="G706" s="7"/>
    </row>
    <row r="707" spans="3:7">
      <c r="C707" s="48">
        <f t="shared" si="86"/>
        <v>43266</v>
      </c>
      <c r="F707" s="7"/>
      <c r="G707" s="7"/>
    </row>
    <row r="708" spans="3:7">
      <c r="C708" s="48">
        <f t="shared" si="86"/>
        <v>43273</v>
      </c>
      <c r="F708" s="7"/>
      <c r="G708" s="7"/>
    </row>
    <row r="709" spans="3:7">
      <c r="C709" s="48">
        <f t="shared" si="86"/>
        <v>43280</v>
      </c>
      <c r="F709" s="7"/>
      <c r="G709" s="7"/>
    </row>
    <row r="710" spans="3:7">
      <c r="C710" s="48">
        <f t="shared" si="86"/>
        <v>43287</v>
      </c>
      <c r="F710" s="7"/>
      <c r="G710" s="7"/>
    </row>
    <row r="711" spans="3:7">
      <c r="C711" s="48">
        <f t="shared" si="86"/>
        <v>43294</v>
      </c>
      <c r="F711" s="7"/>
      <c r="G711" s="7"/>
    </row>
    <row r="712" spans="3:7">
      <c r="C712" s="48">
        <f t="shared" si="86"/>
        <v>43301</v>
      </c>
      <c r="F712" s="7"/>
      <c r="G712" s="7"/>
    </row>
    <row r="713" spans="3:7">
      <c r="C713" s="48">
        <f t="shared" si="86"/>
        <v>43308</v>
      </c>
      <c r="F713" s="7"/>
      <c r="G713" s="7"/>
    </row>
    <row r="714" spans="3:7">
      <c r="C714" s="48">
        <f t="shared" si="86"/>
        <v>43315</v>
      </c>
      <c r="F714" s="7"/>
      <c r="G714" s="7"/>
    </row>
    <row r="715" spans="3:7">
      <c r="C715" s="48">
        <f t="shared" si="86"/>
        <v>43322</v>
      </c>
      <c r="F715" s="7"/>
      <c r="G715" s="7"/>
    </row>
    <row r="716" spans="3:7">
      <c r="C716" s="48">
        <f t="shared" si="86"/>
        <v>43329</v>
      </c>
      <c r="F716" s="7"/>
      <c r="G716" s="7"/>
    </row>
    <row r="717" spans="3:7">
      <c r="C717" s="48">
        <f t="shared" si="86"/>
        <v>43336</v>
      </c>
      <c r="F717" s="7"/>
      <c r="G717" s="7"/>
    </row>
    <row r="718" spans="3:7">
      <c r="C718" s="48">
        <f t="shared" si="86"/>
        <v>43343</v>
      </c>
      <c r="F718" s="7"/>
      <c r="G718" s="7"/>
    </row>
    <row r="719" spans="3:7">
      <c r="C719" s="48">
        <f t="shared" si="86"/>
        <v>43350</v>
      </c>
      <c r="F719" s="7"/>
      <c r="G719" s="7"/>
    </row>
    <row r="720" spans="3:7">
      <c r="C720" s="48">
        <f t="shared" si="86"/>
        <v>43357</v>
      </c>
      <c r="F720" s="7"/>
      <c r="G720" s="7"/>
    </row>
    <row r="721" spans="3:7">
      <c r="C721" s="48">
        <f t="shared" si="86"/>
        <v>43364</v>
      </c>
      <c r="F721" s="7"/>
      <c r="G721" s="7"/>
    </row>
    <row r="722" spans="3:7">
      <c r="C722" s="48">
        <f t="shared" si="86"/>
        <v>43371</v>
      </c>
      <c r="F722" s="7"/>
      <c r="G722" s="7"/>
    </row>
    <row r="723" spans="3:7">
      <c r="C723" s="48">
        <f t="shared" si="86"/>
        <v>43378</v>
      </c>
      <c r="F723" s="7"/>
      <c r="G723" s="7"/>
    </row>
    <row r="724" spans="3:7">
      <c r="C724" s="48">
        <f t="shared" si="86"/>
        <v>43385</v>
      </c>
      <c r="F724" s="7"/>
      <c r="G724" s="7"/>
    </row>
    <row r="725" spans="3:7">
      <c r="C725" s="48">
        <f t="shared" si="86"/>
        <v>43392</v>
      </c>
      <c r="F725" s="7"/>
      <c r="G725" s="7"/>
    </row>
    <row r="726" spans="3:7">
      <c r="C726" s="48">
        <f t="shared" si="86"/>
        <v>43399</v>
      </c>
      <c r="F726" s="7"/>
      <c r="G726" s="7"/>
    </row>
    <row r="727" spans="3:7">
      <c r="C727" s="48">
        <f t="shared" si="86"/>
        <v>43406</v>
      </c>
      <c r="F727" s="7"/>
      <c r="G727" s="7"/>
    </row>
    <row r="728" spans="3:7">
      <c r="C728" s="48">
        <f t="shared" si="86"/>
        <v>43413</v>
      </c>
      <c r="F728" s="7"/>
      <c r="G728" s="7"/>
    </row>
    <row r="729" spans="3:7">
      <c r="C729" s="48">
        <f t="shared" si="86"/>
        <v>43420</v>
      </c>
      <c r="F729" s="7"/>
      <c r="G729" s="7"/>
    </row>
    <row r="730" spans="3:7">
      <c r="C730" s="48">
        <f t="shared" si="86"/>
        <v>43427</v>
      </c>
      <c r="F730" s="7"/>
      <c r="G730" s="7"/>
    </row>
    <row r="731" spans="3:7">
      <c r="C731" s="48">
        <f t="shared" si="86"/>
        <v>43434</v>
      </c>
      <c r="F731" s="7"/>
      <c r="G731" s="7"/>
    </row>
    <row r="732" spans="3:7">
      <c r="C732" s="48">
        <f t="shared" si="86"/>
        <v>43441</v>
      </c>
      <c r="F732" s="7"/>
      <c r="G732" s="7"/>
    </row>
    <row r="733" spans="3:7">
      <c r="C733" s="48">
        <f t="shared" si="86"/>
        <v>43448</v>
      </c>
      <c r="F733" s="7"/>
      <c r="G733" s="7"/>
    </row>
    <row r="734" spans="3:7">
      <c r="C734" s="48">
        <f t="shared" si="86"/>
        <v>43455</v>
      </c>
      <c r="F734" s="7"/>
      <c r="G734" s="7"/>
    </row>
    <row r="735" spans="3:7">
      <c r="C735" s="48">
        <f t="shared" si="86"/>
        <v>43462</v>
      </c>
      <c r="F735" s="7"/>
      <c r="G735" s="7"/>
    </row>
    <row r="736" spans="3:7">
      <c r="C736" s="48">
        <f t="shared" si="86"/>
        <v>43469</v>
      </c>
      <c r="F736" s="7"/>
      <c r="G736" s="7"/>
    </row>
    <row r="737" spans="3:7">
      <c r="C737" s="48">
        <f t="shared" si="86"/>
        <v>43476</v>
      </c>
      <c r="F737" s="7"/>
      <c r="G737" s="7"/>
    </row>
    <row r="738" spans="3:7">
      <c r="C738" s="48">
        <f t="shared" si="86"/>
        <v>43483</v>
      </c>
      <c r="F738" s="7"/>
      <c r="G738" s="7"/>
    </row>
    <row r="739" spans="3:7">
      <c r="C739" s="48">
        <f t="shared" si="86"/>
        <v>43490</v>
      </c>
      <c r="F739" s="7"/>
      <c r="G739" s="7"/>
    </row>
    <row r="740" spans="3:7">
      <c r="C740" s="48">
        <f t="shared" si="86"/>
        <v>43497</v>
      </c>
      <c r="F740" s="7"/>
      <c r="G740" s="7"/>
    </row>
    <row r="741" spans="3:7">
      <c r="C741" s="48">
        <f t="shared" si="86"/>
        <v>43504</v>
      </c>
      <c r="F741" s="7"/>
      <c r="G741" s="7"/>
    </row>
    <row r="742" spans="3:7">
      <c r="C742" s="48">
        <f t="shared" si="86"/>
        <v>43511</v>
      </c>
      <c r="F742" s="7"/>
      <c r="G742" s="7"/>
    </row>
    <row r="743" spans="3:7">
      <c r="C743" s="48">
        <f t="shared" si="86"/>
        <v>43518</v>
      </c>
      <c r="F743" s="7"/>
      <c r="G743" s="7"/>
    </row>
    <row r="744" spans="3:7">
      <c r="C744" s="48">
        <f t="shared" si="86"/>
        <v>43525</v>
      </c>
      <c r="F744" s="7"/>
      <c r="G744" s="7"/>
    </row>
    <row r="745" spans="3:7">
      <c r="C745" s="48">
        <f t="shared" si="86"/>
        <v>43532</v>
      </c>
      <c r="F745" s="7"/>
      <c r="G745" s="7"/>
    </row>
    <row r="746" spans="3:7">
      <c r="C746" s="48">
        <f t="shared" si="86"/>
        <v>43539</v>
      </c>
      <c r="F746" s="7"/>
      <c r="G746" s="7"/>
    </row>
    <row r="747" spans="3:7">
      <c r="C747" s="48">
        <f t="shared" si="86"/>
        <v>43546</v>
      </c>
      <c r="F747" s="7"/>
      <c r="G747" s="7"/>
    </row>
    <row r="748" spans="3:7">
      <c r="C748" s="48">
        <f t="shared" si="86"/>
        <v>43553</v>
      </c>
      <c r="F748" s="7"/>
      <c r="G748" s="7"/>
    </row>
    <row r="749" spans="3:7">
      <c r="C749" s="48">
        <f t="shared" si="86"/>
        <v>43560</v>
      </c>
      <c r="F749" s="7"/>
      <c r="G749" s="7"/>
    </row>
    <row r="750" spans="3:7">
      <c r="C750" s="48">
        <f t="shared" si="86"/>
        <v>43567</v>
      </c>
      <c r="F750" s="7"/>
      <c r="G750" s="7"/>
    </row>
    <row r="751" spans="3:7">
      <c r="C751" s="48">
        <f t="shared" si="86"/>
        <v>43574</v>
      </c>
      <c r="F751" s="7"/>
      <c r="G751" s="7"/>
    </row>
    <row r="752" spans="3:7">
      <c r="C752" s="48">
        <f t="shared" si="86"/>
        <v>43581</v>
      </c>
      <c r="F752" s="7"/>
      <c r="G752" s="7"/>
    </row>
    <row r="753" spans="3:7">
      <c r="C753" s="48">
        <f t="shared" si="86"/>
        <v>43588</v>
      </c>
      <c r="F753" s="7"/>
      <c r="G753" s="7"/>
    </row>
    <row r="754" spans="3:7">
      <c r="C754" s="48">
        <f t="shared" si="86"/>
        <v>43595</v>
      </c>
      <c r="F754" s="7"/>
      <c r="G754" s="7"/>
    </row>
    <row r="755" spans="3:7">
      <c r="C755" s="48">
        <f t="shared" ref="C755:C783" si="87">C754+7</f>
        <v>43602</v>
      </c>
      <c r="F755" s="7"/>
      <c r="G755" s="7"/>
    </row>
    <row r="756" spans="3:7">
      <c r="C756" s="48">
        <f t="shared" si="87"/>
        <v>43609</v>
      </c>
      <c r="F756" s="7"/>
      <c r="G756" s="7"/>
    </row>
    <row r="757" spans="3:7">
      <c r="C757" s="48">
        <f t="shared" si="87"/>
        <v>43616</v>
      </c>
      <c r="F757" s="7"/>
      <c r="G757" s="7"/>
    </row>
    <row r="758" spans="3:7">
      <c r="C758" s="48">
        <f t="shared" si="87"/>
        <v>43623</v>
      </c>
      <c r="F758" s="7"/>
      <c r="G758" s="7"/>
    </row>
    <row r="759" spans="3:7">
      <c r="C759" s="48">
        <f t="shared" si="87"/>
        <v>43630</v>
      </c>
      <c r="F759" s="7"/>
      <c r="G759" s="7"/>
    </row>
    <row r="760" spans="3:7">
      <c r="C760" s="48">
        <f t="shared" si="87"/>
        <v>43637</v>
      </c>
      <c r="F760" s="7"/>
      <c r="G760" s="7"/>
    </row>
    <row r="761" spans="3:7">
      <c r="C761" s="48">
        <f t="shared" si="87"/>
        <v>43644</v>
      </c>
      <c r="F761" s="7"/>
      <c r="G761" s="7"/>
    </row>
    <row r="762" spans="3:7">
      <c r="C762" s="48">
        <f t="shared" si="87"/>
        <v>43651</v>
      </c>
      <c r="F762" s="7"/>
      <c r="G762" s="7"/>
    </row>
    <row r="763" spans="3:7">
      <c r="C763" s="48">
        <f t="shared" si="87"/>
        <v>43658</v>
      </c>
      <c r="F763" s="7"/>
      <c r="G763" s="7"/>
    </row>
    <row r="764" spans="3:7">
      <c r="C764" s="48">
        <f t="shared" si="87"/>
        <v>43665</v>
      </c>
      <c r="F764" s="7"/>
      <c r="G764" s="7"/>
    </row>
    <row r="765" spans="3:7">
      <c r="C765" s="48">
        <f t="shared" si="87"/>
        <v>43672</v>
      </c>
      <c r="F765" s="7"/>
      <c r="G765" s="7"/>
    </row>
    <row r="766" spans="3:7">
      <c r="C766" s="48">
        <f t="shared" si="87"/>
        <v>43679</v>
      </c>
      <c r="F766" s="7"/>
      <c r="G766" s="7"/>
    </row>
    <row r="767" spans="3:7">
      <c r="C767" s="48">
        <f t="shared" si="87"/>
        <v>43686</v>
      </c>
      <c r="F767" s="7"/>
      <c r="G767" s="7"/>
    </row>
    <row r="768" spans="3:7">
      <c r="C768" s="48">
        <f t="shared" si="87"/>
        <v>43693</v>
      </c>
      <c r="F768" s="7"/>
      <c r="G768" s="7"/>
    </row>
    <row r="769" spans="2:7">
      <c r="C769" s="48">
        <f t="shared" si="87"/>
        <v>43700</v>
      </c>
      <c r="F769" s="7"/>
      <c r="G769" s="7"/>
    </row>
    <row r="770" spans="2:7">
      <c r="C770" s="48">
        <f t="shared" si="87"/>
        <v>43707</v>
      </c>
      <c r="F770" s="7"/>
      <c r="G770" s="7"/>
    </row>
    <row r="771" spans="2:7">
      <c r="C771" s="48">
        <f t="shared" si="87"/>
        <v>43714</v>
      </c>
      <c r="F771" s="7"/>
      <c r="G771" s="7"/>
    </row>
    <row r="772" spans="2:7">
      <c r="C772" s="48">
        <f t="shared" si="87"/>
        <v>43721</v>
      </c>
      <c r="F772" s="7"/>
      <c r="G772" s="7"/>
    </row>
    <row r="773" spans="2:7">
      <c r="C773" s="48">
        <f t="shared" si="87"/>
        <v>43728</v>
      </c>
      <c r="F773" s="7"/>
      <c r="G773" s="7"/>
    </row>
    <row r="774" spans="2:7">
      <c r="C774" s="48">
        <f t="shared" si="87"/>
        <v>43735</v>
      </c>
      <c r="F774" s="7"/>
      <c r="G774" s="7"/>
    </row>
    <row r="775" spans="2:7">
      <c r="C775" s="48">
        <f t="shared" si="87"/>
        <v>43742</v>
      </c>
      <c r="F775" s="7"/>
      <c r="G775" s="7"/>
    </row>
    <row r="776" spans="2:7">
      <c r="C776" s="48">
        <f t="shared" si="87"/>
        <v>43749</v>
      </c>
      <c r="F776" s="7"/>
      <c r="G776" s="7"/>
    </row>
    <row r="777" spans="2:7">
      <c r="C777" s="48">
        <f t="shared" si="87"/>
        <v>43756</v>
      </c>
      <c r="F777" s="7"/>
      <c r="G777" s="7"/>
    </row>
    <row r="778" spans="2:7">
      <c r="C778" s="48">
        <f t="shared" si="87"/>
        <v>43763</v>
      </c>
      <c r="F778" s="7"/>
      <c r="G778" s="7"/>
    </row>
    <row r="779" spans="2:7">
      <c r="C779" s="48">
        <f t="shared" si="87"/>
        <v>43770</v>
      </c>
      <c r="F779" s="7"/>
      <c r="G779" s="7"/>
    </row>
    <row r="780" spans="2:7">
      <c r="C780" s="48">
        <f t="shared" si="87"/>
        <v>43777</v>
      </c>
      <c r="F780" s="7"/>
      <c r="G780" s="7"/>
    </row>
    <row r="781" spans="2:7">
      <c r="C781" s="48">
        <f t="shared" si="87"/>
        <v>43784</v>
      </c>
      <c r="F781" s="7"/>
      <c r="G781" s="7"/>
    </row>
    <row r="782" spans="2:7">
      <c r="C782" s="48">
        <f t="shared" si="87"/>
        <v>43791</v>
      </c>
      <c r="F782" s="7"/>
      <c r="G782" s="7"/>
    </row>
    <row r="783" spans="2:7">
      <c r="B783">
        <v>0</v>
      </c>
      <c r="C783" s="48">
        <f t="shared" si="87"/>
        <v>43798</v>
      </c>
      <c r="F783" s="7"/>
      <c r="G783" s="7"/>
    </row>
    <row r="784" spans="2:7">
      <c r="C784" s="48"/>
      <c r="F784" s="7"/>
      <c r="G784" s="7"/>
    </row>
    <row r="785" spans="3:7">
      <c r="C785" s="48"/>
      <c r="F785" s="7"/>
      <c r="G785" s="7"/>
    </row>
    <row r="786" spans="3:7">
      <c r="C786" s="48"/>
      <c r="F786" s="7"/>
      <c r="G786" s="7"/>
    </row>
    <row r="787" spans="3:7">
      <c r="C787" s="48"/>
      <c r="F787" s="7"/>
      <c r="G787" s="7"/>
    </row>
    <row r="788" spans="3:7">
      <c r="C788" s="48"/>
      <c r="F788" s="7"/>
      <c r="G788" s="7"/>
    </row>
    <row r="789" spans="3:7">
      <c r="C789" s="48"/>
      <c r="F789" s="7"/>
      <c r="G789" s="7"/>
    </row>
    <row r="790" spans="3:7">
      <c r="C790" s="48"/>
      <c r="F790" s="7"/>
      <c r="G790" s="7"/>
    </row>
    <row r="791" spans="3:7">
      <c r="C791" s="48"/>
      <c r="F791" s="7"/>
      <c r="G791" s="7"/>
    </row>
    <row r="792" spans="3:7">
      <c r="C792" s="48"/>
      <c r="F792" s="7"/>
      <c r="G792" s="7"/>
    </row>
    <row r="793" spans="3:7">
      <c r="C793" s="48"/>
      <c r="F793" s="7"/>
      <c r="G793" s="7"/>
    </row>
    <row r="794" spans="3:7">
      <c r="C794" s="48"/>
      <c r="F794" s="7"/>
      <c r="G794" s="7"/>
    </row>
    <row r="795" spans="3:7">
      <c r="C795" s="48"/>
      <c r="F795" s="7"/>
      <c r="G795" s="7"/>
    </row>
    <row r="796" spans="3:7">
      <c r="C796" s="48"/>
      <c r="F796" s="7"/>
      <c r="G796" s="7"/>
    </row>
    <row r="797" spans="3:7">
      <c r="C797" s="48"/>
      <c r="F797" s="7"/>
      <c r="G797" s="7"/>
    </row>
    <row r="798" spans="3:7">
      <c r="C798" s="48"/>
      <c r="F798" s="7"/>
      <c r="G798" s="7"/>
    </row>
    <row r="799" spans="3:7">
      <c r="C799" s="48"/>
      <c r="F799" s="7"/>
      <c r="G799" s="7"/>
    </row>
    <row r="800" spans="3:7">
      <c r="C800" s="48"/>
      <c r="F800" s="7"/>
      <c r="G800" s="7"/>
    </row>
    <row r="801" spans="3:7">
      <c r="C801" s="48"/>
      <c r="F801" s="7"/>
      <c r="G801" s="7"/>
    </row>
    <row r="802" spans="3:7">
      <c r="C802" s="48"/>
      <c r="F802" s="7"/>
      <c r="G802" s="7"/>
    </row>
    <row r="803" spans="3:7">
      <c r="C803" s="48"/>
      <c r="F803" s="7"/>
      <c r="G803" s="7"/>
    </row>
    <row r="804" spans="3:7">
      <c r="C804" s="48"/>
      <c r="F804" s="7"/>
      <c r="G804" s="7"/>
    </row>
    <row r="805" spans="3:7">
      <c r="C805" s="48"/>
      <c r="F805" s="7"/>
      <c r="G805" s="7"/>
    </row>
    <row r="806" spans="3:7">
      <c r="C806" s="48"/>
      <c r="F806" s="7"/>
      <c r="G806" s="7"/>
    </row>
    <row r="807" spans="3:7">
      <c r="C807" s="48"/>
      <c r="F807" s="7"/>
      <c r="G807" s="7"/>
    </row>
    <row r="808" spans="3:7">
      <c r="C808" s="48"/>
      <c r="F808" s="7"/>
      <c r="G808" s="7"/>
    </row>
    <row r="809" spans="3:7">
      <c r="C809" s="48"/>
      <c r="F809" s="7"/>
      <c r="G809" s="7"/>
    </row>
    <row r="810" spans="3:7">
      <c r="C810" s="48"/>
      <c r="F810" s="7"/>
      <c r="G810" s="7"/>
    </row>
    <row r="811" spans="3:7">
      <c r="C811" s="48"/>
      <c r="F811" s="7"/>
      <c r="G811" s="7"/>
    </row>
    <row r="812" spans="3:7">
      <c r="C812" s="48"/>
      <c r="F812" s="7"/>
      <c r="G812" s="7"/>
    </row>
    <row r="813" spans="3:7">
      <c r="C813" s="48"/>
      <c r="F813" s="7"/>
      <c r="G813" s="7"/>
    </row>
    <row r="814" spans="3:7">
      <c r="C814" s="48"/>
      <c r="F814" s="7"/>
      <c r="G814" s="7"/>
    </row>
    <row r="815" spans="3:7">
      <c r="C815" s="48"/>
      <c r="F815" s="7"/>
      <c r="G815" s="7"/>
    </row>
    <row r="816" spans="3:7">
      <c r="C816" s="48"/>
      <c r="F816" s="7"/>
      <c r="G816" s="7"/>
    </row>
    <row r="817" spans="3:7">
      <c r="C817" s="48"/>
      <c r="F817" s="7"/>
      <c r="G817" s="7"/>
    </row>
    <row r="818" spans="3:7">
      <c r="C818" s="48"/>
      <c r="F818" s="7"/>
      <c r="G818" s="7"/>
    </row>
    <row r="819" spans="3:7">
      <c r="C819" s="48"/>
      <c r="F819" s="7"/>
      <c r="G819" s="7"/>
    </row>
    <row r="820" spans="3:7">
      <c r="C820" s="48"/>
      <c r="F820" s="7"/>
      <c r="G820" s="7"/>
    </row>
    <row r="821" spans="3:7">
      <c r="C821" s="48"/>
      <c r="F821" s="7"/>
      <c r="G821" s="7"/>
    </row>
    <row r="822" spans="3:7">
      <c r="C822" s="48"/>
      <c r="F822" s="7"/>
      <c r="G822" s="7"/>
    </row>
    <row r="823" spans="3:7">
      <c r="C823" s="48"/>
      <c r="F823" s="7"/>
      <c r="G823" s="7"/>
    </row>
    <row r="824" spans="3:7">
      <c r="C824" s="48"/>
      <c r="F824" s="7"/>
      <c r="G824" s="7"/>
    </row>
    <row r="825" spans="3:7">
      <c r="C825" s="48"/>
      <c r="F825" s="7"/>
      <c r="G825" s="7"/>
    </row>
    <row r="826" spans="3:7">
      <c r="C826" s="48"/>
      <c r="F826" s="7"/>
      <c r="G826" s="7"/>
    </row>
    <row r="827" spans="3:7">
      <c r="C827" s="48"/>
      <c r="F827" s="7"/>
      <c r="G827" s="7"/>
    </row>
    <row r="828" spans="3:7">
      <c r="C828" s="48"/>
      <c r="F828" s="7"/>
      <c r="G828" s="7"/>
    </row>
    <row r="829" spans="3:7">
      <c r="C829" s="48"/>
      <c r="F829" s="7"/>
      <c r="G829" s="7"/>
    </row>
    <row r="830" spans="3:7">
      <c r="C830" s="48"/>
      <c r="F830" s="7"/>
      <c r="G830" s="7"/>
    </row>
    <row r="831" spans="3:7">
      <c r="C831" s="48"/>
      <c r="F831" s="7"/>
      <c r="G831" s="7"/>
    </row>
    <row r="832" spans="3:7">
      <c r="C832" s="48"/>
      <c r="F832" s="7"/>
      <c r="G832" s="7"/>
    </row>
    <row r="833" spans="3:7">
      <c r="C833" s="48"/>
      <c r="F833" s="7"/>
      <c r="G833" s="7"/>
    </row>
    <row r="834" spans="3:7">
      <c r="C834" s="48"/>
      <c r="F834" s="7"/>
      <c r="G834" s="7"/>
    </row>
    <row r="835" spans="3:7">
      <c r="C835" s="48"/>
      <c r="F835" s="7"/>
      <c r="G835" s="7"/>
    </row>
    <row r="836" spans="3:7">
      <c r="C836" s="48"/>
      <c r="F836" s="7"/>
      <c r="G836" s="7"/>
    </row>
    <row r="837" spans="3:7">
      <c r="C837" s="48"/>
      <c r="F837" s="7"/>
      <c r="G837" s="7"/>
    </row>
    <row r="838" spans="3:7">
      <c r="C838" s="48"/>
      <c r="F838" s="7"/>
      <c r="G838" s="7"/>
    </row>
    <row r="839" spans="3:7">
      <c r="C839" s="48"/>
    </row>
    <row r="840" spans="3:7">
      <c r="C840" s="48"/>
      <c r="F840" s="7"/>
      <c r="G840" s="7"/>
    </row>
    <row r="841" spans="3:7">
      <c r="C841" s="48"/>
      <c r="F841" s="7"/>
      <c r="G841" s="7"/>
    </row>
    <row r="842" spans="3:7">
      <c r="C842" s="48"/>
      <c r="F842" s="7"/>
      <c r="G842" s="7"/>
    </row>
    <row r="843" spans="3:7">
      <c r="C843" s="48"/>
      <c r="F843" s="7"/>
      <c r="G843" s="7"/>
    </row>
    <row r="844" spans="3:7">
      <c r="C844" s="48"/>
      <c r="F844" s="7"/>
      <c r="G844" s="7"/>
    </row>
    <row r="845" spans="3:7">
      <c r="C845" s="48"/>
      <c r="F845" s="7"/>
      <c r="G845" s="7"/>
    </row>
    <row r="846" spans="3:7">
      <c r="C846" s="48"/>
      <c r="F846" s="7"/>
      <c r="G846" s="7"/>
    </row>
    <row r="847" spans="3:7">
      <c r="C847" s="48"/>
      <c r="F847" s="7"/>
      <c r="G847" s="7"/>
    </row>
    <row r="848" spans="3:7">
      <c r="C848" s="48"/>
      <c r="F848" s="7"/>
      <c r="G848" s="7"/>
    </row>
    <row r="849" spans="3:7">
      <c r="C849" s="48"/>
      <c r="F849" s="7"/>
      <c r="G849" s="7"/>
    </row>
    <row r="850" spans="3:7">
      <c r="C850" s="48"/>
      <c r="F850" s="7"/>
      <c r="G850" s="7"/>
    </row>
    <row r="851" spans="3:7">
      <c r="C851" s="48"/>
      <c r="F851" s="7"/>
      <c r="G851" s="7"/>
    </row>
    <row r="852" spans="3:7">
      <c r="C852" s="48"/>
      <c r="F852" s="7"/>
      <c r="G852" s="7"/>
    </row>
    <row r="853" spans="3:7">
      <c r="C853" s="48"/>
      <c r="F853" s="7"/>
      <c r="G853" s="7"/>
    </row>
    <row r="854" spans="3:7">
      <c r="C854" s="48"/>
      <c r="F854" s="7"/>
      <c r="G854" s="7"/>
    </row>
    <row r="855" spans="3:7">
      <c r="C855" s="48"/>
      <c r="F855" s="7"/>
      <c r="G855" s="7"/>
    </row>
    <row r="856" spans="3:7">
      <c r="C856" s="48"/>
      <c r="F856" s="7"/>
      <c r="G856" s="7"/>
    </row>
    <row r="857" spans="3:7">
      <c r="C857" s="48"/>
      <c r="F857" s="7"/>
      <c r="G857" s="7"/>
    </row>
    <row r="858" spans="3:7">
      <c r="C858" s="48"/>
      <c r="F858" s="7"/>
      <c r="G858" s="7"/>
    </row>
    <row r="859" spans="3:7">
      <c r="C859" s="48"/>
      <c r="F859" s="7"/>
      <c r="G859" s="7"/>
    </row>
    <row r="860" spans="3:7">
      <c r="C860" s="48"/>
      <c r="F860" s="7"/>
      <c r="G860" s="7"/>
    </row>
    <row r="861" spans="3:7">
      <c r="C861" s="48"/>
      <c r="F861" s="7"/>
      <c r="G861" s="7"/>
    </row>
    <row r="862" spans="3:7">
      <c r="C862" s="48"/>
      <c r="F862" s="7"/>
      <c r="G862" s="7"/>
    </row>
    <row r="863" spans="3:7">
      <c r="C863" s="48"/>
      <c r="F863" s="7"/>
      <c r="G863" s="7"/>
    </row>
    <row r="864" spans="3:7">
      <c r="C864" s="48"/>
      <c r="F864" s="7"/>
      <c r="G864" s="7"/>
    </row>
    <row r="865" spans="3:7">
      <c r="C865" s="48"/>
      <c r="F865" s="7"/>
      <c r="G865" s="7"/>
    </row>
    <row r="866" spans="3:7">
      <c r="C866" s="48"/>
      <c r="F866" s="7"/>
      <c r="G866" s="7"/>
    </row>
    <row r="867" spans="3:7">
      <c r="C867" s="48"/>
      <c r="F867" s="7"/>
      <c r="G867" s="7"/>
    </row>
    <row r="868" spans="3:7">
      <c r="C868" s="48"/>
      <c r="F868" s="7"/>
      <c r="G868" s="7"/>
    </row>
    <row r="869" spans="3:7">
      <c r="C869" s="48"/>
      <c r="F869" s="7"/>
      <c r="G869" s="7"/>
    </row>
    <row r="870" spans="3:7">
      <c r="C870" s="48"/>
      <c r="F870" s="7"/>
      <c r="G870" s="7"/>
    </row>
    <row r="871" spans="3:7">
      <c r="C871" s="48"/>
      <c r="F871" s="7"/>
      <c r="G871" s="7"/>
    </row>
    <row r="872" spans="3:7">
      <c r="C872" s="48"/>
      <c r="F872" s="7"/>
      <c r="G872" s="7"/>
    </row>
    <row r="873" spans="3:7">
      <c r="C873" s="48"/>
      <c r="F873" s="7"/>
      <c r="G873" s="7"/>
    </row>
    <row r="874" spans="3:7">
      <c r="C874" s="48"/>
      <c r="F874" s="7"/>
      <c r="G874" s="7"/>
    </row>
    <row r="875" spans="3:7">
      <c r="C875" s="48"/>
      <c r="F875" s="7"/>
      <c r="G875" s="7"/>
    </row>
    <row r="876" spans="3:7">
      <c r="C876" s="48"/>
      <c r="F876" s="7"/>
      <c r="G876" s="7"/>
    </row>
    <row r="877" spans="3:7">
      <c r="C877" s="48"/>
      <c r="F877" s="7"/>
      <c r="G877" s="7"/>
    </row>
    <row r="878" spans="3:7">
      <c r="C878" s="48"/>
      <c r="F878" s="7"/>
      <c r="G878" s="7"/>
    </row>
    <row r="879" spans="3:7">
      <c r="C879" s="48"/>
      <c r="F879" s="7"/>
      <c r="G879" s="7"/>
    </row>
    <row r="880" spans="3:7">
      <c r="C880" s="48"/>
      <c r="F880" s="7"/>
      <c r="G880" s="7"/>
    </row>
    <row r="881" spans="3:7">
      <c r="C881" s="48"/>
      <c r="F881" s="7"/>
      <c r="G881" s="7"/>
    </row>
    <row r="882" spans="3:7">
      <c r="C882" s="48"/>
      <c r="F882" s="7"/>
      <c r="G882" s="7"/>
    </row>
    <row r="883" spans="3:7">
      <c r="C883" s="48"/>
      <c r="F883" s="7"/>
      <c r="G883" s="7"/>
    </row>
    <row r="884" spans="3:7">
      <c r="C884" s="48"/>
      <c r="F884" s="7"/>
      <c r="G884" s="7"/>
    </row>
    <row r="885" spans="3:7">
      <c r="C885" s="48"/>
      <c r="F885" s="7"/>
      <c r="G885" s="7"/>
    </row>
    <row r="886" spans="3:7">
      <c r="C886" s="48"/>
      <c r="F886" s="7"/>
      <c r="G886" s="7"/>
    </row>
    <row r="887" spans="3:7">
      <c r="C887" s="48"/>
      <c r="F887" s="7"/>
      <c r="G887" s="7"/>
    </row>
    <row r="888" spans="3:7">
      <c r="C888" s="48"/>
      <c r="F888" s="7"/>
      <c r="G888" s="7"/>
    </row>
    <row r="889" spans="3:7">
      <c r="C889" s="48"/>
      <c r="F889" s="7"/>
      <c r="G889" s="7"/>
    </row>
    <row r="890" spans="3:7">
      <c r="C890" s="48"/>
      <c r="F890" s="7"/>
      <c r="G890" s="7"/>
    </row>
    <row r="891" spans="3:7">
      <c r="C891" s="48"/>
      <c r="F891" s="7"/>
      <c r="G891" s="7"/>
    </row>
    <row r="892" spans="3:7">
      <c r="C892" s="48"/>
      <c r="F892" s="7"/>
      <c r="G892" s="7"/>
    </row>
    <row r="893" spans="3:7">
      <c r="C893" s="48"/>
      <c r="F893" s="7"/>
      <c r="G893" s="7"/>
    </row>
    <row r="894" spans="3:7">
      <c r="C894" s="48"/>
      <c r="F894" s="7"/>
      <c r="G894" s="7"/>
    </row>
    <row r="895" spans="3:7">
      <c r="C895" s="48"/>
      <c r="F895" s="7"/>
      <c r="G895" s="7"/>
    </row>
    <row r="896" spans="3:7">
      <c r="C896" s="48"/>
      <c r="F896" s="7"/>
      <c r="G896" s="7"/>
    </row>
    <row r="897" spans="3:7">
      <c r="C897" s="48"/>
      <c r="F897" s="7"/>
      <c r="G897" s="7"/>
    </row>
    <row r="898" spans="3:7">
      <c r="C898" s="48"/>
      <c r="F898" s="7"/>
      <c r="G898" s="7"/>
    </row>
    <row r="899" spans="3:7">
      <c r="C899" s="48"/>
      <c r="F899" s="7"/>
      <c r="G899" s="7"/>
    </row>
    <row r="900" spans="3:7">
      <c r="C900" s="48"/>
      <c r="F900" s="7"/>
      <c r="G900" s="7"/>
    </row>
    <row r="901" spans="3:7">
      <c r="C901" s="48"/>
      <c r="F901" s="7"/>
      <c r="G901" s="7"/>
    </row>
    <row r="902" spans="3:7">
      <c r="C902" s="48"/>
      <c r="F902" s="7"/>
      <c r="G902" s="7"/>
    </row>
    <row r="903" spans="3:7">
      <c r="C903" s="48"/>
      <c r="F903" s="7"/>
      <c r="G903" s="7"/>
    </row>
    <row r="904" spans="3:7">
      <c r="C904" s="48"/>
      <c r="F904" s="7"/>
      <c r="G904" s="7"/>
    </row>
    <row r="905" spans="3:7">
      <c r="C905" s="48"/>
      <c r="F905" s="7"/>
      <c r="G905" s="7"/>
    </row>
    <row r="906" spans="3:7">
      <c r="C906" s="48"/>
      <c r="F906" s="7"/>
      <c r="G906" s="7"/>
    </row>
    <row r="907" spans="3:7">
      <c r="C907" s="48"/>
      <c r="F907" s="7"/>
      <c r="G907" s="7"/>
    </row>
    <row r="908" spans="3:7">
      <c r="C908" s="48"/>
      <c r="F908" s="7"/>
      <c r="G908" s="7"/>
    </row>
    <row r="909" spans="3:7">
      <c r="C909" s="48"/>
      <c r="F909" s="7"/>
      <c r="G909" s="7"/>
    </row>
    <row r="910" spans="3:7">
      <c r="C910" s="48"/>
      <c r="F910" s="7"/>
      <c r="G910" s="7"/>
    </row>
    <row r="911" spans="3:7">
      <c r="C911" s="48"/>
      <c r="F911" s="7"/>
      <c r="G911" s="7"/>
    </row>
    <row r="912" spans="3:7">
      <c r="C912" s="48"/>
      <c r="F912" s="7"/>
      <c r="G912" s="7"/>
    </row>
    <row r="913" spans="3:7">
      <c r="C913" s="48"/>
      <c r="F913" s="7"/>
      <c r="G913" s="7"/>
    </row>
    <row r="914" spans="3:7">
      <c r="C914" s="48"/>
      <c r="F914" s="7"/>
      <c r="G914" s="7"/>
    </row>
    <row r="915" spans="3:7">
      <c r="C915" s="48"/>
      <c r="F915" s="7"/>
      <c r="G915" s="7"/>
    </row>
    <row r="916" spans="3:7">
      <c r="C916" s="48"/>
      <c r="F916" s="7"/>
      <c r="G916" s="7"/>
    </row>
    <row r="917" spans="3:7">
      <c r="C917" s="48"/>
      <c r="F917" s="7"/>
      <c r="G917" s="7"/>
    </row>
    <row r="918" spans="3:7">
      <c r="C918" s="48"/>
      <c r="F918" s="7"/>
      <c r="G918" s="7"/>
    </row>
    <row r="919" spans="3:7">
      <c r="C919" s="48"/>
      <c r="F919" s="7"/>
      <c r="G919" s="7"/>
    </row>
    <row r="920" spans="3:7">
      <c r="C920" s="48"/>
      <c r="F920" s="7"/>
      <c r="G920" s="7"/>
    </row>
    <row r="921" spans="3:7">
      <c r="C921" s="48"/>
      <c r="F921" s="7"/>
      <c r="G921" s="7"/>
    </row>
    <row r="922" spans="3:7">
      <c r="C922" s="48"/>
      <c r="F922" s="7"/>
      <c r="G922" s="7"/>
    </row>
    <row r="923" spans="3:7">
      <c r="C923" s="48"/>
      <c r="F923" s="7"/>
      <c r="G923" s="7"/>
    </row>
    <row r="924" spans="3:7">
      <c r="C924" s="48"/>
      <c r="F924" s="7"/>
      <c r="G924" s="7"/>
    </row>
    <row r="925" spans="3:7">
      <c r="C925" s="48"/>
      <c r="F925" s="7"/>
      <c r="G925" s="7"/>
    </row>
    <row r="926" spans="3:7">
      <c r="C926" s="48"/>
      <c r="F926" s="7"/>
      <c r="G926" s="7"/>
    </row>
    <row r="927" spans="3:7">
      <c r="C927" s="48"/>
      <c r="F927" s="7"/>
      <c r="G927" s="7"/>
    </row>
    <row r="928" spans="3:7">
      <c r="C928" s="48"/>
      <c r="F928" s="7"/>
      <c r="G928" s="7"/>
    </row>
    <row r="929" spans="3:7">
      <c r="C929" s="48"/>
      <c r="F929" s="7"/>
      <c r="G929" s="7"/>
    </row>
    <row r="930" spans="3:7">
      <c r="C930" s="48"/>
      <c r="F930" s="7"/>
      <c r="G930" s="7"/>
    </row>
    <row r="931" spans="3:7">
      <c r="C931" s="48"/>
      <c r="F931" s="7"/>
      <c r="G931" s="7"/>
    </row>
    <row r="932" spans="3:7">
      <c r="C932" s="48"/>
      <c r="F932" s="7"/>
      <c r="G932" s="7"/>
    </row>
    <row r="933" spans="3:7">
      <c r="C933" s="48"/>
      <c r="F933" s="7"/>
      <c r="G933" s="7"/>
    </row>
    <row r="934" spans="3:7">
      <c r="C934" s="48"/>
      <c r="F934" s="7"/>
      <c r="G934" s="7"/>
    </row>
    <row r="935" spans="3:7">
      <c r="C935" s="48"/>
      <c r="F935" s="7"/>
      <c r="G935" s="7"/>
    </row>
    <row r="936" spans="3:7">
      <c r="C936" s="48"/>
      <c r="F936" s="7"/>
      <c r="G936" s="7"/>
    </row>
    <row r="937" spans="3:7">
      <c r="C937" s="48"/>
      <c r="F937" s="7"/>
      <c r="G937" s="7"/>
    </row>
    <row r="938" spans="3:7">
      <c r="C938" s="48"/>
      <c r="F938" s="7"/>
      <c r="G938" s="7"/>
    </row>
    <row r="939" spans="3:7">
      <c r="C939" s="48"/>
      <c r="F939" s="7"/>
      <c r="G939" s="7"/>
    </row>
    <row r="940" spans="3:7">
      <c r="C940" s="48"/>
      <c r="F940" s="7"/>
      <c r="G940" s="7"/>
    </row>
    <row r="941" spans="3:7">
      <c r="C941" s="48"/>
      <c r="F941" s="7"/>
      <c r="G941" s="7"/>
    </row>
    <row r="942" spans="3:7">
      <c r="C942" s="48"/>
      <c r="F942" s="7"/>
      <c r="G942" s="7"/>
    </row>
    <row r="943" spans="3:7">
      <c r="C943" s="48"/>
      <c r="F943" s="7"/>
      <c r="G943" s="7"/>
    </row>
    <row r="944" spans="3:7">
      <c r="C944" s="48"/>
      <c r="F944" s="7"/>
      <c r="G944" s="7"/>
    </row>
    <row r="945" spans="3:7">
      <c r="C945" s="48"/>
      <c r="F945" s="7"/>
      <c r="G945" s="7"/>
    </row>
    <row r="946" spans="3:7">
      <c r="C946" s="48"/>
      <c r="F946" s="7"/>
      <c r="G946" s="7"/>
    </row>
    <row r="947" spans="3:7">
      <c r="C947" s="48"/>
      <c r="F947" s="7"/>
      <c r="G947" s="7"/>
    </row>
    <row r="948" spans="3:7">
      <c r="C948" s="48"/>
      <c r="F948" s="7"/>
      <c r="G948" s="7"/>
    </row>
    <row r="949" spans="3:7">
      <c r="C949" s="48"/>
      <c r="F949" s="7"/>
      <c r="G949" s="7"/>
    </row>
    <row r="950" spans="3:7">
      <c r="C950" s="48"/>
      <c r="F950" s="7"/>
      <c r="G950" s="7"/>
    </row>
    <row r="951" spans="3:7">
      <c r="C951" s="48"/>
      <c r="F951" s="7"/>
      <c r="G951" s="7"/>
    </row>
    <row r="952" spans="3:7">
      <c r="C952" s="48"/>
      <c r="F952" s="7"/>
      <c r="G952" s="7"/>
    </row>
    <row r="953" spans="3:7">
      <c r="C953" s="48"/>
      <c r="F953" s="7"/>
      <c r="G953" s="7"/>
    </row>
    <row r="954" spans="3:7">
      <c r="C954" s="48"/>
      <c r="F954" s="7"/>
      <c r="G954" s="7"/>
    </row>
    <row r="955" spans="3:7">
      <c r="C955" s="48"/>
      <c r="F955" s="7"/>
      <c r="G955" s="7"/>
    </row>
    <row r="956" spans="3:7">
      <c r="C956" s="48"/>
      <c r="F956" s="7"/>
      <c r="G956" s="7"/>
    </row>
    <row r="957" spans="3:7">
      <c r="C957" s="48"/>
      <c r="F957" s="7"/>
      <c r="G957" s="7"/>
    </row>
    <row r="958" spans="3:7">
      <c r="C958" s="48"/>
      <c r="F958" s="7"/>
      <c r="G958" s="7"/>
    </row>
    <row r="959" spans="3:7">
      <c r="C959" s="48"/>
      <c r="F959" s="7"/>
      <c r="G959" s="7"/>
    </row>
    <row r="960" spans="3:7">
      <c r="C960" s="48"/>
      <c r="F960" s="7"/>
      <c r="G960" s="7"/>
    </row>
    <row r="961" spans="3:7">
      <c r="C961" s="48"/>
      <c r="F961" s="7"/>
      <c r="G961" s="7"/>
    </row>
    <row r="962" spans="3:7">
      <c r="C962" s="48"/>
      <c r="F962" s="7"/>
      <c r="G962" s="7"/>
    </row>
    <row r="963" spans="3:7">
      <c r="C963" s="48"/>
      <c r="F963" s="7"/>
      <c r="G963" s="7"/>
    </row>
    <row r="964" spans="3:7">
      <c r="C964" s="48"/>
      <c r="F964" s="7"/>
      <c r="G964" s="7"/>
    </row>
    <row r="965" spans="3:7">
      <c r="C965" s="48"/>
      <c r="F965" s="7"/>
      <c r="G965" s="7"/>
    </row>
    <row r="966" spans="3:7">
      <c r="C966" s="48"/>
      <c r="F966" s="7"/>
      <c r="G966" s="7"/>
    </row>
    <row r="967" spans="3:7">
      <c r="C967" s="48"/>
      <c r="F967" s="7"/>
      <c r="G967" s="7"/>
    </row>
    <row r="968" spans="3:7">
      <c r="C968" s="48"/>
      <c r="F968" s="7"/>
      <c r="G968" s="7"/>
    </row>
    <row r="969" spans="3:7">
      <c r="C969" s="48"/>
      <c r="F969" s="7"/>
      <c r="G969" s="7"/>
    </row>
    <row r="970" spans="3:7">
      <c r="C970" s="48"/>
      <c r="F970" s="7"/>
      <c r="G970" s="7"/>
    </row>
    <row r="971" spans="3:7">
      <c r="C971" s="48"/>
      <c r="F971" s="7"/>
      <c r="G971" s="7"/>
    </row>
    <row r="972" spans="3:7">
      <c r="C972" s="48"/>
      <c r="F972" s="7"/>
      <c r="G972" s="7"/>
    </row>
    <row r="973" spans="3:7">
      <c r="C973" s="48"/>
      <c r="F973" s="7"/>
      <c r="G973" s="7"/>
    </row>
    <row r="974" spans="3:7">
      <c r="C974" s="48"/>
      <c r="F974" s="7"/>
      <c r="G974" s="7"/>
    </row>
    <row r="975" spans="3:7">
      <c r="C975" s="48"/>
      <c r="F975" s="7"/>
      <c r="G975" s="7"/>
    </row>
    <row r="976" spans="3:7">
      <c r="C976" s="48"/>
      <c r="F976" s="7"/>
      <c r="G976" s="7"/>
    </row>
    <row r="977" spans="3:7">
      <c r="C977" s="48"/>
      <c r="F977" s="7"/>
      <c r="G977" s="7"/>
    </row>
    <row r="978" spans="3:7">
      <c r="C978" s="48"/>
      <c r="F978" s="7"/>
      <c r="G978" s="7"/>
    </row>
    <row r="979" spans="3:7">
      <c r="C979" s="48"/>
      <c r="F979" s="7"/>
      <c r="G979" s="7"/>
    </row>
    <row r="980" spans="3:7">
      <c r="C980" s="48"/>
      <c r="F980" s="7"/>
      <c r="G980" s="7"/>
    </row>
    <row r="981" spans="3:7">
      <c r="C981" s="48"/>
      <c r="F981" s="7"/>
      <c r="G981" s="7"/>
    </row>
    <row r="982" spans="3:7">
      <c r="C982" s="48"/>
      <c r="F982" s="7"/>
      <c r="G982" s="7"/>
    </row>
    <row r="983" spans="3:7">
      <c r="C983" s="48"/>
      <c r="F983" s="7"/>
      <c r="G983" s="7"/>
    </row>
    <row r="984" spans="3:7">
      <c r="C984" s="48"/>
      <c r="F984" s="7"/>
      <c r="G984" s="7"/>
    </row>
    <row r="985" spans="3:7">
      <c r="C985" s="48"/>
      <c r="F985" s="7"/>
      <c r="G985" s="7"/>
    </row>
    <row r="986" spans="3:7">
      <c r="C986" s="48"/>
      <c r="F986" s="7"/>
      <c r="G986" s="7"/>
    </row>
    <row r="987" spans="3:7">
      <c r="C987" s="48"/>
      <c r="F987" s="7"/>
      <c r="G987" s="7"/>
    </row>
    <row r="988" spans="3:7">
      <c r="C988" s="48"/>
      <c r="F988" s="7"/>
      <c r="G988" s="7"/>
    </row>
    <row r="989" spans="3:7">
      <c r="C989" s="48"/>
      <c r="F989" s="7"/>
      <c r="G989" s="7"/>
    </row>
    <row r="990" spans="3:7">
      <c r="C990" s="48"/>
      <c r="F990" s="7"/>
      <c r="G990" s="7"/>
    </row>
    <row r="991" spans="3:7">
      <c r="C991" s="48"/>
      <c r="F991" s="7"/>
      <c r="G991" s="7"/>
    </row>
    <row r="992" spans="3:7">
      <c r="C992" s="48"/>
      <c r="F992" s="7"/>
      <c r="G992" s="7"/>
    </row>
    <row r="993" spans="3:7">
      <c r="C993" s="48"/>
      <c r="F993" s="7"/>
      <c r="G993" s="7"/>
    </row>
    <row r="994" spans="3:7">
      <c r="C994" s="48"/>
      <c r="F994" s="7"/>
      <c r="G994" s="7"/>
    </row>
    <row r="995" spans="3:7">
      <c r="C995" s="48"/>
      <c r="F995" s="7"/>
      <c r="G995" s="7"/>
    </row>
    <row r="996" spans="3:7">
      <c r="C996" s="48"/>
      <c r="F996" s="7"/>
      <c r="G996" s="7"/>
    </row>
    <row r="997" spans="3:7">
      <c r="C997" s="48"/>
      <c r="F997" s="7"/>
      <c r="G997" s="7"/>
    </row>
    <row r="998" spans="3:7">
      <c r="C998" s="48"/>
      <c r="F998" s="7"/>
      <c r="G998" s="7"/>
    </row>
    <row r="999" spans="3:7">
      <c r="C999" s="48"/>
      <c r="F999" s="7"/>
      <c r="G999" s="7"/>
    </row>
    <row r="1000" spans="3:7">
      <c r="C1000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b</vt:lpstr>
      <vt:lpstr>l</vt:lpstr>
      <vt:lpstr>pe</vt:lpstr>
      <vt:lpstr>pt</vt:lpstr>
      <vt:lpstr>m</vt:lpstr>
      <vt:lpstr>Лист1</vt:lpstr>
      <vt:lpstr>Лист2</vt:lpstr>
      <vt:lpstr>Лист3</vt:lpstr>
      <vt:lpstr>Лист4</vt:lpstr>
      <vt:lpstr>Лист5</vt:lpstr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Bloomberg</dc:creator>
  <cp:lastModifiedBy>Gromadin</cp:lastModifiedBy>
  <dcterms:created xsi:type="dcterms:W3CDTF">2015-01-28T12:46:32Z</dcterms:created>
  <dcterms:modified xsi:type="dcterms:W3CDTF">2016-06-16T10:03:41Z</dcterms:modified>
</cp:coreProperties>
</file>