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545" yWindow="-30" windowWidth="12120" windowHeight="9120"/>
  </bookViews>
  <sheets>
    <sheet name="A" sheetId="1" r:id="rId1"/>
  </sheets>
  <definedNames>
    <definedName name="\0">A!$A$268:$A$271</definedName>
    <definedName name="\A">A!$A$297:$A$299</definedName>
    <definedName name="\B">A!$A$314:$A$316</definedName>
    <definedName name="\C">A!$A$322:$A$334</definedName>
    <definedName name="\D">A!$A$318:$A$320</definedName>
    <definedName name="\E">A!$A$283:$A$284</definedName>
    <definedName name="\F">A!$A$286:$A$287</definedName>
    <definedName name="\G">A!$A$306</definedName>
    <definedName name="\I">A!$A$268:$A$271</definedName>
    <definedName name="\J">A!$A$338:$A$341</definedName>
    <definedName name="\K">A!$A$343:$A$346</definedName>
    <definedName name="\L">A!$A$336</definedName>
    <definedName name="\M">A!$A$309:$A$311</definedName>
    <definedName name="\P">A!$A$292:$A$295</definedName>
    <definedName name="\Q">A!$A$301</definedName>
    <definedName name="\S">A!$A$273:$A$276</definedName>
    <definedName name="\T">A!$A$278:$A$281</definedName>
    <definedName name="\U">A!$A$265:$A$266</definedName>
    <definedName name="\X">A!$A$303:$A$304</definedName>
    <definedName name="\Z">A!$A$289:$A$290</definedName>
    <definedName name="_xlnm.Print_Area" localSheetId="0">A!$A$163:$G$180</definedName>
    <definedName name="Print_Area_MI" localSheetId="0">A!$A$163:$G$180</definedName>
    <definedName name="SPWS_WBID">"218C5559-D781-49FC-B750-A09629C8DCEB"</definedName>
    <definedName name="SPWS_WSID" localSheetId="0" hidden="1">"64E68A32-1A19-4A44-B2DD-BC89147070EC"</definedName>
  </definedNames>
  <calcPr calcId="145621"/>
</workbook>
</file>

<file path=xl/calcChain.xml><?xml version="1.0" encoding="utf-8"?>
<calcChain xmlns="http://schemas.openxmlformats.org/spreadsheetml/2006/main">
  <c r="B97" i="1" l="1"/>
  <c r="B85" i="1" l="1"/>
  <c r="B84" i="1"/>
  <c r="B78" i="1" l="1"/>
  <c r="B76" i="1"/>
  <c r="B71" i="1" l="1"/>
  <c r="B59" i="1" l="1"/>
  <c r="B48" i="1" l="1"/>
  <c r="B42" i="1" l="1"/>
  <c r="B40" i="1"/>
  <c r="B38" i="1" l="1"/>
  <c r="B32" i="1" l="1"/>
  <c r="B27" i="1" l="1"/>
  <c r="B98" i="1" l="1"/>
  <c r="B89" i="1"/>
  <c r="B73" i="1"/>
  <c r="B108" i="1" s="1"/>
  <c r="B58" i="1"/>
  <c r="B194" i="1" s="1"/>
  <c r="B50" i="1"/>
  <c r="B39" i="1"/>
  <c r="B44" i="1" s="1"/>
  <c r="B28" i="1"/>
  <c r="B33" i="1" s="1"/>
  <c r="C53" i="1"/>
  <c r="C57" i="1" s="1"/>
  <c r="C191" i="1" s="1"/>
  <c r="C54" i="1"/>
  <c r="C82" i="1"/>
  <c r="C92" i="1"/>
  <c r="D82" i="1"/>
  <c r="D92" i="1"/>
  <c r="E82" i="1"/>
  <c r="E92" i="1"/>
  <c r="F82" i="1"/>
  <c r="F92" i="1"/>
  <c r="F37" i="1"/>
  <c r="G93" i="1"/>
  <c r="C84" i="1"/>
  <c r="C94" i="1"/>
  <c r="C40" i="1" s="1"/>
  <c r="D40" i="1" s="1"/>
  <c r="E40" i="1" s="1"/>
  <c r="F40" i="1" s="1"/>
  <c r="G40" i="1" s="1"/>
  <c r="P40" i="1" s="1"/>
  <c r="D84" i="1"/>
  <c r="D94" i="1"/>
  <c r="E84" i="1"/>
  <c r="E94" i="1"/>
  <c r="F84" i="1"/>
  <c r="F94" i="1"/>
  <c r="G82" i="1"/>
  <c r="P82" i="1"/>
  <c r="G37" i="1"/>
  <c r="G83" i="1"/>
  <c r="P83" i="1" s="1"/>
  <c r="G84" i="1"/>
  <c r="G92" i="1"/>
  <c r="G94" i="1"/>
  <c r="C37" i="1"/>
  <c r="C83" i="1" s="1"/>
  <c r="C93" i="1"/>
  <c r="C61" i="1"/>
  <c r="C95" i="1"/>
  <c r="C86" i="1"/>
  <c r="J3" i="1" s="1"/>
  <c r="C70" i="1" s="1"/>
  <c r="J4" i="1"/>
  <c r="K4" i="1" s="1"/>
  <c r="L4" i="1" s="1"/>
  <c r="M4" i="1" s="1"/>
  <c r="N4" i="1" s="1"/>
  <c r="C72" i="1"/>
  <c r="C27" i="1"/>
  <c r="C76" i="1" s="1"/>
  <c r="C38" i="1"/>
  <c r="C78" i="1" s="1"/>
  <c r="C80" i="1"/>
  <c r="C81" i="1"/>
  <c r="C85" i="1"/>
  <c r="C47" i="1" s="1"/>
  <c r="D47" i="1" s="1"/>
  <c r="E47" i="1" s="1"/>
  <c r="F47" i="1" s="1"/>
  <c r="G47" i="1" s="1"/>
  <c r="P47" i="1" s="1"/>
  <c r="C87" i="1"/>
  <c r="C29" i="1" s="1"/>
  <c r="C42" i="1"/>
  <c r="C88" i="1" s="1"/>
  <c r="C101" i="1"/>
  <c r="D101" i="1" s="1"/>
  <c r="C96" i="1"/>
  <c r="D37" i="1"/>
  <c r="D83" i="1"/>
  <c r="D61" i="1"/>
  <c r="D72" i="1"/>
  <c r="D95" i="1"/>
  <c r="D86" i="1"/>
  <c r="D80" i="1"/>
  <c r="D81" i="1"/>
  <c r="D85" i="1"/>
  <c r="D87" i="1"/>
  <c r="D42" i="1"/>
  <c r="D88" i="1" s="1"/>
  <c r="D96" i="1"/>
  <c r="E37" i="1"/>
  <c r="E61" i="1"/>
  <c r="E72" i="1"/>
  <c r="E95" i="1"/>
  <c r="E86" i="1"/>
  <c r="E80" i="1"/>
  <c r="E81" i="1"/>
  <c r="E85" i="1"/>
  <c r="E87" i="1"/>
  <c r="E96" i="1"/>
  <c r="F61" i="1"/>
  <c r="F72" i="1"/>
  <c r="F95" i="1"/>
  <c r="F86" i="1"/>
  <c r="F80" i="1"/>
  <c r="F81" i="1"/>
  <c r="F85" i="1"/>
  <c r="F87" i="1"/>
  <c r="F96" i="1"/>
  <c r="G61" i="1"/>
  <c r="G66" i="1"/>
  <c r="G231" i="1"/>
  <c r="C66" i="1"/>
  <c r="C211" i="1" s="1"/>
  <c r="D66" i="1"/>
  <c r="E66" i="1"/>
  <c r="F66" i="1"/>
  <c r="F231" i="1"/>
  <c r="E231" i="1"/>
  <c r="E253" i="1" s="1"/>
  <c r="D231" i="1"/>
  <c r="D253" i="1" s="1"/>
  <c r="C231" i="1"/>
  <c r="G253" i="1"/>
  <c r="F253" i="1"/>
  <c r="C253" i="1"/>
  <c r="G252" i="1"/>
  <c r="F252" i="1"/>
  <c r="E252" i="1"/>
  <c r="D252" i="1"/>
  <c r="C252" i="1"/>
  <c r="D251" i="1"/>
  <c r="C251" i="1"/>
  <c r="G23" i="1"/>
  <c r="G174" i="1" s="1"/>
  <c r="F23" i="1"/>
  <c r="F122" i="1"/>
  <c r="E23" i="1"/>
  <c r="E154" i="1" s="1"/>
  <c r="D23" i="1"/>
  <c r="D164" i="1"/>
  <c r="C23" i="1"/>
  <c r="C247" i="1" s="1"/>
  <c r="B247" i="1"/>
  <c r="G246" i="1"/>
  <c r="B246" i="1"/>
  <c r="G245" i="1"/>
  <c r="D245" i="1"/>
  <c r="B245" i="1"/>
  <c r="B218" i="1"/>
  <c r="G63" i="1"/>
  <c r="G64" i="1"/>
  <c r="P64" i="1" s="1"/>
  <c r="G65" i="1"/>
  <c r="P65" i="1" s="1"/>
  <c r="F63" i="1"/>
  <c r="F64" i="1"/>
  <c r="F65" i="1"/>
  <c r="E63" i="1"/>
  <c r="E64" i="1"/>
  <c r="E65" i="1"/>
  <c r="D63" i="1"/>
  <c r="D64" i="1"/>
  <c r="D65" i="1"/>
  <c r="C63" i="1"/>
  <c r="C205" i="1" s="1"/>
  <c r="C64" i="1"/>
  <c r="C65" i="1"/>
  <c r="B211" i="1"/>
  <c r="B207" i="1"/>
  <c r="B206" i="1"/>
  <c r="B205" i="1"/>
  <c r="E204" i="1"/>
  <c r="C204" i="1"/>
  <c r="B204" i="1"/>
  <c r="B198" i="1"/>
  <c r="G197" i="1"/>
  <c r="F197" i="1"/>
  <c r="E197" i="1"/>
  <c r="D197" i="1"/>
  <c r="C197" i="1"/>
  <c r="B196" i="1"/>
  <c r="B191" i="1"/>
  <c r="B190" i="1"/>
  <c r="B189" i="1"/>
  <c r="C185" i="1"/>
  <c r="B185" i="1"/>
  <c r="B186" i="1"/>
  <c r="B187" i="1" s="1"/>
  <c r="F184" i="1"/>
  <c r="D184" i="1"/>
  <c r="C184" i="1"/>
  <c r="B184" i="1"/>
  <c r="G72" i="1"/>
  <c r="P72" i="1" s="1"/>
  <c r="G95" i="1"/>
  <c r="P95" i="1" s="1"/>
  <c r="G86" i="1"/>
  <c r="P86" i="1"/>
  <c r="G80" i="1"/>
  <c r="P80" i="1" s="1"/>
  <c r="G81" i="1"/>
  <c r="P81" i="1" s="1"/>
  <c r="G85" i="1"/>
  <c r="P85" i="1"/>
  <c r="G87" i="1"/>
  <c r="P87" i="1" s="1"/>
  <c r="G96" i="1"/>
  <c r="P96" i="1"/>
  <c r="C43" i="1"/>
  <c r="D43" i="1" s="1"/>
  <c r="E43" i="1" s="1"/>
  <c r="F43" i="1" s="1"/>
  <c r="G43" i="1" s="1"/>
  <c r="P43" i="1" s="1"/>
  <c r="D174" i="1"/>
  <c r="C30" i="1"/>
  <c r="D30" i="1" s="1"/>
  <c r="E30" i="1" s="1"/>
  <c r="F30" i="1" s="1"/>
  <c r="G30" i="1" s="1"/>
  <c r="P30" i="1" s="1"/>
  <c r="B168" i="1"/>
  <c r="B166" i="1"/>
  <c r="E164" i="1"/>
  <c r="C164" i="1"/>
  <c r="B164" i="1"/>
  <c r="C154" i="1"/>
  <c r="C45" i="1"/>
  <c r="D45" i="1" s="1"/>
  <c r="E45" i="1" s="1"/>
  <c r="F45" i="1" s="1"/>
  <c r="G45" i="1" s="1"/>
  <c r="P45" i="1" s="1"/>
  <c r="C46" i="1"/>
  <c r="D46" i="1"/>
  <c r="E46" i="1" s="1"/>
  <c r="F46" i="1" s="1"/>
  <c r="G46" i="1" s="1"/>
  <c r="P46" i="1" s="1"/>
  <c r="C49" i="1"/>
  <c r="G144" i="1"/>
  <c r="E130" i="1"/>
  <c r="D122" i="1"/>
  <c r="P94" i="1"/>
  <c r="P92" i="1"/>
  <c r="P84" i="1"/>
  <c r="P63" i="1"/>
  <c r="P61" i="1"/>
  <c r="I57" i="1"/>
  <c r="I56" i="1"/>
  <c r="I55" i="1"/>
  <c r="P37" i="1"/>
  <c r="D53" i="1"/>
  <c r="D56" i="1" s="1"/>
  <c r="D190" i="1" s="1"/>
  <c r="C97" i="1"/>
  <c r="D49" i="1"/>
  <c r="E49" i="1" s="1"/>
  <c r="F49" i="1" s="1"/>
  <c r="G49" i="1" s="1"/>
  <c r="P49" i="1" s="1"/>
  <c r="F247" i="1"/>
  <c r="F164" i="1"/>
  <c r="F144" i="1"/>
  <c r="D93" i="1"/>
  <c r="F130" i="1"/>
  <c r="F154" i="1"/>
  <c r="F174" i="1"/>
  <c r="D247" i="1"/>
  <c r="D38" i="1"/>
  <c r="E38" i="1" s="1"/>
  <c r="D54" i="1"/>
  <c r="E54" i="1" s="1"/>
  <c r="D27" i="1"/>
  <c r="D76" i="1" s="1"/>
  <c r="E53" i="1"/>
  <c r="E185" i="1" s="1"/>
  <c r="C91" i="1"/>
  <c r="C218" i="1" s="1"/>
  <c r="C234" i="1" s="1"/>
  <c r="D154" i="1"/>
  <c r="E83" i="1"/>
  <c r="C98" i="1"/>
  <c r="E122" i="1"/>
  <c r="G130" i="1"/>
  <c r="E174" i="1"/>
  <c r="E184" i="1"/>
  <c r="C207" i="1"/>
  <c r="E247" i="1"/>
  <c r="G122" i="1"/>
  <c r="D144" i="1"/>
  <c r="C206" i="1"/>
  <c r="D130" i="1"/>
  <c r="E144" i="1"/>
  <c r="D204" i="1"/>
  <c r="F83" i="1"/>
  <c r="D198" i="1"/>
  <c r="D97" i="1"/>
  <c r="E42" i="1"/>
  <c r="P93" i="1"/>
  <c r="C36" i="1"/>
  <c r="G247" i="1"/>
  <c r="G184" i="1"/>
  <c r="G204" i="1"/>
  <c r="G164" i="1"/>
  <c r="G154" i="1"/>
  <c r="P23" i="1"/>
  <c r="F93" i="1"/>
  <c r="F204" i="1"/>
  <c r="E93" i="1"/>
  <c r="C122" i="1"/>
  <c r="C130" i="1"/>
  <c r="C144" i="1"/>
  <c r="C32" i="1"/>
  <c r="D32" i="1" s="1"/>
  <c r="E32" i="1" s="1"/>
  <c r="F32" i="1" s="1"/>
  <c r="G32" i="1" s="1"/>
  <c r="P32" i="1" s="1"/>
  <c r="C174" i="1"/>
  <c r="D36" i="1"/>
  <c r="F42" i="1"/>
  <c r="F88" i="1" s="1"/>
  <c r="E88" i="1"/>
  <c r="E97" i="1"/>
  <c r="F97" i="1"/>
  <c r="G42" i="1"/>
  <c r="G97" i="1" s="1"/>
  <c r="P97" i="1" s="1"/>
  <c r="E36" i="1"/>
  <c r="F36" i="1" s="1"/>
  <c r="G36" i="1" s="1"/>
  <c r="P36" i="1" s="1"/>
  <c r="P42" i="1"/>
  <c r="D91" i="1" l="1"/>
  <c r="E101" i="1"/>
  <c r="B79" i="1"/>
  <c r="B90" i="1" s="1"/>
  <c r="B109" i="1" s="1"/>
  <c r="D206" i="1"/>
  <c r="D205" i="1"/>
  <c r="D185" i="1"/>
  <c r="B200" i="1"/>
  <c r="B67" i="1"/>
  <c r="B51" i="1"/>
  <c r="G88" i="1"/>
  <c r="P88" i="1" s="1"/>
  <c r="D98" i="1"/>
  <c r="D78" i="1"/>
  <c r="E27" i="1"/>
  <c r="E76" i="1" s="1"/>
  <c r="B106" i="1"/>
  <c r="E78" i="1"/>
  <c r="F38" i="1"/>
  <c r="C89" i="1"/>
  <c r="C59" i="1"/>
  <c r="C196" i="1" s="1"/>
  <c r="C55" i="1"/>
  <c r="C155" i="1" s="1"/>
  <c r="D218" i="1"/>
  <c r="D234" i="1" s="1"/>
  <c r="D25" i="1"/>
  <c r="F89" i="1"/>
  <c r="D189" i="1"/>
  <c r="G89" i="1"/>
  <c r="P89" i="1" s="1"/>
  <c r="E205" i="1"/>
  <c r="E89" i="1"/>
  <c r="D29" i="1"/>
  <c r="E29" i="1" s="1"/>
  <c r="F29" i="1" s="1"/>
  <c r="G29" i="1" s="1"/>
  <c r="P29" i="1" s="1"/>
  <c r="P66" i="1"/>
  <c r="D89" i="1"/>
  <c r="F53" i="1"/>
  <c r="F207" i="1" s="1"/>
  <c r="E57" i="1"/>
  <c r="E191" i="1" s="1"/>
  <c r="E55" i="1"/>
  <c r="E155" i="1" s="1"/>
  <c r="E25" i="1"/>
  <c r="E211" i="1"/>
  <c r="E207" i="1"/>
  <c r="E198" i="1"/>
  <c r="E206" i="1"/>
  <c r="C186" i="1"/>
  <c r="C187" i="1" s="1"/>
  <c r="C26" i="1"/>
  <c r="C168" i="1" s="1"/>
  <c r="E189" i="1"/>
  <c r="F54" i="1"/>
  <c r="E56" i="1"/>
  <c r="E190" i="1" s="1"/>
  <c r="D211" i="1"/>
  <c r="E125" i="1"/>
  <c r="C31" i="1"/>
  <c r="K3" i="1"/>
  <c r="D166" i="1"/>
  <c r="C198" i="1"/>
  <c r="C56" i="1"/>
  <c r="C58" i="1" s="1"/>
  <c r="C25" i="1"/>
  <c r="D207" i="1"/>
  <c r="D57" i="1"/>
  <c r="D191" i="1" s="1"/>
  <c r="D55" i="1"/>
  <c r="C189" i="1"/>
  <c r="B216" i="1"/>
  <c r="B250" i="1" s="1"/>
  <c r="B197" i="1"/>
  <c r="B192" i="1"/>
  <c r="F101" i="1" l="1"/>
  <c r="E91" i="1"/>
  <c r="D58" i="1"/>
  <c r="E165" i="1"/>
  <c r="B209" i="1"/>
  <c r="B217" i="1"/>
  <c r="B214" i="1"/>
  <c r="B107" i="1"/>
  <c r="F27" i="1"/>
  <c r="G27" i="1" s="1"/>
  <c r="C139" i="1"/>
  <c r="C138" i="1"/>
  <c r="G38" i="1"/>
  <c r="F78" i="1"/>
  <c r="C170" i="1"/>
  <c r="D31" i="1"/>
  <c r="C125" i="1"/>
  <c r="C74" i="1"/>
  <c r="D125" i="1"/>
  <c r="C166" i="1"/>
  <c r="D74" i="1"/>
  <c r="D165" i="1"/>
  <c r="C165" i="1"/>
  <c r="C190" i="1"/>
  <c r="F189" i="1"/>
  <c r="G54" i="1"/>
  <c r="C126" i="1"/>
  <c r="C75" i="1"/>
  <c r="C167" i="1"/>
  <c r="E166" i="1"/>
  <c r="C156" i="1"/>
  <c r="C41" i="1"/>
  <c r="C71" i="1" s="1"/>
  <c r="C60" i="1"/>
  <c r="C62" i="1" s="1"/>
  <c r="C192" i="1"/>
  <c r="C137" i="1"/>
  <c r="C194" i="1"/>
  <c r="C157" i="1"/>
  <c r="D156" i="1"/>
  <c r="D157" i="1"/>
  <c r="D192" i="1"/>
  <c r="D194" i="1"/>
  <c r="D26" i="1"/>
  <c r="D126" i="1" s="1"/>
  <c r="D186" i="1"/>
  <c r="D187" i="1" s="1"/>
  <c r="D35" i="1"/>
  <c r="D167" i="1"/>
  <c r="D155" i="1"/>
  <c r="L3" i="1"/>
  <c r="D70" i="1"/>
  <c r="D139" i="1" s="1"/>
  <c r="E74" i="1"/>
  <c r="C35" i="1"/>
  <c r="E35" i="1"/>
  <c r="E186" i="1"/>
  <c r="E187" i="1" s="1"/>
  <c r="E26" i="1"/>
  <c r="E168" i="1" s="1"/>
  <c r="E58" i="1"/>
  <c r="F56" i="1"/>
  <c r="F190" i="1" s="1"/>
  <c r="F55" i="1"/>
  <c r="F155" i="1" s="1"/>
  <c r="F211" i="1"/>
  <c r="F198" i="1"/>
  <c r="F25" i="1"/>
  <c r="F165" i="1" s="1"/>
  <c r="G53" i="1"/>
  <c r="F205" i="1"/>
  <c r="F185" i="1"/>
  <c r="F57" i="1"/>
  <c r="F191" i="1" s="1"/>
  <c r="F206" i="1"/>
  <c r="E98" i="1" l="1"/>
  <c r="E218" i="1"/>
  <c r="E234" i="1" s="1"/>
  <c r="G101" i="1"/>
  <c r="F91" i="1"/>
  <c r="G76" i="1"/>
  <c r="P76" i="1" s="1"/>
  <c r="P27" i="1"/>
  <c r="F76" i="1"/>
  <c r="G78" i="1"/>
  <c r="P78" i="1" s="1"/>
  <c r="P38" i="1"/>
  <c r="F58" i="1"/>
  <c r="F74" i="1"/>
  <c r="C216" i="1"/>
  <c r="C250" i="1" s="1"/>
  <c r="C69" i="1"/>
  <c r="C103" i="1"/>
  <c r="C200" i="1"/>
  <c r="G25" i="1"/>
  <c r="P25" i="1" s="1"/>
  <c r="G205" i="1"/>
  <c r="G56" i="1"/>
  <c r="P53" i="1"/>
  <c r="G57" i="1"/>
  <c r="G55" i="1"/>
  <c r="G207" i="1"/>
  <c r="G198" i="1"/>
  <c r="G155" i="1"/>
  <c r="G185" i="1"/>
  <c r="G211" i="1"/>
  <c r="G206" i="1"/>
  <c r="F186" i="1"/>
  <c r="F187" i="1" s="1"/>
  <c r="F35" i="1"/>
  <c r="F26" i="1"/>
  <c r="F168" i="1" s="1"/>
  <c r="E156" i="1"/>
  <c r="E192" i="1"/>
  <c r="E194" i="1"/>
  <c r="E157" i="1"/>
  <c r="D39" i="1"/>
  <c r="E127" i="1"/>
  <c r="D77" i="1"/>
  <c r="C67" i="1"/>
  <c r="F194" i="1"/>
  <c r="F157" i="1"/>
  <c r="F156" i="1"/>
  <c r="F192" i="1"/>
  <c r="E75" i="1"/>
  <c r="E126" i="1"/>
  <c r="M3" i="1"/>
  <c r="E70" i="1"/>
  <c r="E139" i="1" s="1"/>
  <c r="F125" i="1"/>
  <c r="G189" i="1"/>
  <c r="P54" i="1"/>
  <c r="E31" i="1"/>
  <c r="D170" i="1"/>
  <c r="F166" i="1"/>
  <c r="F75" i="1"/>
  <c r="F126" i="1"/>
  <c r="E39" i="1"/>
  <c r="E77" i="1"/>
  <c r="E167" i="1"/>
  <c r="C77" i="1"/>
  <c r="C127" i="1"/>
  <c r="D127" i="1"/>
  <c r="C39" i="1"/>
  <c r="C44" i="1" s="1"/>
  <c r="D168" i="1"/>
  <c r="D75" i="1"/>
  <c r="F218" i="1" l="1"/>
  <c r="F234" i="1" s="1"/>
  <c r="F98" i="1"/>
  <c r="G91" i="1"/>
  <c r="P101" i="1"/>
  <c r="G74" i="1"/>
  <c r="P74" i="1" s="1"/>
  <c r="F167" i="1"/>
  <c r="G166" i="1"/>
  <c r="G125" i="1"/>
  <c r="G165" i="1"/>
  <c r="F31" i="1"/>
  <c r="F170" i="1" s="1"/>
  <c r="C158" i="1"/>
  <c r="C73" i="1"/>
  <c r="E170" i="1"/>
  <c r="C48" i="1"/>
  <c r="C50" i="1" s="1"/>
  <c r="C217" i="1"/>
  <c r="C214" i="1"/>
  <c r="C209" i="1"/>
  <c r="C107" i="1"/>
  <c r="G26" i="1"/>
  <c r="P26" i="1" s="1"/>
  <c r="G35" i="1"/>
  <c r="G127" i="1" s="1"/>
  <c r="G186" i="1"/>
  <c r="G187" i="1" s="1"/>
  <c r="P55" i="1"/>
  <c r="G168" i="1"/>
  <c r="G191" i="1"/>
  <c r="P57" i="1"/>
  <c r="P56" i="1"/>
  <c r="G190" i="1"/>
  <c r="F70" i="1"/>
  <c r="F139" i="1" s="1"/>
  <c r="N3" i="1"/>
  <c r="G70" i="1" s="1"/>
  <c r="P70" i="1" s="1"/>
  <c r="F39" i="1"/>
  <c r="F77" i="1"/>
  <c r="F127" i="1"/>
  <c r="G58" i="1"/>
  <c r="C233" i="1"/>
  <c r="C249" i="1"/>
  <c r="G98" i="1" l="1"/>
  <c r="P98" i="1" s="1"/>
  <c r="G218" i="1"/>
  <c r="G234" i="1" s="1"/>
  <c r="P91" i="1"/>
  <c r="G75" i="1"/>
  <c r="P75" i="1" s="1"/>
  <c r="G139" i="1"/>
  <c r="G126" i="1"/>
  <c r="G167" i="1"/>
  <c r="C136" i="1"/>
  <c r="C135" i="1"/>
  <c r="C147" i="1"/>
  <c r="C148" i="1"/>
  <c r="C150" i="1" s="1"/>
  <c r="C146" i="1"/>
  <c r="G192" i="1"/>
  <c r="G156" i="1"/>
  <c r="G194" i="1"/>
  <c r="G157" i="1"/>
  <c r="P58" i="1"/>
  <c r="G77" i="1"/>
  <c r="P77" i="1" s="1"/>
  <c r="G39" i="1"/>
  <c r="P35" i="1"/>
  <c r="C235" i="1"/>
  <c r="C255" i="1" s="1"/>
  <c r="C254" i="1"/>
  <c r="C149" i="1"/>
  <c r="C236" i="1"/>
  <c r="C151" i="1"/>
  <c r="C178" i="1"/>
  <c r="C51" i="1"/>
  <c r="C108" i="1"/>
  <c r="C79" i="1"/>
  <c r="C90" i="1" s="1"/>
  <c r="C176" i="1"/>
  <c r="C177" i="1"/>
  <c r="C175" i="1"/>
  <c r="G31" i="1"/>
  <c r="P31" i="1" s="1"/>
  <c r="G170" i="1" l="1"/>
  <c r="C99" i="1"/>
  <c r="C24" i="1" s="1"/>
  <c r="P39" i="1"/>
  <c r="J103" i="1" l="1"/>
  <c r="D59" i="1"/>
  <c r="D138" i="1" s="1"/>
  <c r="C179" i="1"/>
  <c r="C28" i="1"/>
  <c r="C124" i="1"/>
  <c r="C109" i="1"/>
  <c r="C180" i="1" l="1"/>
  <c r="C33" i="1"/>
  <c r="C123" i="1"/>
  <c r="C169" i="1"/>
  <c r="D60" i="1"/>
  <c r="D62" i="1" s="1"/>
  <c r="D137" i="1"/>
  <c r="D41" i="1"/>
  <c r="D196" i="1"/>
  <c r="D67" i="1" l="1"/>
  <c r="D107" i="1" s="1"/>
  <c r="D71" i="1"/>
  <c r="D44" i="1"/>
  <c r="D103" i="1"/>
  <c r="D216" i="1"/>
  <c r="D250" i="1" s="1"/>
  <c r="D69" i="1"/>
  <c r="D200" i="1"/>
  <c r="D217" i="1"/>
  <c r="D209" i="1"/>
  <c r="D48" i="1"/>
  <c r="D50" i="1" s="1"/>
  <c r="D146" i="1" s="1"/>
  <c r="D214" i="1"/>
  <c r="C106" i="1"/>
  <c r="C132" i="1"/>
  <c r="C131" i="1"/>
  <c r="C133" i="1"/>
  <c r="C171" i="1"/>
  <c r="C134" i="1"/>
  <c r="C145" i="1"/>
  <c r="C140" i="1"/>
  <c r="D147" i="1" l="1"/>
  <c r="D148" i="1"/>
  <c r="D51" i="1"/>
  <c r="D136" i="1"/>
  <c r="D135" i="1"/>
  <c r="D158" i="1"/>
  <c r="D73" i="1"/>
  <c r="D108" i="1" s="1"/>
  <c r="D249" i="1"/>
  <c r="D233" i="1"/>
  <c r="D79" i="1" l="1"/>
  <c r="D90" i="1" s="1"/>
  <c r="D176" i="1"/>
  <c r="D177" i="1"/>
  <c r="D175" i="1"/>
  <c r="D254" i="1"/>
  <c r="D178" i="1"/>
  <c r="D151" i="1"/>
  <c r="D235" i="1"/>
  <c r="D255" i="1" s="1"/>
  <c r="D149" i="1"/>
  <c r="D236" i="1"/>
  <c r="D150" i="1"/>
  <c r="D99" i="1" l="1"/>
  <c r="D24" i="1" s="1"/>
  <c r="E59" i="1" l="1"/>
  <c r="E138" i="1" s="1"/>
  <c r="K103" i="1"/>
  <c r="D124" i="1"/>
  <c r="D28" i="1"/>
  <c r="D179" i="1"/>
  <c r="D109" i="1"/>
  <c r="E60" i="1" l="1"/>
  <c r="E62" i="1" s="1"/>
  <c r="E196" i="1"/>
  <c r="E41" i="1"/>
  <c r="E137" i="1"/>
  <c r="D169" i="1"/>
  <c r="D123" i="1"/>
  <c r="D180" i="1"/>
  <c r="D33" i="1"/>
  <c r="E67" i="1" l="1"/>
  <c r="E107" i="1" s="1"/>
  <c r="E71" i="1"/>
  <c r="E44" i="1"/>
  <c r="E216" i="1"/>
  <c r="E250" i="1" s="1"/>
  <c r="E69" i="1"/>
  <c r="E103" i="1"/>
  <c r="E200" i="1"/>
  <c r="D106" i="1"/>
  <c r="D140" i="1"/>
  <c r="D133" i="1"/>
  <c r="D132" i="1"/>
  <c r="D145" i="1"/>
  <c r="D134" i="1"/>
  <c r="D171" i="1"/>
  <c r="D131" i="1"/>
  <c r="E48" i="1"/>
  <c r="E50" i="1" s="1"/>
  <c r="E146" i="1" s="1"/>
  <c r="E214" i="1"/>
  <c r="E209" i="1"/>
  <c r="E217" i="1"/>
  <c r="E233" i="1" l="1"/>
  <c r="E249" i="1"/>
  <c r="E135" i="1"/>
  <c r="E136" i="1"/>
  <c r="E51" i="1"/>
  <c r="E147" i="1"/>
  <c r="E148" i="1"/>
  <c r="E73" i="1"/>
  <c r="E158" i="1"/>
  <c r="E177" i="1" l="1"/>
  <c r="E175" i="1"/>
  <c r="E79" i="1"/>
  <c r="E90" i="1" s="1"/>
  <c r="E176" i="1"/>
  <c r="E254" i="1"/>
  <c r="E150" i="1"/>
  <c r="E236" i="1"/>
  <c r="E178" i="1"/>
  <c r="E235" i="1"/>
  <c r="E255" i="1" s="1"/>
  <c r="E149" i="1"/>
  <c r="E151" i="1"/>
  <c r="E108" i="1"/>
  <c r="E99" i="1" l="1"/>
  <c r="E24" i="1" s="1"/>
  <c r="E109" i="1" l="1"/>
  <c r="E124" i="1"/>
  <c r="E28" i="1"/>
  <c r="L103" i="1"/>
  <c r="E179" i="1"/>
  <c r="F59" i="1"/>
  <c r="F138" i="1" s="1"/>
  <c r="E123" i="1" l="1"/>
  <c r="E33" i="1"/>
  <c r="E169" i="1"/>
  <c r="E180" i="1"/>
  <c r="F60" i="1"/>
  <c r="F62" i="1" s="1"/>
  <c r="F196" i="1"/>
  <c r="F41" i="1"/>
  <c r="F137" i="1"/>
  <c r="F67" i="1" l="1"/>
  <c r="F217" i="1" s="1"/>
  <c r="F71" i="1"/>
  <c r="F44" i="1"/>
  <c r="F103" i="1"/>
  <c r="F200" i="1"/>
  <c r="F69" i="1"/>
  <c r="F216" i="1"/>
  <c r="F250" i="1" s="1"/>
  <c r="E132" i="1"/>
  <c r="E171" i="1"/>
  <c r="E134" i="1"/>
  <c r="E140" i="1"/>
  <c r="E131" i="1"/>
  <c r="E133" i="1"/>
  <c r="E106" i="1"/>
  <c r="E145" i="1"/>
  <c r="F107" i="1" l="1"/>
  <c r="F48" i="1"/>
  <c r="F50" i="1" s="1"/>
  <c r="F146" i="1" s="1"/>
  <c r="F214" i="1"/>
  <c r="F209" i="1"/>
  <c r="F73" i="1"/>
  <c r="F108" i="1" s="1"/>
  <c r="F158" i="1"/>
  <c r="F233" i="1"/>
  <c r="F249" i="1"/>
  <c r="F135" i="1" l="1"/>
  <c r="F148" i="1"/>
  <c r="F51" i="1"/>
  <c r="F136" i="1"/>
  <c r="F147" i="1"/>
  <c r="F149" i="1" s="1"/>
  <c r="F235" i="1"/>
  <c r="F255" i="1" s="1"/>
  <c r="F150" i="1"/>
  <c r="F151" i="1"/>
  <c r="F178" i="1"/>
  <c r="F254" i="1"/>
  <c r="F236" i="1"/>
  <c r="F175" i="1"/>
  <c r="F177" i="1"/>
  <c r="F176" i="1"/>
  <c r="F79" i="1"/>
  <c r="F90" i="1" s="1"/>
  <c r="F99" i="1" l="1"/>
  <c r="F24" i="1" s="1"/>
  <c r="F109" i="1" l="1"/>
  <c r="F124" i="1"/>
  <c r="G59" i="1"/>
  <c r="G138" i="1" s="1"/>
  <c r="F179" i="1"/>
  <c r="F28" i="1"/>
  <c r="M103" i="1"/>
  <c r="F123" i="1" l="1"/>
  <c r="F169" i="1"/>
  <c r="F33" i="1"/>
  <c r="F180" i="1"/>
  <c r="G41" i="1"/>
  <c r="G44" i="1" s="1"/>
  <c r="P44" i="1" s="1"/>
  <c r="P59" i="1"/>
  <c r="G196" i="1"/>
  <c r="G60" i="1"/>
  <c r="P60" i="1" s="1"/>
  <c r="G137" i="1"/>
  <c r="G67" i="1" l="1"/>
  <c r="G107" i="1" s="1"/>
  <c r="F131" i="1"/>
  <c r="F133" i="1"/>
  <c r="F132" i="1"/>
  <c r="F171" i="1"/>
  <c r="F106" i="1"/>
  <c r="F145" i="1"/>
  <c r="F134" i="1"/>
  <c r="F140" i="1"/>
  <c r="P41" i="1"/>
  <c r="G71" i="1"/>
  <c r="P71" i="1" s="1"/>
  <c r="G62" i="1"/>
  <c r="G217" i="1" l="1"/>
  <c r="G209" i="1"/>
  <c r="G48" i="1"/>
  <c r="P48" i="1" s="1"/>
  <c r="P67" i="1"/>
  <c r="G214" i="1"/>
  <c r="P62" i="1"/>
  <c r="G216" i="1"/>
  <c r="G250" i="1" s="1"/>
  <c r="G200" i="1"/>
  <c r="G69" i="1"/>
  <c r="G103" i="1"/>
  <c r="G50" i="1"/>
  <c r="G146" i="1" s="1"/>
  <c r="G136" i="1" l="1"/>
  <c r="G148" i="1"/>
  <c r="G135" i="1"/>
  <c r="G147" i="1"/>
  <c r="G51" i="1"/>
  <c r="P51" i="1" s="1"/>
  <c r="P50" i="1"/>
  <c r="P69" i="1"/>
  <c r="G73" i="1"/>
  <c r="G108" i="1" s="1"/>
  <c r="G158" i="1"/>
  <c r="G249" i="1"/>
  <c r="G233" i="1"/>
  <c r="G151" i="1" l="1"/>
  <c r="G236" i="1"/>
  <c r="G178" i="1"/>
  <c r="G254" i="1"/>
  <c r="G149" i="1"/>
  <c r="G235" i="1"/>
  <c r="G255" i="1" s="1"/>
  <c r="G150" i="1"/>
  <c r="G177" i="1"/>
  <c r="P73" i="1"/>
  <c r="G79" i="1"/>
  <c r="G175" i="1"/>
  <c r="G176" i="1"/>
  <c r="G90" i="1" l="1"/>
  <c r="P79" i="1"/>
  <c r="P90" i="1" l="1"/>
  <c r="G99" i="1"/>
  <c r="G109" i="1" s="1"/>
  <c r="P99" i="1" l="1"/>
  <c r="G24" i="1"/>
  <c r="P24" i="1" l="1"/>
  <c r="G179" i="1"/>
  <c r="N103" i="1"/>
  <c r="G28" i="1"/>
  <c r="G124" i="1"/>
  <c r="G180" i="1" l="1"/>
  <c r="G123" i="1"/>
  <c r="G33" i="1"/>
  <c r="P28" i="1"/>
  <c r="G169" i="1"/>
  <c r="P33" i="1" l="1"/>
  <c r="G131" i="1"/>
  <c r="G171" i="1"/>
  <c r="G134" i="1"/>
  <c r="G145" i="1"/>
  <c r="G132" i="1"/>
  <c r="G106" i="1"/>
  <c r="G140" i="1"/>
  <c r="G133" i="1"/>
</calcChain>
</file>

<file path=xl/sharedStrings.xml><?xml version="1.0" encoding="utf-8"?>
<sst xmlns="http://schemas.openxmlformats.org/spreadsheetml/2006/main" count="440" uniqueCount="321">
  <si>
    <t xml:space="preserve">         COMPREHENSIVE INTEGRATED FINANCIAL FORECASTING SYSTEM</t>
  </si>
  <si>
    <t>Intermediate Calculation Section</t>
  </si>
  <si>
    <t xml:space="preserve">                 FINANCIAL STATEMENTS ANALYSIS PROGRAM</t>
  </si>
  <si>
    <t>--------------------------------</t>
  </si>
  <si>
    <t xml:space="preserve">                FINANCIAL STATEMENTS FORECASTING SYSTEM</t>
  </si>
  <si>
    <t>PP &amp; E Depreciation</t>
  </si>
  <si>
    <t>Oth Assets Depreciation</t>
  </si>
  <si>
    <t xml:space="preserve">      WORKSHEET MACROS:</t>
  </si>
  <si>
    <t>Ctrl-S</t>
  </si>
  <si>
    <t>Saves assumptions for the first time</t>
  </si>
  <si>
    <t>Ctrl-E</t>
  </si>
  <si>
    <t>Saves assumptions subsequently</t>
  </si>
  <si>
    <t>Ctrl-M</t>
  </si>
  <si>
    <t>Moves assumptions ahead one year</t>
  </si>
  <si>
    <t>Ctrl-B</t>
  </si>
  <si>
    <t>Prints ratios</t>
  </si>
  <si>
    <t>Ctrl-D</t>
  </si>
  <si>
    <t>Prints common size income statement</t>
  </si>
  <si>
    <t>Ctrl-P</t>
  </si>
  <si>
    <t>Prints forecasted data</t>
  </si>
  <si>
    <t>Ctrl-A</t>
  </si>
  <si>
    <t>Prints forecast assumptions</t>
  </si>
  <si>
    <t>Ctrl-C</t>
  </si>
  <si>
    <t>Combines all print requests</t>
  </si>
  <si>
    <t>Ctrl-U</t>
  </si>
  <si>
    <t>Saves and prints return forecast</t>
  </si>
  <si>
    <t>Ctrl-G</t>
  </si>
  <si>
    <t>Go to macros</t>
  </si>
  <si>
    <t>Ctrl-X</t>
  </si>
  <si>
    <t>CALCULATED FORECAST DATA:</t>
  </si>
  <si>
    <t>FORECAST VARIABLES:</t>
  </si>
  <si>
    <t>Company Name:</t>
  </si>
  <si>
    <t>YR(Most Recent,Last Col)</t>
  </si>
  <si>
    <t>Cash and Mkt. Securities</t>
  </si>
  <si>
    <t>Accts Rec Writeoff</t>
  </si>
  <si>
    <t>Accts/Notes Receivable</t>
  </si>
  <si>
    <t>Sales/Ending Accts Rec.</t>
  </si>
  <si>
    <t>Inventories (EOP)</t>
  </si>
  <si>
    <t>COGS/Ending Inventories</t>
  </si>
  <si>
    <t>Other Current Assets</t>
  </si>
  <si>
    <t>Inc(Decr)Oth Curr Assets</t>
  </si>
  <si>
    <t xml:space="preserve">   CURRENT ASSETS</t>
  </si>
  <si>
    <t>N.E.</t>
  </si>
  <si>
    <t>Investments</t>
  </si>
  <si>
    <t>Deprec. Base Incr(Decr)</t>
  </si>
  <si>
    <t>Property,Plant,&amp; Equip.</t>
  </si>
  <si>
    <t>Gdwill in new Cap Assets</t>
  </si>
  <si>
    <t>less: Accum.Depreciation</t>
  </si>
  <si>
    <t>New PP&amp;E Aver Depr Life</t>
  </si>
  <si>
    <t>Other Assets</t>
  </si>
  <si>
    <t>Oth Assets Ave Depr Life</t>
  </si>
  <si>
    <t xml:space="preserve">   TOTAL ASSETS</t>
  </si>
  <si>
    <t>OA Amor. Base Incr(Decr)</t>
  </si>
  <si>
    <t>Acts. &amp; Notes Pay.-Trade</t>
  </si>
  <si>
    <t>Op Exp/Ending A &amp; N Pay.</t>
  </si>
  <si>
    <t>Notes Payable--Non-Trade</t>
  </si>
  <si>
    <t>Aver Outst Notes Payable</t>
  </si>
  <si>
    <t>Current Part LT Debt</t>
  </si>
  <si>
    <t>Other Current Liab.</t>
  </si>
  <si>
    <t>Inc(Decr)Oth Curr. Liab.</t>
  </si>
  <si>
    <t xml:space="preserve">   CURRENT LIABILITIES</t>
  </si>
  <si>
    <t>Conv. Debt for FD EPS</t>
  </si>
  <si>
    <t>Long Term Debt</t>
  </si>
  <si>
    <t>Conv. Debt Int Rate for FD EPS</t>
  </si>
  <si>
    <t>Deferred Tax (NCL)</t>
  </si>
  <si>
    <t>Statutory Tax Rate</t>
  </si>
  <si>
    <t>Other Non-Current Liab.</t>
  </si>
  <si>
    <t>Minority Int. in Subs.</t>
  </si>
  <si>
    <t>Minority Int. Distribut.</t>
  </si>
  <si>
    <t xml:space="preserve">   TOTAL LIABILITIES</t>
  </si>
  <si>
    <t>Preferred Stock</t>
  </si>
  <si>
    <t>Preferred Stock Issued</t>
  </si>
  <si>
    <t>Common Stock</t>
  </si>
  <si>
    <t>Additional Paid-in Cap.</t>
  </si>
  <si>
    <t>Retained Earnings</t>
  </si>
  <si>
    <t>Equity Earnings</t>
  </si>
  <si>
    <t>Treasury Stock</t>
  </si>
  <si>
    <t>Treasury Stock Purchased</t>
  </si>
  <si>
    <t xml:space="preserve">   SHAREHOLDER'S EQUITY</t>
  </si>
  <si>
    <t xml:space="preserve">   TOTAL EQUITIES</t>
  </si>
  <si>
    <t>Sales</t>
  </si>
  <si>
    <t>Sales Growth Rate</t>
  </si>
  <si>
    <t>Other Revenue</t>
  </si>
  <si>
    <t>Other Revenue Gr. Rate</t>
  </si>
  <si>
    <t>Cost of Goods Sold</t>
  </si>
  <si>
    <t>Cost of Goods Sold Pct.</t>
  </si>
  <si>
    <t>R&amp;D/Other Expense Line 1</t>
  </si>
  <si>
    <t>Sell. &amp; Mktg. Exp. Pct.</t>
  </si>
  <si>
    <t>SG&amp;A/Other Exp. Line 2</t>
  </si>
  <si>
    <t>Gen. &amp; Admin. Exp. Pct.</t>
  </si>
  <si>
    <t xml:space="preserve">   EBIT</t>
  </si>
  <si>
    <t>Aver. Int. Income Rate</t>
  </si>
  <si>
    <t>Interest Expense</t>
  </si>
  <si>
    <t>Aver. LT Debt Int. Rate</t>
  </si>
  <si>
    <t>Income Tax Expense</t>
  </si>
  <si>
    <t>Effective Tax Rate</t>
  </si>
  <si>
    <t>Minor. Int. in Earnings</t>
  </si>
  <si>
    <t>Income from Contin. Ops</t>
  </si>
  <si>
    <t>Income from Discont. Ops</t>
  </si>
  <si>
    <t>Extra. Gains (Losses)</t>
  </si>
  <si>
    <t>Changes in Acct. Princ.</t>
  </si>
  <si>
    <t>Preferred Stock Dividend</t>
  </si>
  <si>
    <t xml:space="preserve">   NI AVAIL. TO COM.</t>
  </si>
  <si>
    <t>Net Income, Cont Ops</t>
  </si>
  <si>
    <t>PP&amp;E Adjustment</t>
  </si>
  <si>
    <t>Depreciation and Amort.</t>
  </si>
  <si>
    <t>PP&amp;E Depreciation Adjust</t>
  </si>
  <si>
    <t>Other Addbacks</t>
  </si>
  <si>
    <t>(Gain)Loss fr Asset Sale</t>
  </si>
  <si>
    <t>Other Subtractions</t>
  </si>
  <si>
    <t xml:space="preserve">  WC Provided by Ops</t>
  </si>
  <si>
    <t>(Inc)Decr in Receivables</t>
  </si>
  <si>
    <t>(Inc)Decr in Inventories</t>
  </si>
  <si>
    <t>(Inc)Decr in Other CA</t>
  </si>
  <si>
    <t>Inc(Decr) A&amp;N Pay.-Trade</t>
  </si>
  <si>
    <t>Inc(Decr) in Other CL</t>
  </si>
  <si>
    <t xml:space="preserve">  Cash from Cont. Ops.</t>
  </si>
  <si>
    <t>Cash from Discont. Ops.</t>
  </si>
  <si>
    <t>Cash fr. Extr. Gain/Loss</t>
  </si>
  <si>
    <t>Increase N.Pay-NonTrade</t>
  </si>
  <si>
    <t>Increase Curr. LT Debt</t>
  </si>
  <si>
    <t>Long-Term Debt Issued</t>
  </si>
  <si>
    <t>Capital Stock Issued</t>
  </si>
  <si>
    <t>Cap. Stock Iss.(Inc Pfd)</t>
  </si>
  <si>
    <t>Capital Assets Sold</t>
  </si>
  <si>
    <t>Asset Sales less W.C.</t>
  </si>
  <si>
    <t>Investments Sold</t>
  </si>
  <si>
    <t>Other Sources</t>
  </si>
  <si>
    <t>Other Assets Adjustment</t>
  </si>
  <si>
    <t xml:space="preserve">  CASH, NON-OPS SOURCES</t>
  </si>
  <si>
    <t xml:space="preserve">    CASH, ALL SOURCES</t>
  </si>
  <si>
    <t>Dividends</t>
  </si>
  <si>
    <t>Common Dividend Per Share</t>
  </si>
  <si>
    <t>Decrease N.Pay-NonTrade</t>
  </si>
  <si>
    <t>Decrease Curr. LT Debt</t>
  </si>
  <si>
    <t>Asset Purchases less W.C.</t>
  </si>
  <si>
    <t>Long-Term Debt Redeemed</t>
  </si>
  <si>
    <t>Capital Assets Acquired</t>
  </si>
  <si>
    <t>PP&amp;E Purchased</t>
  </si>
  <si>
    <t>Increase In Investments</t>
  </si>
  <si>
    <t>Other Uses</t>
  </si>
  <si>
    <t>Increase in Other Assets</t>
  </si>
  <si>
    <t xml:space="preserve">  TOTAL CASH USES</t>
  </si>
  <si>
    <t>Inc.(Decr.) in Cash etc.</t>
  </si>
  <si>
    <t>Wtd Aver Com Shrs Outs</t>
  </si>
  <si>
    <t>Common Shrs Issued(Ret)</t>
  </si>
  <si>
    <t>EPS Cont Operations</t>
  </si>
  <si>
    <t>Cash Change (for line 99)</t>
  </si>
  <si>
    <t>FINANCIAL DATA CHECKS</t>
  </si>
  <si>
    <t xml:space="preserve">  Assets - Equities</t>
  </si>
  <si>
    <t>Rev. - Exp. - NI</t>
  </si>
  <si>
    <t>WC from OPS</t>
  </si>
  <si>
    <t>Cash Changes</t>
  </si>
  <si>
    <t>3.1  SHORT TERM LIQUIDITY RATIOS</t>
  </si>
  <si>
    <t xml:space="preserve"> </t>
  </si>
  <si>
    <t xml:space="preserve">Current </t>
  </si>
  <si>
    <t xml:space="preserve">Quick (Acid Test) </t>
  </si>
  <si>
    <t>Days Sales In Receivables</t>
  </si>
  <si>
    <t>Days Inventory Held</t>
  </si>
  <si>
    <t>Days Payables in Ops Exp</t>
  </si>
  <si>
    <t>3.2  CAPITAL STRUCTURE AND LT SOLVENCY RATIOS</t>
  </si>
  <si>
    <t>LT Debt/Total Assets</t>
  </si>
  <si>
    <t>LT Debt/Tangible Assets</t>
  </si>
  <si>
    <t>Total Debt/Total Assets</t>
  </si>
  <si>
    <t>Total Debt/Tangible Assets</t>
  </si>
  <si>
    <t>LT Debt/Owner's Equity</t>
  </si>
  <si>
    <t>LT Debt/Tang. Net Worth</t>
  </si>
  <si>
    <t xml:space="preserve">Ret. Earn./Total Assets </t>
  </si>
  <si>
    <t>3.3  RETURN-ON-INVESTMENT RATIOS</t>
  </si>
  <si>
    <t xml:space="preserve">  </t>
  </si>
  <si>
    <t>Return On Total Assets</t>
  </si>
  <si>
    <t>Return On Common Equity</t>
  </si>
  <si>
    <t>Book Value per share</t>
  </si>
  <si>
    <t>Tang. Bk Value per share</t>
  </si>
  <si>
    <t>Market Value/Book Value</t>
  </si>
  <si>
    <t>Mkt Val/Tang Book Value</t>
  </si>
  <si>
    <t>Market Value/Sales</t>
  </si>
  <si>
    <t>3.4  OPERATING PERFORMANCE RATIOS</t>
  </si>
  <si>
    <t>Gross Margin/Sales</t>
  </si>
  <si>
    <t>EBIT/Sales</t>
  </si>
  <si>
    <t>Oper. Prof. net of tax/Sales</t>
  </si>
  <si>
    <t>Net Income/Sales</t>
  </si>
  <si>
    <t>3.5  ASSET UTILIZATION RATIOS</t>
  </si>
  <si>
    <t>Sales/Aver. Accts Rec.</t>
  </si>
  <si>
    <t>COGS/Average Inventory</t>
  </si>
  <si>
    <t>COGS/Ending Inventory</t>
  </si>
  <si>
    <t>Sales/Aver. Wrkg Capital</t>
  </si>
  <si>
    <t>Sales/Aver. Fixed Assets</t>
  </si>
  <si>
    <t>Sales/Aver. Tot. Assets</t>
  </si>
  <si>
    <t>3.6  CASH FLOW RATIOS</t>
  </si>
  <si>
    <t>Oper Cash Flow/Curr Liab</t>
  </si>
  <si>
    <t>Oper Cash Flow/Tot Liab</t>
  </si>
  <si>
    <t>Cash Flow per share</t>
  </si>
  <si>
    <t>Price to Cash Flow</t>
  </si>
  <si>
    <t>Cash per share</t>
  </si>
  <si>
    <t>Wrking Capital per share</t>
  </si>
  <si>
    <t>4.1 INCOME STATEMENT ITEMS AS % OF SALES</t>
  </si>
  <si>
    <t xml:space="preserve">   GROSS MARGIN</t>
  </si>
  <si>
    <t xml:space="preserve">   OPERATING MARGIN</t>
  </si>
  <si>
    <t xml:space="preserve">   INCOME--CONTIN. OPS</t>
  </si>
  <si>
    <t xml:space="preserve">   (continued on following screen)</t>
  </si>
  <si>
    <t>4.1 INCOME STATEMENT ITEMS AS % OF SALES (A321, Screen 2 of 2)</t>
  </si>
  <si>
    <t>Income From Discont. Ops</t>
  </si>
  <si>
    <t>Extra. Gains &amp; Losses</t>
  </si>
  <si>
    <t xml:space="preserve">   NET INCOME</t>
  </si>
  <si>
    <t>NET INCOME AVAILABLE TO</t>
  </si>
  <si>
    <t xml:space="preserve">   COMMON SHAREHOLDERS</t>
  </si>
  <si>
    <t>EPS from Cont Operations</t>
  </si>
  <si>
    <t>Total Earnings per share</t>
  </si>
  <si>
    <t>Dividends per share</t>
  </si>
  <si>
    <t>PROJECTED RETURN CALCULATIONS</t>
  </si>
  <si>
    <t>-----------------------------</t>
  </si>
  <si>
    <t>Company PE / S &amp; P PE</t>
  </si>
  <si>
    <t>Projected Company PE</t>
  </si>
  <si>
    <t>Projected Price</t>
  </si>
  <si>
    <t>Cumulative Dividends</t>
  </si>
  <si>
    <t>Projected Return</t>
  </si>
  <si>
    <t>Projected Yield</t>
  </si>
  <si>
    <t>Assumed Purchase Price</t>
  </si>
  <si>
    <t>Analyst:</t>
  </si>
  <si>
    <t>S &amp; P Multiple</t>
  </si>
  <si>
    <t>Fiscal Year:</t>
  </si>
  <si>
    <t>Months to Year End</t>
  </si>
  <si>
    <t>Use EPS Cont. Ops. (1) or Total EPS (2):</t>
  </si>
  <si>
    <t>PROJECTED RETURN DATA</t>
  </si>
  <si>
    <t>---------------------</t>
  </si>
  <si>
    <t>Company:</t>
  </si>
  <si>
    <t>Current Price:</t>
  </si>
  <si>
    <t>Current Date:</t>
  </si>
  <si>
    <t>Year:</t>
  </si>
  <si>
    <t>----</t>
  </si>
  <si>
    <t>EPS Growth Rate</t>
  </si>
  <si>
    <t>In-house EPS Estimates</t>
  </si>
  <si>
    <t>IBES EPS Estimates</t>
  </si>
  <si>
    <t>Worksheet Macros:</t>
  </si>
  <si>
    <t>-----------------</t>
  </si>
  <si>
    <t>/fxvrfc{?}~a243.g253~{?}~{home}</t>
  </si>
  <si>
    <t>Alt-U:</t>
  </si>
  <si>
    <t>Saves Data for Projected</t>
  </si>
  <si>
    <t>:prcrsa241.g253~lcaqg</t>
  </si>
  <si>
    <t>Return Database</t>
  </si>
  <si>
    <t>/fdc:\home\research\fsap\fsapfile~</t>
  </si>
  <si>
    <t>Alt-I:</t>
  </si>
  <si>
    <t>Imports last year's data and</t>
  </si>
  <si>
    <t>/wgpd{goto}b22~/fccnly~hist{?}~</t>
  </si>
  <si>
    <t>current assumptions for the new</t>
  </si>
  <si>
    <t>{goto}j22~/fcceassm{?}~</t>
  </si>
  <si>
    <t>forecasting session</t>
  </si>
  <si>
    <t>{goto}a21~/wgpe</t>
  </si>
  <si>
    <t>Alt-S:</t>
  </si>
  <si>
    <t xml:space="preserve">Saves regular assumptions </t>
  </si>
  <si>
    <t>{goto}b22~/c~j22~</t>
  </si>
  <si>
    <t>for the first time</t>
  </si>
  <si>
    <t>/fxvassm{?}~j22.n101~</t>
  </si>
  <si>
    <t>{goto}a21~</t>
  </si>
  <si>
    <t>Alt-T:</t>
  </si>
  <si>
    <t xml:space="preserve">Saves future assumptions </t>
  </si>
  <si>
    <t>/fxvassf{?}~j22.n101~</t>
  </si>
  <si>
    <t>/fxvassm{?}~j22.n101~r</t>
  </si>
  <si>
    <t xml:space="preserve">Alt-E: </t>
  </si>
  <si>
    <t>Resaves regular</t>
  </si>
  <si>
    <t>assumptions</t>
  </si>
  <si>
    <t>/fxvassf{?}~j22.n101~r</t>
  </si>
  <si>
    <t xml:space="preserve">Alt-F: </t>
  </si>
  <si>
    <t>Resaves future</t>
  </si>
  <si>
    <t>/rncfindata~a22.g101~</t>
  </si>
  <si>
    <t>Alt-Z:</t>
  </si>
  <si>
    <t>Extracts forecast data for use with the</t>
  </si>
  <si>
    <t>/fxvfc{?}~a22.g101~{?}</t>
  </si>
  <si>
    <t>FSAP_A_5 analysis program</t>
  </si>
  <si>
    <t>:prcrsa21.g68,a103.g103~lcaqg</t>
  </si>
  <si>
    <t>Alt-P:</t>
  </si>
  <si>
    <t>Prints Forecast Data</t>
  </si>
  <si>
    <t>:prcrsa21.g23,a69.g99~lcaqg</t>
  </si>
  <si>
    <t>:prcrsh21.n67~lcaqg</t>
  </si>
  <si>
    <t>Alt-A:</t>
  </si>
  <si>
    <t>Prints Forecast Assumptions</t>
  </si>
  <si>
    <t>:prcrsh21.n23,h69.n99~lcaqg</t>
  </si>
  <si>
    <t>Alt-Q:</t>
  </si>
  <si>
    <t>Goes to start of data input form</t>
  </si>
  <si>
    <t>/fdc:\home\research\fsap~</t>
  </si>
  <si>
    <t>Alt-X:</t>
  </si>
  <si>
    <t>Exits to FSAP main menu</t>
  </si>
  <si>
    <t>/frauto123~</t>
  </si>
  <si>
    <t>{goto}a261~</t>
  </si>
  <si>
    <t>Alt-G:</t>
  </si>
  <si>
    <t>Goes to Macro (automated commands)</t>
  </si>
  <si>
    <t xml:space="preserve">   listings</t>
  </si>
  <si>
    <t>/wgpd/ck23.n101~j23~</t>
  </si>
  <si>
    <t>Alt-M:</t>
  </si>
  <si>
    <t>Moves assumptions ahead one year and</t>
  </si>
  <si>
    <t>/cm24.m101~n24~</t>
  </si>
  <si>
    <t>copies the previous year five</t>
  </si>
  <si>
    <t xml:space="preserve">assumptions into the new year five </t>
  </si>
  <si>
    <t>column.</t>
  </si>
  <si>
    <t>:prcrsa22.b22,a121.g139,a141.g157,a161.g178~lcaqg</t>
  </si>
  <si>
    <t>Alt-B:</t>
  </si>
  <si>
    <t>Prints Ratios</t>
  </si>
  <si>
    <t>:prcrsa22.b22,a181.g199,a203.g217,a224.g238~lcaqg</t>
  </si>
  <si>
    <t>Alt-D:</t>
  </si>
  <si>
    <t xml:space="preserve">Prints Common Size </t>
  </si>
  <si>
    <t>Income Statement</t>
  </si>
  <si>
    <t>Alt-C:</t>
  </si>
  <si>
    <t>Combine all print requests</t>
  </si>
  <si>
    <t>\027&amp;l0o\027(s10h\027&amp;l72</t>
  </si>
  <si>
    <t>Alt-L</t>
  </si>
  <si>
    <t>Alt-J</t>
  </si>
  <si>
    <t xml:space="preserve">Extract five year data </t>
  </si>
  <si>
    <t>{goto}b22~/c~p22~</t>
  </si>
  <si>
    <t>for ten year projections</t>
  </si>
  <si>
    <t>/fxvfutr{?}~p22.p101~{?}</t>
  </si>
  <si>
    <t>Alt-K</t>
  </si>
  <si>
    <t>Combine data for ten</t>
  </si>
  <si>
    <t>/wgpd{goto}b22~/fccefutr{?}~</t>
  </si>
  <si>
    <t>year projections</t>
  </si>
  <si>
    <t>{goto}j22~/fcceassf{?}~</t>
  </si>
  <si>
    <t>Exit to FSAP menu</t>
  </si>
  <si>
    <t>Total Debt/EBITDA</t>
  </si>
  <si>
    <t>EBIT/Interest</t>
  </si>
  <si>
    <t>EBITDA/Interest</t>
  </si>
  <si>
    <t>TSLA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</si>
</sst>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5" formatCode="&quot;$&quot;#,##0_);\(&quot;$&quot;#,##0\)"/>
    <numFmt numFmtId="7" formatCode="&quot;$&quot;#,##0.00_);\(&quot;$&quot;#,##0.00\)"/>
    <numFmt numFmtId="164" formatCode="0_)"/>
    <numFmt numFmtId="165" formatCode="0.0_)"/>
    <numFmt numFmtId="166" formatCode="0.0%"/>
    <numFmt numFmtId="167" formatCode="0.00_)"/>
    <numFmt numFmtId="168" formatCode="mm/dd/yy_)"/>
    <numFmt numFmtId="169" formatCode="mm/dd_)"/>
    <numFmt numFmtId="170" formatCode="0.0"/>
  </numFmts>
  <fonts count="3" x14ac:knownFonts="1">
    <font>
      <sz val="12"/>
      <name val="Arial"/>
    </font>
    <font>
      <sz val="12"/>
      <color indexed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164" fontId="0" fillId="0" borderId="0"/>
  </cellStyleXfs>
  <cellXfs count="32">
    <xf numFmtId="164" fontId="0" fillId="0" borderId="0" xfId="0"/>
    <xf numFmtId="164" fontId="0" fillId="0" borderId="0" xfId="0" applyNumberFormat="1" applyProtection="1"/>
    <xf numFmtId="164" fontId="1" fillId="0" borderId="0" xfId="0" applyFont="1" applyProtection="1">
      <protection locked="0"/>
    </xf>
    <xf numFmtId="164" fontId="1" fillId="0" borderId="0" xfId="0" applyNumberFormat="1" applyFont="1" applyProtection="1">
      <protection locked="0"/>
    </xf>
    <xf numFmtId="166" fontId="0" fillId="0" borderId="0" xfId="0" applyNumberFormat="1" applyProtection="1"/>
    <xf numFmtId="7" fontId="1" fillId="0" borderId="0" xfId="0" applyNumberFormat="1" applyFont="1" applyProtection="1">
      <protection locked="0"/>
    </xf>
    <xf numFmtId="167" fontId="0" fillId="0" borderId="0" xfId="0" applyNumberFormat="1" applyProtection="1"/>
    <xf numFmtId="164" fontId="0" fillId="0" borderId="0" xfId="0" applyProtection="1"/>
    <xf numFmtId="7" fontId="0" fillId="0" borderId="0" xfId="0" applyNumberFormat="1" applyProtection="1"/>
    <xf numFmtId="165" fontId="0" fillId="0" borderId="0" xfId="0" applyNumberFormat="1" applyProtection="1"/>
    <xf numFmtId="167" fontId="1" fillId="0" borderId="0" xfId="0" applyNumberFormat="1" applyFont="1" applyProtection="1">
      <protection locked="0"/>
    </xf>
    <xf numFmtId="167" fontId="1" fillId="0" borderId="1" xfId="0" applyNumberFormat="1" applyFont="1" applyBorder="1" applyProtection="1">
      <protection locked="0"/>
    </xf>
    <xf numFmtId="167" fontId="1" fillId="0" borderId="2" xfId="0" applyNumberFormat="1" applyFont="1" applyBorder="1" applyProtection="1">
      <protection locked="0"/>
    </xf>
    <xf numFmtId="167" fontId="1" fillId="0" borderId="3" xfId="0" applyNumberFormat="1" applyFont="1" applyBorder="1" applyProtection="1">
      <protection locked="0"/>
    </xf>
    <xf numFmtId="9" fontId="0" fillId="0" borderId="0" xfId="0" applyNumberFormat="1" applyProtection="1"/>
    <xf numFmtId="167" fontId="1" fillId="0" borderId="4" xfId="0" applyNumberFormat="1" applyFont="1" applyBorder="1" applyProtection="1">
      <protection locked="0"/>
    </xf>
    <xf numFmtId="164" fontId="1" fillId="0" borderId="4" xfId="0" applyFont="1" applyBorder="1" applyProtection="1">
      <protection locked="0"/>
    </xf>
    <xf numFmtId="165" fontId="1" fillId="0" borderId="5" xfId="0" applyNumberFormat="1" applyFont="1" applyBorder="1" applyProtection="1">
      <protection locked="0"/>
    </xf>
    <xf numFmtId="164" fontId="1" fillId="0" borderId="6" xfId="0" applyFont="1" applyBorder="1" applyProtection="1">
      <protection locked="0"/>
    </xf>
    <xf numFmtId="168" fontId="0" fillId="0" borderId="0" xfId="0" applyNumberFormat="1" applyProtection="1"/>
    <xf numFmtId="169" fontId="0" fillId="0" borderId="0" xfId="0" applyNumberFormat="1" applyProtection="1"/>
    <xf numFmtId="5" fontId="0" fillId="0" borderId="0" xfId="0" applyNumberFormat="1" applyProtection="1"/>
    <xf numFmtId="164" fontId="0" fillId="0" borderId="0" xfId="0" applyAlignment="1">
      <alignment horizontal="right"/>
    </xf>
    <xf numFmtId="164" fontId="0" fillId="0" borderId="0" xfId="0" applyAlignment="1">
      <alignment horizontal="center"/>
    </xf>
    <xf numFmtId="1" fontId="0" fillId="0" borderId="0" xfId="0" applyNumberFormat="1"/>
    <xf numFmtId="1" fontId="0" fillId="0" borderId="0" xfId="0" applyNumberFormat="1" applyFont="1" applyAlignment="1"/>
    <xf numFmtId="170" fontId="0" fillId="0" borderId="0" xfId="0" applyNumberFormat="1"/>
    <xf numFmtId="166" fontId="0" fillId="0" borderId="0" xfId="0" applyNumberFormat="1"/>
    <xf numFmtId="164" fontId="0" fillId="0" borderId="0" xfId="0" applyAlignment="1">
      <alignment horizontal="left"/>
    </xf>
    <xf numFmtId="164" fontId="0" fillId="0" borderId="0" xfId="0" quotePrefix="1" applyAlignment="1">
      <alignment horizontal="left"/>
    </xf>
    <xf numFmtId="164" fontId="2" fillId="0" borderId="0" xfId="0" applyFont="1"/>
    <xf numFmtId="164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1"/>
  <dimension ref="A1:P346"/>
  <sheetViews>
    <sheetView tabSelected="1" defaultGridColor="0" topLeftCell="A21" colorId="22" zoomScale="87" workbookViewId="0">
      <selection activeCell="A21" sqref="A21"/>
    </sheetView>
  </sheetViews>
  <sheetFormatPr defaultColWidth="8.77734375" defaultRowHeight="15" x14ac:dyDescent="0.2"/>
  <cols>
    <col min="1" max="1" width="24.77734375" customWidth="1"/>
    <col min="2" max="7" width="10.21875" customWidth="1"/>
    <col min="8" max="8" width="24.77734375" customWidth="1"/>
    <col min="15" max="15" width="6.77734375" customWidth="1"/>
    <col min="16" max="16" width="8.77734375" customWidth="1"/>
  </cols>
  <sheetData>
    <row r="1" spans="1:14" x14ac:dyDescent="0.2">
      <c r="A1" t="s">
        <v>0</v>
      </c>
      <c r="H1" t="s">
        <v>1</v>
      </c>
    </row>
    <row r="2" spans="1:14" x14ac:dyDescent="0.2">
      <c r="A2" t="s">
        <v>2</v>
      </c>
      <c r="H2" t="s">
        <v>3</v>
      </c>
    </row>
    <row r="3" spans="1:14" x14ac:dyDescent="0.2">
      <c r="A3" t="s">
        <v>4</v>
      </c>
      <c r="H3" t="s">
        <v>5</v>
      </c>
      <c r="J3" s="1">
        <f>(B70*((B30/J31)/((B30/J31)+(B32/J32))))+(((C95-J30-C86)/2)/J31)+J29</f>
        <v>451998.30956571014</v>
      </c>
      <c r="K3" s="1">
        <f>(J3-(J69/(J31*2)))+(((D95-K30-D86)/2)/K31)+K29</f>
        <v>660331.64289904351</v>
      </c>
      <c r="L3" s="1">
        <f>(K3-(K69/(K31*2)))+(((E95-L30-E86)/2)/L31)+L29</f>
        <v>926998.30956571014</v>
      </c>
      <c r="M3" s="1">
        <f>(L3-(L69/(L31*2)))+(((F95-M30-F86)/2)/M31)+M29</f>
        <v>1135331.6428990434</v>
      </c>
      <c r="N3" s="1">
        <f>(M3-(M69/(M31*2)))+(((G95-N30-G86)/2)/N31)+N29</f>
        <v>1368664.9762323766</v>
      </c>
    </row>
    <row r="4" spans="1:14" x14ac:dyDescent="0.2">
      <c r="H4" t="s">
        <v>6</v>
      </c>
      <c r="J4" s="1">
        <f>(B70*((B32/J32)/((B30/J31)+(B32/J32))))+(((J30+J97)/2)/J32)+J33</f>
        <v>243925.02376762321</v>
      </c>
      <c r="K4" s="1">
        <f>J4+(((K30+K97)/2)/K32)+K33</f>
        <v>283925.02376762324</v>
      </c>
      <c r="L4" s="1">
        <f>K4+(((L30+L97)/2)/L32)+L33</f>
        <v>383925.02376762324</v>
      </c>
      <c r="M4" s="1">
        <f>L4+(((M30+M97)/2)/M32)+M33</f>
        <v>583925.02376762324</v>
      </c>
      <c r="N4" s="1">
        <f>M4+(((N30+N97)/2)/N32)+N33</f>
        <v>703925.02376762324</v>
      </c>
    </row>
    <row r="6" spans="1:14" x14ac:dyDescent="0.2">
      <c r="A6" t="s">
        <v>7</v>
      </c>
      <c r="B6" t="s">
        <v>8</v>
      </c>
      <c r="C6" t="s">
        <v>9</v>
      </c>
    </row>
    <row r="7" spans="1:14" x14ac:dyDescent="0.2">
      <c r="B7" t="s">
        <v>10</v>
      </c>
      <c r="C7" t="s">
        <v>11</v>
      </c>
    </row>
    <row r="8" spans="1:14" x14ac:dyDescent="0.2">
      <c r="B8" t="s">
        <v>12</v>
      </c>
      <c r="C8" t="s">
        <v>13</v>
      </c>
      <c r="H8" s="1"/>
    </row>
    <row r="9" spans="1:14" x14ac:dyDescent="0.2">
      <c r="B9" t="s">
        <v>14</v>
      </c>
      <c r="C9" t="s">
        <v>15</v>
      </c>
      <c r="H9" s="1"/>
    </row>
    <row r="10" spans="1:14" x14ac:dyDescent="0.2">
      <c r="B10" t="s">
        <v>16</v>
      </c>
      <c r="C10" t="s">
        <v>17</v>
      </c>
    </row>
    <row r="11" spans="1:14" x14ac:dyDescent="0.2">
      <c r="B11" t="s">
        <v>18</v>
      </c>
      <c r="C11" t="s">
        <v>19</v>
      </c>
    </row>
    <row r="12" spans="1:14" x14ac:dyDescent="0.2">
      <c r="B12" t="s">
        <v>20</v>
      </c>
      <c r="C12" t="s">
        <v>21</v>
      </c>
    </row>
    <row r="13" spans="1:14" x14ac:dyDescent="0.2">
      <c r="B13" t="s">
        <v>22</v>
      </c>
      <c r="C13" t="s">
        <v>23</v>
      </c>
    </row>
    <row r="14" spans="1:14" x14ac:dyDescent="0.2">
      <c r="B14" t="s">
        <v>24</v>
      </c>
      <c r="C14" t="s">
        <v>25</v>
      </c>
    </row>
    <row r="15" spans="1:14" x14ac:dyDescent="0.2">
      <c r="B15" t="s">
        <v>26</v>
      </c>
      <c r="C15" t="s">
        <v>27</v>
      </c>
    </row>
    <row r="16" spans="1:14" x14ac:dyDescent="0.2">
      <c r="B16" t="s">
        <v>28</v>
      </c>
      <c r="C16" s="29" t="s">
        <v>316</v>
      </c>
    </row>
    <row r="19" spans="1:16" x14ac:dyDescent="0.2">
      <c r="C19" s="30"/>
    </row>
    <row r="21" spans="1:16" x14ac:dyDescent="0.2">
      <c r="A21" t="s">
        <v>29</v>
      </c>
      <c r="H21" t="s">
        <v>30</v>
      </c>
    </row>
    <row r="22" spans="1:16" x14ac:dyDescent="0.2">
      <c r="A22" t="s">
        <v>31</v>
      </c>
      <c r="B22" s="24" t="s">
        <v>320</v>
      </c>
      <c r="C22" s="2"/>
      <c r="D22" s="2"/>
      <c r="E22" s="2"/>
      <c r="F22" s="2"/>
      <c r="G22" s="3"/>
      <c r="H22" t="s">
        <v>31</v>
      </c>
      <c r="J22" s="24" t="s">
        <v>320</v>
      </c>
      <c r="K22" s="25"/>
      <c r="L22" s="25"/>
      <c r="M22" s="25"/>
      <c r="N22" s="25"/>
      <c r="P22" s="2"/>
    </row>
    <row r="23" spans="1:16" x14ac:dyDescent="0.2">
      <c r="A23" t="s">
        <v>32</v>
      </c>
      <c r="B23" s="31">
        <v>2015</v>
      </c>
      <c r="C23" s="1">
        <f>J23</f>
        <v>2016</v>
      </c>
      <c r="D23" s="1">
        <f>K23</f>
        <v>2017</v>
      </c>
      <c r="E23" s="1">
        <f>L23</f>
        <v>2018</v>
      </c>
      <c r="F23" s="1">
        <f>M23</f>
        <v>2019</v>
      </c>
      <c r="G23" s="1">
        <f>N23</f>
        <v>2020</v>
      </c>
      <c r="H23" t="s">
        <v>32</v>
      </c>
      <c r="J23" s="24">
        <v>2016</v>
      </c>
      <c r="K23" s="24">
        <v>2017</v>
      </c>
      <c r="L23" s="24">
        <v>2018</v>
      </c>
      <c r="M23" s="24">
        <v>2019</v>
      </c>
      <c r="N23" s="24">
        <v>2020</v>
      </c>
      <c r="P23" s="1">
        <f t="shared" ref="P23:P33" si="0">G23</f>
        <v>2020</v>
      </c>
    </row>
    <row r="24" spans="1:16" x14ac:dyDescent="0.2">
      <c r="A24" t="s">
        <v>33</v>
      </c>
      <c r="B24" s="31">
        <v>1196908</v>
      </c>
      <c r="C24" s="1">
        <f>B24+C99</f>
        <v>1050031.5088933334</v>
      </c>
      <c r="D24" s="1">
        <f>C24+D99</f>
        <v>1045848.3973503388</v>
      </c>
      <c r="E24" s="1">
        <f>D24+E99</f>
        <v>1010131.0035131346</v>
      </c>
      <c r="F24" s="1">
        <f>E24+F99</f>
        <v>984457.161387756</v>
      </c>
      <c r="G24" s="1">
        <f>F24+G99</f>
        <v>1010478.7169558597</v>
      </c>
      <c r="H24" t="s">
        <v>34</v>
      </c>
      <c r="J24" s="24"/>
      <c r="K24" s="24"/>
      <c r="L24" s="24"/>
      <c r="M24" s="24"/>
      <c r="N24" s="24"/>
      <c r="P24" s="1">
        <f t="shared" si="0"/>
        <v>1010478.7169558597</v>
      </c>
    </row>
    <row r="25" spans="1:16" x14ac:dyDescent="0.2">
      <c r="A25" t="s">
        <v>35</v>
      </c>
      <c r="B25" s="31">
        <v>168965</v>
      </c>
      <c r="C25" s="1">
        <f>C53/J25</f>
        <v>267037.65000000002</v>
      </c>
      <c r="D25" s="1">
        <f>D53/K25</f>
        <v>371182.33350000001</v>
      </c>
      <c r="E25" s="1">
        <f>E53/L25</f>
        <v>616162.67361000006</v>
      </c>
      <c r="F25" s="1">
        <f>F53/M25</f>
        <v>690102.19444320025</v>
      </c>
      <c r="G25" s="1">
        <f>G53/N25</f>
        <v>779815.47972081613</v>
      </c>
      <c r="H25" t="s">
        <v>36</v>
      </c>
      <c r="J25" s="26">
        <v>25</v>
      </c>
      <c r="K25" s="26">
        <v>25</v>
      </c>
      <c r="L25" s="26">
        <v>25</v>
      </c>
      <c r="M25" s="26">
        <v>25</v>
      </c>
      <c r="N25" s="26">
        <v>25</v>
      </c>
      <c r="P25" s="1">
        <f t="shared" si="0"/>
        <v>779815.47972081613</v>
      </c>
    </row>
    <row r="26" spans="1:16" x14ac:dyDescent="0.2">
      <c r="A26" t="s">
        <v>37</v>
      </c>
      <c r="B26" s="31">
        <v>1277838</v>
      </c>
      <c r="C26" s="1">
        <f>C55/J26</f>
        <v>2086231.640625</v>
      </c>
      <c r="D26" s="1">
        <f>D55/K26</f>
        <v>2880529.5672656251</v>
      </c>
      <c r="E26" s="1">
        <f>E55/L26</f>
        <v>4910046.3053296888</v>
      </c>
      <c r="F26" s="1">
        <f>F55/M26</f>
        <v>5535194.6845965022</v>
      </c>
      <c r="G26" s="1">
        <f>G55/N26</f>
        <v>6254769.9935940467</v>
      </c>
      <c r="H26" t="s">
        <v>38</v>
      </c>
      <c r="J26" s="26">
        <v>2.4</v>
      </c>
      <c r="K26" s="26">
        <v>2.4</v>
      </c>
      <c r="L26" s="26">
        <v>2.4</v>
      </c>
      <c r="M26" s="26">
        <v>2.4</v>
      </c>
      <c r="N26" s="26">
        <v>2.4</v>
      </c>
      <c r="P26" s="1">
        <f t="shared" si="0"/>
        <v>6254769.9935940467</v>
      </c>
    </row>
    <row r="27" spans="1:16" x14ac:dyDescent="0.2">
      <c r="A27" t="s">
        <v>39</v>
      </c>
      <c r="B27" s="31">
        <f>22628+125229</f>
        <v>147857</v>
      </c>
      <c r="C27" s="1">
        <f>B27+J27</f>
        <v>237857</v>
      </c>
      <c r="D27" s="1">
        <f>C27+K27</f>
        <v>277857</v>
      </c>
      <c r="E27" s="1">
        <f>D27+L27</f>
        <v>367857</v>
      </c>
      <c r="F27" s="1">
        <f>E27+M27</f>
        <v>457857</v>
      </c>
      <c r="G27" s="1">
        <f>F27+N27</f>
        <v>547857</v>
      </c>
      <c r="H27" t="s">
        <v>40</v>
      </c>
      <c r="J27" s="24">
        <v>90000</v>
      </c>
      <c r="K27" s="24">
        <v>40000</v>
      </c>
      <c r="L27" s="24">
        <v>90000</v>
      </c>
      <c r="M27" s="24">
        <v>90000</v>
      </c>
      <c r="N27" s="24">
        <v>90000</v>
      </c>
      <c r="P27" s="1">
        <f t="shared" si="0"/>
        <v>547857</v>
      </c>
    </row>
    <row r="28" spans="1:16" x14ac:dyDescent="0.2">
      <c r="A28" t="s">
        <v>41</v>
      </c>
      <c r="B28" s="1">
        <f t="shared" ref="B28:G28" si="1">SUM(B24:B27)</f>
        <v>2791568</v>
      </c>
      <c r="C28" s="1">
        <f t="shared" si="1"/>
        <v>3641157.7995183333</v>
      </c>
      <c r="D28" s="1">
        <f t="shared" si="1"/>
        <v>4575417.298115964</v>
      </c>
      <c r="E28" s="1">
        <f t="shared" si="1"/>
        <v>6904196.9824528228</v>
      </c>
      <c r="F28" s="1">
        <f t="shared" si="1"/>
        <v>7667611.0404274585</v>
      </c>
      <c r="G28" s="1">
        <f t="shared" si="1"/>
        <v>8592921.1902707219</v>
      </c>
      <c r="H28" t="s">
        <v>41</v>
      </c>
      <c r="I28" s="22" t="s">
        <v>42</v>
      </c>
      <c r="J28" s="25"/>
      <c r="K28" s="25"/>
      <c r="L28" s="25"/>
      <c r="M28" s="25"/>
      <c r="N28" s="25"/>
      <c r="P28" s="1">
        <f t="shared" si="0"/>
        <v>8592921.1902707219</v>
      </c>
    </row>
    <row r="29" spans="1:16" x14ac:dyDescent="0.2">
      <c r="A29" t="s">
        <v>43</v>
      </c>
      <c r="B29" s="31">
        <v>0</v>
      </c>
      <c r="C29" s="1">
        <f>B29+C96-C87+J48</f>
        <v>0</v>
      </c>
      <c r="D29" s="1">
        <f>C29+D96-D87+K48</f>
        <v>0</v>
      </c>
      <c r="E29" s="1">
        <f>D29+E96-E87+L48</f>
        <v>0</v>
      </c>
      <c r="F29" s="1">
        <f>E29+F96-F87+M48</f>
        <v>0</v>
      </c>
      <c r="G29" s="1">
        <f>F29+G96-G87+N48</f>
        <v>0</v>
      </c>
      <c r="H29" t="s">
        <v>44</v>
      </c>
      <c r="J29" s="24"/>
      <c r="K29" s="24"/>
      <c r="L29" s="24"/>
      <c r="M29" s="24"/>
      <c r="N29" s="24"/>
      <c r="P29" s="1">
        <f t="shared" si="0"/>
        <v>0</v>
      </c>
    </row>
    <row r="30" spans="1:16" x14ac:dyDescent="0.2">
      <c r="A30" t="s">
        <v>45</v>
      </c>
      <c r="B30" s="31">
        <v>3974460</v>
      </c>
      <c r="C30" s="1">
        <f>B30+J95-J30-J69</f>
        <v>6174460</v>
      </c>
      <c r="D30" s="1">
        <f>C30+K95-K30-K69</f>
        <v>8674460</v>
      </c>
      <c r="E30" s="1">
        <f>D30+L95-L30-L69</f>
        <v>11874460</v>
      </c>
      <c r="F30" s="1">
        <f>E30+M95-M30-M69</f>
        <v>14374460</v>
      </c>
      <c r="G30" s="1">
        <f>F30+N95-N30-N69</f>
        <v>17174460</v>
      </c>
      <c r="H30" t="s">
        <v>46</v>
      </c>
      <c r="J30" s="24"/>
      <c r="K30" s="24"/>
      <c r="L30" s="24"/>
      <c r="M30" s="24"/>
      <c r="N30" s="24"/>
      <c r="P30" s="1">
        <f t="shared" si="0"/>
        <v>17174460</v>
      </c>
    </row>
    <row r="31" spans="1:16" x14ac:dyDescent="0.2">
      <c r="A31" t="s">
        <v>47</v>
      </c>
      <c r="B31" s="31">
        <v>571126</v>
      </c>
      <c r="C31" s="1">
        <f>B31+J3-J70</f>
        <v>1023124.3095657101</v>
      </c>
      <c r="D31" s="1">
        <f>C31+K3-K70</f>
        <v>1683455.9524647538</v>
      </c>
      <c r="E31" s="1">
        <f>D31+L3-L70</f>
        <v>2610454.2620304637</v>
      </c>
      <c r="F31" s="1">
        <f>E31+M3-M70</f>
        <v>3745785.9049295071</v>
      </c>
      <c r="G31" s="1">
        <f>F31+N3-N70</f>
        <v>5114450.8811618835</v>
      </c>
      <c r="H31" t="s">
        <v>48</v>
      </c>
      <c r="J31" s="24">
        <v>6</v>
      </c>
      <c r="K31" s="24">
        <v>6</v>
      </c>
      <c r="L31" s="24">
        <v>6</v>
      </c>
      <c r="M31" s="24">
        <v>6</v>
      </c>
      <c r="N31" s="24">
        <v>6</v>
      </c>
      <c r="P31" s="1">
        <f t="shared" si="0"/>
        <v>5114450.8811618835</v>
      </c>
    </row>
    <row r="32" spans="1:16" x14ac:dyDescent="0.2">
      <c r="A32" t="s">
        <v>49</v>
      </c>
      <c r="B32" s="31">
        <f>1791403+31522+74633</f>
        <v>1897558</v>
      </c>
      <c r="C32" s="1">
        <f>(B32+J30+J97-J88)-J4</f>
        <v>2553632.9762323769</v>
      </c>
      <c r="D32" s="1">
        <f>(C32+K30+K97-K88)-K4</f>
        <v>2669707.9524647538</v>
      </c>
      <c r="E32" s="1">
        <f>(D32+L30+L97-L88)-L4</f>
        <v>3285782.9286971306</v>
      </c>
      <c r="F32" s="1">
        <f>(E32+M30+M97-M88)-M4</f>
        <v>4701857.9049295075</v>
      </c>
      <c r="G32" s="1">
        <f>(F32+N30+N97-N88)-N4</f>
        <v>5197932.8811618844</v>
      </c>
      <c r="H32" t="s">
        <v>50</v>
      </c>
      <c r="J32" s="24">
        <v>5</v>
      </c>
      <c r="K32" s="24">
        <v>5</v>
      </c>
      <c r="L32" s="24">
        <v>5</v>
      </c>
      <c r="M32" s="24">
        <v>5</v>
      </c>
      <c r="N32" s="24">
        <v>5</v>
      </c>
      <c r="P32" s="1">
        <f t="shared" si="0"/>
        <v>5197932.8811618844</v>
      </c>
    </row>
    <row r="33" spans="1:16" x14ac:dyDescent="0.2">
      <c r="A33" t="s">
        <v>51</v>
      </c>
      <c r="B33" s="1">
        <f t="shared" ref="B33:G33" si="2">SUM(B28:B32)-(2*B31)</f>
        <v>8092460</v>
      </c>
      <c r="C33" s="1">
        <f t="shared" si="2"/>
        <v>11346126.466185</v>
      </c>
      <c r="D33" s="1">
        <f t="shared" si="2"/>
        <v>14236129.298115965</v>
      </c>
      <c r="E33" s="1">
        <f t="shared" si="2"/>
        <v>19453985.649119493</v>
      </c>
      <c r="F33" s="1">
        <f t="shared" si="2"/>
        <v>22998143.040427458</v>
      </c>
      <c r="G33" s="1">
        <f t="shared" si="2"/>
        <v>25850863.190270722</v>
      </c>
      <c r="H33" t="s">
        <v>52</v>
      </c>
      <c r="J33" s="24"/>
      <c r="K33" s="24"/>
      <c r="L33" s="24"/>
      <c r="M33" s="24"/>
      <c r="N33" s="24"/>
      <c r="P33" s="1">
        <f t="shared" si="0"/>
        <v>25850863.190270722</v>
      </c>
    </row>
    <row r="34" spans="1:16" x14ac:dyDescent="0.2">
      <c r="B34" s="3"/>
      <c r="J34" s="25"/>
      <c r="K34" s="25"/>
      <c r="L34" s="25"/>
      <c r="M34" s="25"/>
      <c r="N34" s="25"/>
    </row>
    <row r="35" spans="1:16" x14ac:dyDescent="0.2">
      <c r="A35" t="s">
        <v>53</v>
      </c>
      <c r="B35" s="31">
        <v>916148</v>
      </c>
      <c r="C35" s="1">
        <f>(C55+C56+C57)/J35</f>
        <v>1451349.62775</v>
      </c>
      <c r="D35" s="1">
        <f>(D55+D56+D57)/K35</f>
        <v>1830603.781125</v>
      </c>
      <c r="E35" s="1">
        <f>(E55+E56+E57)/L35</f>
        <v>2688009.6636236254</v>
      </c>
      <c r="F35" s="1">
        <f>(F55+F56+F57)/M35</f>
        <v>2765717.2561915945</v>
      </c>
      <c r="G35" s="1">
        <f>(G55+G56+G57)/N35</f>
        <v>2885317.2749670199</v>
      </c>
      <c r="H35" t="s">
        <v>54</v>
      </c>
      <c r="J35" s="26">
        <v>5</v>
      </c>
      <c r="K35" s="26">
        <v>5.5</v>
      </c>
      <c r="L35" s="26">
        <v>6</v>
      </c>
      <c r="M35" s="26">
        <v>6.5</v>
      </c>
      <c r="N35" s="26">
        <v>7</v>
      </c>
      <c r="P35" s="1">
        <f t="shared" ref="P35:P51" si="3">G35</f>
        <v>2885317.2749670199</v>
      </c>
    </row>
    <row r="36" spans="1:16" x14ac:dyDescent="0.2">
      <c r="A36" t="s">
        <v>55</v>
      </c>
      <c r="B36" s="31">
        <v>0</v>
      </c>
      <c r="C36" s="1">
        <f>B36+C82-C92</f>
        <v>0</v>
      </c>
      <c r="D36" s="1">
        <f>C36+D82-D92</f>
        <v>0</v>
      </c>
      <c r="E36" s="1">
        <f>D36+E82-E92</f>
        <v>0</v>
      </c>
      <c r="F36" s="1">
        <f>E36+F82-F92</f>
        <v>0</v>
      </c>
      <c r="G36" s="1">
        <f>F36+G82-G92</f>
        <v>0</v>
      </c>
      <c r="H36" t="s">
        <v>56</v>
      </c>
      <c r="J36" s="24"/>
      <c r="K36" s="24"/>
      <c r="L36" s="24"/>
      <c r="M36" s="24"/>
      <c r="N36" s="24"/>
      <c r="P36" s="1">
        <f t="shared" si="3"/>
        <v>0</v>
      </c>
    </row>
    <row r="37" spans="1:16" x14ac:dyDescent="0.2">
      <c r="A37" t="s">
        <v>57</v>
      </c>
      <c r="B37" s="31">
        <v>633166</v>
      </c>
      <c r="C37" s="1">
        <f>J37</f>
        <v>0</v>
      </c>
      <c r="D37" s="1">
        <f>K37</f>
        <v>0</v>
      </c>
      <c r="E37" s="1">
        <f>L37</f>
        <v>920000</v>
      </c>
      <c r="F37" s="1">
        <f>M37</f>
        <v>0</v>
      </c>
      <c r="G37" s="1">
        <f>N37</f>
        <v>1380000</v>
      </c>
      <c r="H37" t="s">
        <v>57</v>
      </c>
      <c r="J37" s="24"/>
      <c r="K37" s="24"/>
      <c r="L37" s="24">
        <v>920000</v>
      </c>
      <c r="M37" s="24"/>
      <c r="N37" s="24">
        <v>1380000</v>
      </c>
      <c r="P37" s="1">
        <f t="shared" si="3"/>
        <v>1380000</v>
      </c>
    </row>
    <row r="38" spans="1:16" x14ac:dyDescent="0.2">
      <c r="A38" t="s">
        <v>58</v>
      </c>
      <c r="B38" s="31">
        <f>422798+423961+136831+283370</f>
        <v>1266960</v>
      </c>
      <c r="C38" s="1">
        <f>B38+J38</f>
        <v>1966960</v>
      </c>
      <c r="D38" s="1">
        <f>C38+K38</f>
        <v>2266960</v>
      </c>
      <c r="E38" s="1">
        <f>D38+L38</f>
        <v>3066960</v>
      </c>
      <c r="F38" s="1">
        <f>E38+M38</f>
        <v>4566960</v>
      </c>
      <c r="G38" s="1">
        <f>F38+N38</f>
        <v>5566960</v>
      </c>
      <c r="H38" t="s">
        <v>59</v>
      </c>
      <c r="J38" s="24">
        <v>700000</v>
      </c>
      <c r="K38" s="24">
        <v>300000</v>
      </c>
      <c r="L38" s="24">
        <v>800000</v>
      </c>
      <c r="M38" s="24">
        <v>1500000</v>
      </c>
      <c r="N38" s="24">
        <v>1000000</v>
      </c>
      <c r="P38" s="1">
        <f t="shared" si="3"/>
        <v>5566960</v>
      </c>
    </row>
    <row r="39" spans="1:16" x14ac:dyDescent="0.2">
      <c r="A39" t="s">
        <v>60</v>
      </c>
      <c r="B39" s="1">
        <f t="shared" ref="B39:C39" si="4">SUM(B35:B38)</f>
        <v>2816274</v>
      </c>
      <c r="C39" s="1">
        <f t="shared" si="4"/>
        <v>3418309.62775</v>
      </c>
      <c r="D39" s="1">
        <f>SUM(D35:D38)</f>
        <v>4097563.7811249997</v>
      </c>
      <c r="E39" s="1">
        <f>SUM(E35:E38)</f>
        <v>6674969.6636236254</v>
      </c>
      <c r="F39" s="1">
        <f>SUM(F35:F38)</f>
        <v>7332677.2561915945</v>
      </c>
      <c r="G39" s="1">
        <f>SUM(G35:G38)</f>
        <v>9832277.2749670204</v>
      </c>
      <c r="H39" t="s">
        <v>61</v>
      </c>
      <c r="J39" s="24"/>
      <c r="K39" s="24"/>
      <c r="L39" s="24"/>
      <c r="M39" s="24"/>
      <c r="N39" s="24"/>
      <c r="P39" s="1">
        <f t="shared" si="3"/>
        <v>9832277.2749670204</v>
      </c>
    </row>
    <row r="40" spans="1:16" x14ac:dyDescent="0.2">
      <c r="A40" t="s">
        <v>62</v>
      </c>
      <c r="B40" s="31">
        <f>2040375+42045</f>
        <v>2082420</v>
      </c>
      <c r="C40" s="1">
        <f>B40+C84-C94</f>
        <v>2882420</v>
      </c>
      <c r="D40" s="1">
        <f>C40+D84-D94</f>
        <v>5582420</v>
      </c>
      <c r="E40" s="1">
        <f>D40+E84-E94</f>
        <v>7862420</v>
      </c>
      <c r="F40" s="1">
        <f>E40+F84-F94</f>
        <v>9362420</v>
      </c>
      <c r="G40" s="1">
        <f>F40+G84-G94</f>
        <v>9282420</v>
      </c>
      <c r="H40" t="s">
        <v>63</v>
      </c>
      <c r="J40" s="27"/>
      <c r="K40" s="27"/>
      <c r="L40" s="27"/>
      <c r="M40" s="27"/>
      <c r="N40" s="27"/>
      <c r="P40" s="1">
        <f t="shared" si="3"/>
        <v>9282420</v>
      </c>
    </row>
    <row r="41" spans="1:16" x14ac:dyDescent="0.2">
      <c r="A41" t="s">
        <v>64</v>
      </c>
      <c r="B41" s="31">
        <v>0</v>
      </c>
      <c r="C41" s="1">
        <f>B41+((C58-C59)*(J60-J41))</f>
        <v>0</v>
      </c>
      <c r="D41" s="1">
        <f>C41+((D58-D59)*(K60-K41))</f>
        <v>0</v>
      </c>
      <c r="E41" s="1">
        <f>D41+((E58-E59)*(L60-L41))</f>
        <v>0</v>
      </c>
      <c r="F41" s="1">
        <f>E41+((F58-F59)*(M60-M41))</f>
        <v>0</v>
      </c>
      <c r="G41" s="1">
        <f>F41+((G58-G59)*(N60-N41))</f>
        <v>0</v>
      </c>
      <c r="H41" t="s">
        <v>65</v>
      </c>
      <c r="J41" s="27">
        <v>-0.02</v>
      </c>
      <c r="K41" s="27">
        <v>-0.02</v>
      </c>
      <c r="L41" s="27">
        <v>-0.02</v>
      </c>
      <c r="M41" s="27">
        <v>-0.02</v>
      </c>
      <c r="N41" s="27">
        <v>0.02</v>
      </c>
      <c r="P41" s="1">
        <f t="shared" si="3"/>
        <v>0</v>
      </c>
    </row>
    <row r="42" spans="1:16" x14ac:dyDescent="0.2">
      <c r="A42" t="s">
        <v>66</v>
      </c>
      <c r="B42" s="31">
        <f>446105+1293741+364976</f>
        <v>2104822</v>
      </c>
      <c r="C42" s="1">
        <f>B42+J42</f>
        <v>3304822</v>
      </c>
      <c r="D42" s="1">
        <f>C42+K42</f>
        <v>3604822</v>
      </c>
      <c r="E42" s="1">
        <f>D42+L42</f>
        <v>4804822</v>
      </c>
      <c r="F42" s="1">
        <f>E42+M42</f>
        <v>7204822</v>
      </c>
      <c r="G42" s="1">
        <f>F42+N42</f>
        <v>8704822</v>
      </c>
      <c r="H42" t="s">
        <v>66</v>
      </c>
      <c r="J42" s="24">
        <v>1200000</v>
      </c>
      <c r="K42" s="24">
        <v>300000</v>
      </c>
      <c r="L42" s="24">
        <v>1200000</v>
      </c>
      <c r="M42" s="24">
        <v>2400000</v>
      </c>
      <c r="N42" s="24">
        <v>1500000</v>
      </c>
      <c r="P42" s="1">
        <f t="shared" si="3"/>
        <v>8704822</v>
      </c>
    </row>
    <row r="43" spans="1:16" x14ac:dyDescent="0.2">
      <c r="A43" t="s">
        <v>67</v>
      </c>
      <c r="B43" s="31">
        <v>0</v>
      </c>
      <c r="C43" s="1">
        <f>B43+J61-J43</f>
        <v>0</v>
      </c>
      <c r="D43" s="1">
        <f>C43+K61-K43</f>
        <v>0</v>
      </c>
      <c r="E43" s="1">
        <f>D43+L61-L43</f>
        <v>0</v>
      </c>
      <c r="F43" s="1">
        <f>E43+M61-M43</f>
        <v>0</v>
      </c>
      <c r="G43" s="1">
        <f>F43+N61-N43</f>
        <v>0</v>
      </c>
      <c r="H43" t="s">
        <v>68</v>
      </c>
      <c r="J43" s="24"/>
      <c r="K43" s="24"/>
      <c r="L43" s="24"/>
      <c r="M43" s="24"/>
      <c r="N43" s="24"/>
      <c r="P43" s="1">
        <f t="shared" si="3"/>
        <v>0</v>
      </c>
    </row>
    <row r="44" spans="1:16" x14ac:dyDescent="0.2">
      <c r="A44" t="s">
        <v>69</v>
      </c>
      <c r="B44" s="1">
        <f t="shared" ref="B44:G44" si="5">SUM(B39:B43)</f>
        <v>7003516</v>
      </c>
      <c r="C44" s="1">
        <f t="shared" si="5"/>
        <v>9605551.62775</v>
      </c>
      <c r="D44" s="1">
        <f t="shared" si="5"/>
        <v>13284805.781125</v>
      </c>
      <c r="E44" s="1">
        <f t="shared" si="5"/>
        <v>19342211.663623624</v>
      </c>
      <c r="F44" s="1">
        <f t="shared" si="5"/>
        <v>23899919.256191596</v>
      </c>
      <c r="G44" s="1">
        <f t="shared" si="5"/>
        <v>27819519.274967022</v>
      </c>
      <c r="H44" t="s">
        <v>69</v>
      </c>
      <c r="I44" s="22" t="s">
        <v>42</v>
      </c>
      <c r="J44" s="25"/>
      <c r="K44" s="25"/>
      <c r="L44" s="25"/>
      <c r="M44" s="25"/>
      <c r="N44" s="25"/>
      <c r="P44" s="1">
        <f t="shared" si="3"/>
        <v>27819519.274967022</v>
      </c>
    </row>
    <row r="45" spans="1:16" x14ac:dyDescent="0.2">
      <c r="A45" t="s">
        <v>70</v>
      </c>
      <c r="B45" s="31">
        <v>0</v>
      </c>
      <c r="C45" s="1">
        <f>B45+J45</f>
        <v>0</v>
      </c>
      <c r="D45" s="1">
        <f>C45+K45</f>
        <v>0</v>
      </c>
      <c r="E45" s="1">
        <f>D45+L45</f>
        <v>0</v>
      </c>
      <c r="F45" s="1">
        <f>E45+M45</f>
        <v>0</v>
      </c>
      <c r="G45" s="1">
        <f>F45+N45</f>
        <v>0</v>
      </c>
      <c r="H45" t="s">
        <v>71</v>
      </c>
      <c r="J45" s="24"/>
      <c r="K45" s="24"/>
      <c r="L45" s="24"/>
      <c r="M45" s="24"/>
      <c r="N45" s="24"/>
      <c r="P45" s="1">
        <f t="shared" si="3"/>
        <v>0</v>
      </c>
    </row>
    <row r="46" spans="1:16" x14ac:dyDescent="0.2">
      <c r="A46" t="s">
        <v>72</v>
      </c>
      <c r="B46" s="31">
        <v>131</v>
      </c>
      <c r="C46" s="1">
        <f>B46</f>
        <v>131</v>
      </c>
      <c r="D46" s="1">
        <f>C46</f>
        <v>131</v>
      </c>
      <c r="E46" s="1">
        <f>D46</f>
        <v>131</v>
      </c>
      <c r="F46" s="1">
        <f>E46</f>
        <v>131</v>
      </c>
      <c r="G46" s="1">
        <f>F46</f>
        <v>131</v>
      </c>
      <c r="H46" t="s">
        <v>72</v>
      </c>
      <c r="I46" s="22" t="s">
        <v>42</v>
      </c>
      <c r="J46" s="25"/>
      <c r="K46" s="25"/>
      <c r="L46" s="25"/>
      <c r="M46" s="25"/>
      <c r="N46" s="25"/>
      <c r="P46" s="1">
        <f t="shared" si="3"/>
        <v>131</v>
      </c>
    </row>
    <row r="47" spans="1:16" x14ac:dyDescent="0.2">
      <c r="A47" t="s">
        <v>73</v>
      </c>
      <c r="B47" s="31">
        <v>3414692</v>
      </c>
      <c r="C47" s="1">
        <f>B47+C85-J45+J49</f>
        <v>4714692</v>
      </c>
      <c r="D47" s="1">
        <f>C47+D85-K45+K49</f>
        <v>4834692</v>
      </c>
      <c r="E47" s="1">
        <f>D47+E85-L45+L49</f>
        <v>4984692</v>
      </c>
      <c r="F47" s="1">
        <f>E47+F85-M45+M49</f>
        <v>5164692</v>
      </c>
      <c r="G47" s="1">
        <f>F47+G85-N45+N49</f>
        <v>5364692</v>
      </c>
      <c r="H47" t="s">
        <v>73</v>
      </c>
      <c r="I47" s="22" t="s">
        <v>42</v>
      </c>
      <c r="J47" s="25"/>
      <c r="K47" s="25"/>
      <c r="L47" s="25"/>
      <c r="M47" s="25"/>
      <c r="N47" s="25"/>
      <c r="P47" s="1">
        <f t="shared" si="3"/>
        <v>5364692</v>
      </c>
    </row>
    <row r="48" spans="1:16" x14ac:dyDescent="0.2">
      <c r="A48" s="28" t="s">
        <v>74</v>
      </c>
      <c r="B48" s="31">
        <f>-3556-2322323</f>
        <v>-2325879</v>
      </c>
      <c r="C48" s="1">
        <f>B48+C67+C66-C91</f>
        <v>-2974248.1615650002</v>
      </c>
      <c r="D48" s="1">
        <f>C48+D67+D66-D91</f>
        <v>-3883499.4830090366</v>
      </c>
      <c r="E48" s="1">
        <f>D48+E67+E66-E91</f>
        <v>-4873049.0145041365</v>
      </c>
      <c r="F48" s="1">
        <f>E48+F67+F66-F91</f>
        <v>-6066599.215764137</v>
      </c>
      <c r="G48" s="1">
        <f>F48+G67+G66-G91</f>
        <v>-7333479.0846962985</v>
      </c>
      <c r="H48" t="s">
        <v>75</v>
      </c>
      <c r="J48" s="24"/>
      <c r="K48" s="24"/>
      <c r="L48" s="24"/>
      <c r="M48" s="24"/>
      <c r="N48" s="24"/>
      <c r="P48" s="1">
        <f t="shared" si="3"/>
        <v>-7333479.0846962985</v>
      </c>
    </row>
    <row r="49" spans="1:16" x14ac:dyDescent="0.2">
      <c r="A49" t="s">
        <v>76</v>
      </c>
      <c r="B49" s="31">
        <v>0</v>
      </c>
      <c r="C49" s="1">
        <f>B49+J49</f>
        <v>0</v>
      </c>
      <c r="D49" s="1">
        <f>C49+K49</f>
        <v>0</v>
      </c>
      <c r="E49" s="1">
        <f>D49+L49</f>
        <v>0</v>
      </c>
      <c r="F49" s="1">
        <f>E49+M49</f>
        <v>0</v>
      </c>
      <c r="G49" s="1">
        <f>F49+N49</f>
        <v>0</v>
      </c>
      <c r="H49" t="s">
        <v>77</v>
      </c>
      <c r="J49" s="24"/>
      <c r="K49" s="24"/>
      <c r="L49" s="24"/>
      <c r="M49" s="24"/>
      <c r="N49" s="24"/>
      <c r="P49" s="1">
        <f t="shared" si="3"/>
        <v>0</v>
      </c>
    </row>
    <row r="50" spans="1:16" x14ac:dyDescent="0.2">
      <c r="A50" t="s">
        <v>78</v>
      </c>
      <c r="B50" s="1">
        <f t="shared" ref="B50:G50" si="6">SUM(B45:B48)-B49</f>
        <v>1088944</v>
      </c>
      <c r="C50" s="1">
        <f t="shared" si="6"/>
        <v>1740574.8384349998</v>
      </c>
      <c r="D50" s="1">
        <f t="shared" si="6"/>
        <v>951323.51699096337</v>
      </c>
      <c r="E50" s="1">
        <f t="shared" si="6"/>
        <v>111773.98549586348</v>
      </c>
      <c r="F50" s="1">
        <f t="shared" si="6"/>
        <v>-901776.21576413698</v>
      </c>
      <c r="G50" s="1">
        <f t="shared" si="6"/>
        <v>-1968656.0846962985</v>
      </c>
      <c r="H50" t="s">
        <v>78</v>
      </c>
      <c r="I50" s="22" t="s">
        <v>42</v>
      </c>
      <c r="J50" s="25"/>
      <c r="K50" s="25"/>
      <c r="L50" s="25"/>
      <c r="M50" s="25"/>
      <c r="N50" s="25"/>
      <c r="P50" s="1">
        <f t="shared" si="3"/>
        <v>-1968656.0846962985</v>
      </c>
    </row>
    <row r="51" spans="1:16" x14ac:dyDescent="0.2">
      <c r="A51" t="s">
        <v>79</v>
      </c>
      <c r="B51" s="1">
        <f t="shared" ref="B51:G51" si="7">B44+B50</f>
        <v>8092460</v>
      </c>
      <c r="C51" s="1">
        <f t="shared" si="7"/>
        <v>11346126.466185</v>
      </c>
      <c r="D51" s="1">
        <f t="shared" si="7"/>
        <v>14236129.298115963</v>
      </c>
      <c r="E51" s="1">
        <f t="shared" si="7"/>
        <v>19453985.649119489</v>
      </c>
      <c r="F51" s="1">
        <f t="shared" si="7"/>
        <v>22998143.040427461</v>
      </c>
      <c r="G51" s="1">
        <f t="shared" si="7"/>
        <v>25850863.190270722</v>
      </c>
      <c r="H51" t="s">
        <v>79</v>
      </c>
      <c r="I51" s="22" t="s">
        <v>42</v>
      </c>
      <c r="J51" s="25"/>
      <c r="K51" s="25"/>
      <c r="L51" s="25"/>
      <c r="M51" s="25"/>
      <c r="N51" s="25"/>
      <c r="P51" s="1">
        <f t="shared" si="3"/>
        <v>25850863.190270722</v>
      </c>
    </row>
    <row r="52" spans="1:16" x14ac:dyDescent="0.2">
      <c r="B52" s="3"/>
      <c r="J52" s="25"/>
      <c r="K52" s="25"/>
      <c r="L52" s="25"/>
      <c r="M52" s="25"/>
      <c r="N52" s="25"/>
    </row>
    <row r="53" spans="1:16" x14ac:dyDescent="0.2">
      <c r="A53" t="s">
        <v>80</v>
      </c>
      <c r="B53" s="31">
        <v>4046025</v>
      </c>
      <c r="C53" s="1">
        <f t="shared" ref="C53:G54" si="8">B53*(1+J53)</f>
        <v>6675941.25</v>
      </c>
      <c r="D53" s="1">
        <f t="shared" si="8"/>
        <v>9279558.3375000004</v>
      </c>
      <c r="E53" s="1">
        <f t="shared" si="8"/>
        <v>15404066.840250002</v>
      </c>
      <c r="F53" s="1">
        <f t="shared" si="8"/>
        <v>17252554.861080006</v>
      </c>
      <c r="G53" s="1">
        <f t="shared" si="8"/>
        <v>19495386.993020404</v>
      </c>
      <c r="H53" t="s">
        <v>81</v>
      </c>
      <c r="J53" s="27">
        <v>0.65</v>
      </c>
      <c r="K53" s="27">
        <v>0.39</v>
      </c>
      <c r="L53" s="27">
        <v>0.66</v>
      </c>
      <c r="M53" s="27">
        <v>0.12</v>
      </c>
      <c r="N53" s="27">
        <v>0.13</v>
      </c>
      <c r="P53" s="1">
        <f t="shared" ref="P53:P67" si="9">G53</f>
        <v>19495386.993020404</v>
      </c>
    </row>
    <row r="54" spans="1:16" x14ac:dyDescent="0.2">
      <c r="A54" t="s">
        <v>82</v>
      </c>
      <c r="B54" s="31">
        <v>-41652</v>
      </c>
      <c r="C54" s="1">
        <f t="shared" si="8"/>
        <v>0</v>
      </c>
      <c r="D54" s="1">
        <f t="shared" si="8"/>
        <v>0</v>
      </c>
      <c r="E54" s="1">
        <f t="shared" si="8"/>
        <v>0</v>
      </c>
      <c r="F54" s="1">
        <f t="shared" si="8"/>
        <v>0</v>
      </c>
      <c r="G54" s="1">
        <f t="shared" si="8"/>
        <v>0</v>
      </c>
      <c r="H54" t="s">
        <v>83</v>
      </c>
      <c r="J54" s="27">
        <v>-1</v>
      </c>
      <c r="K54" s="27"/>
      <c r="L54" s="27"/>
      <c r="M54" s="27"/>
      <c r="N54" s="27"/>
      <c r="P54" s="1">
        <f t="shared" si="9"/>
        <v>0</v>
      </c>
    </row>
    <row r="55" spans="1:16" x14ac:dyDescent="0.2">
      <c r="A55" t="s">
        <v>84</v>
      </c>
      <c r="B55" s="31">
        <v>3122522</v>
      </c>
      <c r="C55" s="1">
        <f t="shared" ref="C55:G57" si="10">C$53*J55</f>
        <v>5006955.9375</v>
      </c>
      <c r="D55" s="1">
        <f t="shared" si="10"/>
        <v>6913270.9614375001</v>
      </c>
      <c r="E55" s="1">
        <f t="shared" si="10"/>
        <v>11784111.132791253</v>
      </c>
      <c r="F55" s="1">
        <f t="shared" si="10"/>
        <v>13284467.243031604</v>
      </c>
      <c r="G55" s="1">
        <f t="shared" si="10"/>
        <v>15011447.984625712</v>
      </c>
      <c r="H55" t="s">
        <v>85</v>
      </c>
      <c r="I55" s="4">
        <f>B55/B$53</f>
        <v>0.7717505452882768</v>
      </c>
      <c r="J55" s="27">
        <v>0.75</v>
      </c>
      <c r="K55" s="27">
        <v>0.745</v>
      </c>
      <c r="L55" s="27">
        <v>0.76500000000000001</v>
      </c>
      <c r="M55" s="27">
        <v>0.77</v>
      </c>
      <c r="N55" s="27">
        <v>0.77</v>
      </c>
      <c r="P55" s="1">
        <f t="shared" si="9"/>
        <v>15011447.984625712</v>
      </c>
    </row>
    <row r="56" spans="1:16" x14ac:dyDescent="0.2">
      <c r="A56" t="s">
        <v>86</v>
      </c>
      <c r="B56" s="31">
        <v>717900</v>
      </c>
      <c r="C56" s="1">
        <f t="shared" si="10"/>
        <v>901252.06875000009</v>
      </c>
      <c r="D56" s="1">
        <f t="shared" si="10"/>
        <v>1345535.9589374999</v>
      </c>
      <c r="E56" s="1">
        <f t="shared" si="10"/>
        <v>1694447.3524275003</v>
      </c>
      <c r="F56" s="1">
        <f t="shared" si="10"/>
        <v>1846023.3701355606</v>
      </c>
      <c r="G56" s="1">
        <f t="shared" si="10"/>
        <v>2027520.247274122</v>
      </c>
      <c r="H56" t="s">
        <v>87</v>
      </c>
      <c r="I56" s="4">
        <f>B56/B$53</f>
        <v>0.17743340686229075</v>
      </c>
      <c r="J56" s="27">
        <v>0.13500000000000001</v>
      </c>
      <c r="K56" s="27">
        <v>0.14499999999999999</v>
      </c>
      <c r="L56" s="27">
        <v>0.11</v>
      </c>
      <c r="M56" s="27">
        <v>0.107</v>
      </c>
      <c r="N56" s="27">
        <v>0.104</v>
      </c>
      <c r="P56" s="1">
        <f t="shared" si="9"/>
        <v>2027520.247274122</v>
      </c>
    </row>
    <row r="57" spans="1:16" x14ac:dyDescent="0.2">
      <c r="A57" t="s">
        <v>88</v>
      </c>
      <c r="B57" s="31">
        <v>922232</v>
      </c>
      <c r="C57" s="1">
        <f t="shared" si="10"/>
        <v>1348540.1325000001</v>
      </c>
      <c r="D57" s="1">
        <f t="shared" si="10"/>
        <v>1809513.8758125002</v>
      </c>
      <c r="E57" s="1">
        <f t="shared" si="10"/>
        <v>2649499.4965230003</v>
      </c>
      <c r="F57" s="1">
        <f t="shared" si="10"/>
        <v>2846671.552078201</v>
      </c>
      <c r="G57" s="1">
        <f t="shared" si="10"/>
        <v>3158252.6928693056</v>
      </c>
      <c r="H57" t="s">
        <v>89</v>
      </c>
      <c r="I57" s="4">
        <f>B57/B$53</f>
        <v>0.22793531923307445</v>
      </c>
      <c r="J57" s="27">
        <v>0.20200000000000001</v>
      </c>
      <c r="K57" s="27">
        <v>0.19500000000000001</v>
      </c>
      <c r="L57" s="27">
        <v>0.17199999999999999</v>
      </c>
      <c r="M57" s="27">
        <v>0.16500000000000001</v>
      </c>
      <c r="N57" s="27">
        <v>0.16200000000000001</v>
      </c>
      <c r="P57" s="1">
        <f t="shared" si="9"/>
        <v>3158252.6928693056</v>
      </c>
    </row>
    <row r="58" spans="1:16" x14ac:dyDescent="0.2">
      <c r="A58" t="s">
        <v>90</v>
      </c>
      <c r="B58" s="1">
        <f t="shared" ref="B58:G58" si="11">B53+B54-B55-B56-B57</f>
        <v>-758281</v>
      </c>
      <c r="C58" s="1">
        <f t="shared" si="11"/>
        <v>-580806.88875000016</v>
      </c>
      <c r="D58" s="1">
        <f t="shared" si="11"/>
        <v>-788762.45868749986</v>
      </c>
      <c r="E58" s="1">
        <f t="shared" si="11"/>
        <v>-723991.14149175119</v>
      </c>
      <c r="F58" s="1">
        <f t="shared" si="11"/>
        <v>-724607.30416536005</v>
      </c>
      <c r="G58" s="1">
        <f t="shared" si="11"/>
        <v>-701833.93174873572</v>
      </c>
      <c r="H58" t="s">
        <v>91</v>
      </c>
      <c r="J58" s="27">
        <v>1E-3</v>
      </c>
      <c r="K58" s="27">
        <v>3.0000000000000001E-3</v>
      </c>
      <c r="L58" s="27">
        <v>5.0000000000000001E-3</v>
      </c>
      <c r="M58" s="27">
        <v>8.0000000000000002E-3</v>
      </c>
      <c r="N58" s="27">
        <v>0.01</v>
      </c>
      <c r="P58" s="1">
        <f t="shared" si="9"/>
        <v>-701833.93174873572</v>
      </c>
    </row>
    <row r="59" spans="1:16" x14ac:dyDescent="0.2">
      <c r="A59" t="s">
        <v>92</v>
      </c>
      <c r="B59" s="31">
        <f>118851-1508</f>
        <v>117343</v>
      </c>
      <c r="C59" s="1">
        <f>((B36+B37+B40+J36+((+C82+C83+C84-C92-C93-C94)/2))*J59)-((B24+(J99/2))*(J58))</f>
        <v>54849.151999999995</v>
      </c>
      <c r="D59" s="1">
        <f>((C36+C37+C40+K36+((+D82+D83+D84-D92-D93-D94)/2))*K59)-((C24+(K99/2))*(K58))</f>
        <v>102660.40547332</v>
      </c>
      <c r="E59" s="1">
        <f>((D36+D37+D40+L36+((+E82+E83+E84-E92-E93-E94)/2))*L59)-((D24+(L99/2))*(L58))</f>
        <v>246155.45801324831</v>
      </c>
      <c r="F59" s="1">
        <f>((E36+E37+E40+M36+((+F82+F83+F84-F92-F93-F94)/2))*M59)-((E24+(M99/2))*(M58))</f>
        <v>445539.95197189495</v>
      </c>
      <c r="G59" s="1">
        <f>((F36+F37+F40+N36+((+G82+G83+G84-G92-G93-G94)/2))*N59)-((F24+(N99/2))*(N58))</f>
        <v>590900.62838612241</v>
      </c>
      <c r="H59" t="s">
        <v>93</v>
      </c>
      <c r="J59" s="27">
        <v>0.02</v>
      </c>
      <c r="K59" s="27">
        <v>2.5000000000000001E-2</v>
      </c>
      <c r="L59" s="27">
        <v>3.5000000000000003E-2</v>
      </c>
      <c r="M59" s="27">
        <v>0.05</v>
      </c>
      <c r="N59" s="27">
        <v>0.06</v>
      </c>
      <c r="P59" s="1">
        <f t="shared" si="9"/>
        <v>590900.62838612241</v>
      </c>
    </row>
    <row r="60" spans="1:16" x14ac:dyDescent="0.2">
      <c r="A60" t="s">
        <v>94</v>
      </c>
      <c r="B60" s="31">
        <v>13039</v>
      </c>
      <c r="C60" s="1">
        <f>(C58-C59)*J60</f>
        <v>12713.120815000004</v>
      </c>
      <c r="D60" s="1">
        <f>(D58-D59)*K60</f>
        <v>17828.457283216398</v>
      </c>
      <c r="E60" s="1">
        <f>(E58-E59)*L60</f>
        <v>19402.931990099991</v>
      </c>
      <c r="F60" s="1">
        <f>(F58-F59)*M60</f>
        <v>23402.945122745103</v>
      </c>
      <c r="G60" s="1">
        <f>(G58-G59)*N60</f>
        <v>-25854.691202697162</v>
      </c>
      <c r="H60" t="s">
        <v>95</v>
      </c>
      <c r="J60" s="27">
        <v>-0.02</v>
      </c>
      <c r="K60" s="27">
        <v>-0.02</v>
      </c>
      <c r="L60" s="27">
        <v>-0.02</v>
      </c>
      <c r="M60" s="27">
        <v>-0.02</v>
      </c>
      <c r="N60" s="27">
        <v>0.02</v>
      </c>
      <c r="P60" s="1">
        <f t="shared" si="9"/>
        <v>-25854.691202697162</v>
      </c>
    </row>
    <row r="61" spans="1:16" x14ac:dyDescent="0.2">
      <c r="A61" t="s">
        <v>96</v>
      </c>
      <c r="B61" s="31">
        <v>0</v>
      </c>
      <c r="C61" s="1">
        <f>J61</f>
        <v>0</v>
      </c>
      <c r="D61" s="1">
        <f>K61</f>
        <v>0</v>
      </c>
      <c r="E61" s="1">
        <f>L61</f>
        <v>0</v>
      </c>
      <c r="F61" s="1">
        <f>M61</f>
        <v>0</v>
      </c>
      <c r="G61" s="1">
        <f>N61</f>
        <v>0</v>
      </c>
      <c r="H61" t="s">
        <v>96</v>
      </c>
      <c r="J61" s="2"/>
      <c r="K61" s="2"/>
      <c r="L61" s="2"/>
      <c r="M61" s="2"/>
      <c r="N61" s="2"/>
      <c r="P61" s="1">
        <f t="shared" si="9"/>
        <v>0</v>
      </c>
    </row>
    <row r="62" spans="1:16" x14ac:dyDescent="0.2">
      <c r="A62" t="s">
        <v>97</v>
      </c>
      <c r="B62" s="31">
        <v>0</v>
      </c>
      <c r="C62" s="1">
        <f t="shared" ref="C62:G62" si="12">C58-C59-C60-C61</f>
        <v>-648369.16156500019</v>
      </c>
      <c r="D62" s="1">
        <f t="shared" si="12"/>
        <v>-909251.32144403632</v>
      </c>
      <c r="E62" s="1">
        <f t="shared" si="12"/>
        <v>-989549.53149509942</v>
      </c>
      <c r="F62" s="1">
        <f t="shared" si="12"/>
        <v>-1193550.2012600002</v>
      </c>
      <c r="G62" s="1">
        <f t="shared" si="12"/>
        <v>-1266879.868932161</v>
      </c>
      <c r="H62" t="s">
        <v>97</v>
      </c>
      <c r="I62" s="22" t="s">
        <v>42</v>
      </c>
      <c r="P62" s="1">
        <f t="shared" si="9"/>
        <v>-1266879.868932161</v>
      </c>
    </row>
    <row r="63" spans="1:16" x14ac:dyDescent="0.2">
      <c r="A63" t="s">
        <v>98</v>
      </c>
      <c r="B63" s="31">
        <v>0</v>
      </c>
      <c r="C63" s="1">
        <f t="shared" ref="C63:G66" si="13">J63</f>
        <v>0</v>
      </c>
      <c r="D63" s="1">
        <f t="shared" si="13"/>
        <v>0</v>
      </c>
      <c r="E63" s="1">
        <f t="shared" si="13"/>
        <v>0</v>
      </c>
      <c r="F63" s="1">
        <f t="shared" si="13"/>
        <v>0</v>
      </c>
      <c r="G63" s="1">
        <f t="shared" si="13"/>
        <v>0</v>
      </c>
      <c r="H63" t="s">
        <v>98</v>
      </c>
      <c r="J63" s="2"/>
      <c r="K63" s="2"/>
      <c r="L63" s="2"/>
      <c r="M63" s="2"/>
      <c r="N63" s="2"/>
      <c r="P63" s="1">
        <f t="shared" si="9"/>
        <v>0</v>
      </c>
    </row>
    <row r="64" spans="1:16" x14ac:dyDescent="0.2">
      <c r="A64" t="s">
        <v>99</v>
      </c>
      <c r="B64" s="31">
        <v>0</v>
      </c>
      <c r="C64" s="1">
        <f t="shared" si="13"/>
        <v>0</v>
      </c>
      <c r="D64" s="1">
        <f t="shared" si="13"/>
        <v>0</v>
      </c>
      <c r="E64" s="1">
        <f t="shared" si="13"/>
        <v>0</v>
      </c>
      <c r="F64" s="1">
        <f t="shared" si="13"/>
        <v>0</v>
      </c>
      <c r="G64" s="1">
        <f t="shared" si="13"/>
        <v>0</v>
      </c>
      <c r="H64" t="s">
        <v>99</v>
      </c>
      <c r="J64" s="2"/>
      <c r="K64" s="2"/>
      <c r="L64" s="2"/>
      <c r="M64" s="2"/>
      <c r="N64" s="2"/>
      <c r="P64" s="1">
        <f t="shared" si="9"/>
        <v>0</v>
      </c>
    </row>
    <row r="65" spans="1:16" x14ac:dyDescent="0.2">
      <c r="A65" t="s">
        <v>100</v>
      </c>
      <c r="B65" s="31">
        <v>0</v>
      </c>
      <c r="C65" s="1">
        <f t="shared" si="13"/>
        <v>0</v>
      </c>
      <c r="D65" s="1">
        <f t="shared" si="13"/>
        <v>0</v>
      </c>
      <c r="E65" s="1">
        <f t="shared" si="13"/>
        <v>0</v>
      </c>
      <c r="F65" s="1">
        <f t="shared" si="13"/>
        <v>0</v>
      </c>
      <c r="G65" s="1">
        <f t="shared" si="13"/>
        <v>0</v>
      </c>
      <c r="H65" t="s">
        <v>100</v>
      </c>
      <c r="J65" s="2"/>
      <c r="K65" s="2"/>
      <c r="L65" s="2"/>
      <c r="M65" s="2"/>
      <c r="N65" s="2"/>
      <c r="P65" s="1">
        <f t="shared" si="9"/>
        <v>0</v>
      </c>
    </row>
    <row r="66" spans="1:16" x14ac:dyDescent="0.2">
      <c r="A66" t="s">
        <v>101</v>
      </c>
      <c r="B66" s="31">
        <v>0</v>
      </c>
      <c r="C66" s="1">
        <f t="shared" si="13"/>
        <v>0</v>
      </c>
      <c r="D66" s="1">
        <f t="shared" si="13"/>
        <v>0</v>
      </c>
      <c r="E66" s="1">
        <f t="shared" si="13"/>
        <v>0</v>
      </c>
      <c r="F66" s="1">
        <f t="shared" si="13"/>
        <v>0</v>
      </c>
      <c r="G66" s="1">
        <f t="shared" si="13"/>
        <v>0</v>
      </c>
      <c r="H66" t="s">
        <v>101</v>
      </c>
      <c r="J66" s="2"/>
      <c r="K66" s="2"/>
      <c r="L66" s="2"/>
      <c r="M66" s="2"/>
      <c r="N66" s="2"/>
      <c r="P66" s="1">
        <f t="shared" si="9"/>
        <v>0</v>
      </c>
    </row>
    <row r="67" spans="1:16" x14ac:dyDescent="0.2">
      <c r="A67" t="s">
        <v>102</v>
      </c>
      <c r="B67" s="1">
        <f t="shared" ref="B67:G67" si="14">B58-SUM(B59:B61)+SUM(B63:B65)-B66</f>
        <v>-888663</v>
      </c>
      <c r="C67" s="1">
        <f t="shared" si="14"/>
        <v>-648369.16156500019</v>
      </c>
      <c r="D67" s="1">
        <f t="shared" si="14"/>
        <v>-909251.32144403621</v>
      </c>
      <c r="E67" s="1">
        <f t="shared" si="14"/>
        <v>-989549.53149509942</v>
      </c>
      <c r="F67" s="1">
        <f t="shared" si="14"/>
        <v>-1193550.20126</v>
      </c>
      <c r="G67" s="1">
        <f t="shared" si="14"/>
        <v>-1266879.868932161</v>
      </c>
      <c r="H67" t="s">
        <v>102</v>
      </c>
      <c r="I67" s="22" t="s">
        <v>42</v>
      </c>
      <c r="J67" s="4"/>
      <c r="K67" s="4"/>
      <c r="L67" s="4"/>
      <c r="M67" s="4"/>
      <c r="N67" s="4"/>
      <c r="P67" s="1">
        <f t="shared" si="9"/>
        <v>-1266879.868932161</v>
      </c>
    </row>
    <row r="68" spans="1:16" x14ac:dyDescent="0.2">
      <c r="B68" s="3"/>
    </row>
    <row r="69" spans="1:16" x14ac:dyDescent="0.2">
      <c r="A69" t="s">
        <v>103</v>
      </c>
      <c r="B69" s="31">
        <v>-888663</v>
      </c>
      <c r="C69" s="1">
        <f>C62</f>
        <v>-648369.16156500019</v>
      </c>
      <c r="D69" s="1">
        <f>D62</f>
        <v>-909251.32144403632</v>
      </c>
      <c r="E69" s="1">
        <f>E62</f>
        <v>-989549.53149509942</v>
      </c>
      <c r="F69" s="1">
        <f>F62</f>
        <v>-1193550.2012600002</v>
      </c>
      <c r="G69" s="1">
        <f>G62</f>
        <v>-1266879.868932161</v>
      </c>
      <c r="H69" t="s">
        <v>104</v>
      </c>
      <c r="J69" s="2"/>
      <c r="K69" s="2"/>
      <c r="L69" s="2"/>
      <c r="M69" s="2"/>
      <c r="N69" s="2"/>
      <c r="P69" s="1">
        <f t="shared" ref="P69:P99" si="15">G69</f>
        <v>-1266879.868932161</v>
      </c>
    </row>
    <row r="70" spans="1:16" x14ac:dyDescent="0.2">
      <c r="A70" t="s">
        <v>105</v>
      </c>
      <c r="B70" s="31">
        <v>422590</v>
      </c>
      <c r="C70" s="1">
        <f>J3+J4</f>
        <v>695923.33333333337</v>
      </c>
      <c r="D70" s="1">
        <f>K3+K4</f>
        <v>944256.66666666674</v>
      </c>
      <c r="E70" s="1">
        <f>L3+L4</f>
        <v>1310923.3333333335</v>
      </c>
      <c r="F70" s="1">
        <f>M3+M4</f>
        <v>1719256.6666666665</v>
      </c>
      <c r="G70" s="1">
        <f>N3+N4</f>
        <v>2072590</v>
      </c>
      <c r="H70" t="s">
        <v>106</v>
      </c>
      <c r="J70" s="2"/>
      <c r="K70" s="2"/>
      <c r="L70" s="2"/>
      <c r="M70" s="2"/>
      <c r="N70" s="2"/>
      <c r="P70" s="1">
        <f t="shared" si="15"/>
        <v>2072590</v>
      </c>
    </row>
    <row r="71" spans="1:16" x14ac:dyDescent="0.2">
      <c r="A71" t="s">
        <v>107</v>
      </c>
      <c r="B71" s="31">
        <f>197999+72063+44940+37723+26373+55765</f>
        <v>434863</v>
      </c>
      <c r="C71" s="1">
        <f>C41-B41+J71+J61-J43+J24</f>
        <v>0</v>
      </c>
      <c r="D71" s="1">
        <f>D41-C41+K71+K61-K43+K24</f>
        <v>0</v>
      </c>
      <c r="E71" s="1">
        <f>E41-D41+L71+L61-L43+L24</f>
        <v>0</v>
      </c>
      <c r="F71" s="1">
        <f>F41-E41+M71+M61-M43+M24</f>
        <v>0</v>
      </c>
      <c r="G71" s="1">
        <f>G41-F41+N71+N61-N43+N24</f>
        <v>0</v>
      </c>
      <c r="H71" t="s">
        <v>108</v>
      </c>
      <c r="J71" s="2"/>
      <c r="K71" s="2"/>
      <c r="L71" s="2"/>
      <c r="M71" s="2"/>
      <c r="N71" s="2"/>
      <c r="P71" s="1">
        <f t="shared" si="15"/>
        <v>0</v>
      </c>
    </row>
    <row r="72" spans="1:16" x14ac:dyDescent="0.2">
      <c r="A72" t="s">
        <v>109</v>
      </c>
      <c r="B72" s="31">
        <v>0</v>
      </c>
      <c r="C72" s="1">
        <f>J72+J48</f>
        <v>0</v>
      </c>
      <c r="D72" s="1">
        <f>K72+K48</f>
        <v>0</v>
      </c>
      <c r="E72" s="1">
        <f>L72+L48</f>
        <v>0</v>
      </c>
      <c r="F72" s="1">
        <f>M72+M48</f>
        <v>0</v>
      </c>
      <c r="G72" s="1">
        <f>N72+N48</f>
        <v>0</v>
      </c>
      <c r="H72" t="s">
        <v>109</v>
      </c>
      <c r="J72" s="2"/>
      <c r="K72" s="2"/>
      <c r="L72" s="2"/>
      <c r="M72" s="2"/>
      <c r="N72" s="2"/>
      <c r="P72" s="1">
        <f t="shared" si="15"/>
        <v>0</v>
      </c>
    </row>
    <row r="73" spans="1:16" x14ac:dyDescent="0.2">
      <c r="A73" t="s">
        <v>110</v>
      </c>
      <c r="B73" s="1">
        <f t="shared" ref="B73:F73" si="16">SUM(B69:B72)</f>
        <v>-31210</v>
      </c>
      <c r="C73" s="1">
        <f t="shared" si="16"/>
        <v>47554.171768333181</v>
      </c>
      <c r="D73" s="1">
        <f t="shared" si="16"/>
        <v>35005.345222630422</v>
      </c>
      <c r="E73" s="1">
        <f t="shared" si="16"/>
        <v>321373.80183823407</v>
      </c>
      <c r="F73" s="1">
        <f t="shared" si="16"/>
        <v>525706.46540666628</v>
      </c>
      <c r="G73" s="1">
        <f>SUM(G69:G72)</f>
        <v>805710.13106783899</v>
      </c>
      <c r="H73" t="s">
        <v>110</v>
      </c>
      <c r="I73" s="22" t="s">
        <v>42</v>
      </c>
      <c r="P73" s="1">
        <f t="shared" si="15"/>
        <v>805710.13106783899</v>
      </c>
    </row>
    <row r="74" spans="1:16" x14ac:dyDescent="0.2">
      <c r="A74" t="s">
        <v>111</v>
      </c>
      <c r="B74" s="31">
        <v>46267</v>
      </c>
      <c r="C74" s="1">
        <f t="shared" ref="C74:G76" si="17">B25-C25</f>
        <v>-98072.650000000023</v>
      </c>
      <c r="D74" s="1">
        <f t="shared" si="17"/>
        <v>-104144.68349999998</v>
      </c>
      <c r="E74" s="1">
        <f t="shared" si="17"/>
        <v>-244980.34011000005</v>
      </c>
      <c r="F74" s="1">
        <f t="shared" si="17"/>
        <v>-73939.520833200193</v>
      </c>
      <c r="G74" s="1">
        <f t="shared" si="17"/>
        <v>-89713.285277615883</v>
      </c>
      <c r="H74" t="s">
        <v>111</v>
      </c>
      <c r="I74" s="22" t="s">
        <v>42</v>
      </c>
      <c r="P74" s="1">
        <f t="shared" si="15"/>
        <v>-89713.285277615883</v>
      </c>
    </row>
    <row r="75" spans="1:16" x14ac:dyDescent="0.2">
      <c r="A75" t="s">
        <v>112</v>
      </c>
      <c r="B75" s="31">
        <v>-1573860</v>
      </c>
      <c r="C75" s="1">
        <f t="shared" si="17"/>
        <v>-808393.640625</v>
      </c>
      <c r="D75" s="1">
        <f t="shared" si="17"/>
        <v>-794297.92664062511</v>
      </c>
      <c r="E75" s="1">
        <f t="shared" si="17"/>
        <v>-2029516.7380640637</v>
      </c>
      <c r="F75" s="1">
        <f t="shared" si="17"/>
        <v>-625148.3792668134</v>
      </c>
      <c r="G75" s="1">
        <f t="shared" si="17"/>
        <v>-719575.30899754446</v>
      </c>
      <c r="H75" t="s">
        <v>112</v>
      </c>
      <c r="I75" s="22" t="s">
        <v>42</v>
      </c>
      <c r="P75" s="1">
        <f t="shared" si="15"/>
        <v>-719575.30899754446</v>
      </c>
    </row>
    <row r="76" spans="1:16" x14ac:dyDescent="0.2">
      <c r="A76" t="s">
        <v>113</v>
      </c>
      <c r="B76" s="31">
        <f>-29595-24362</f>
        <v>-53957</v>
      </c>
      <c r="C76" s="1">
        <f t="shared" si="17"/>
        <v>-90000</v>
      </c>
      <c r="D76" s="1">
        <f t="shared" si="17"/>
        <v>-40000</v>
      </c>
      <c r="E76" s="1">
        <f t="shared" si="17"/>
        <v>-90000</v>
      </c>
      <c r="F76" s="1">
        <f t="shared" si="17"/>
        <v>-90000</v>
      </c>
      <c r="G76" s="1">
        <f t="shared" si="17"/>
        <v>-90000</v>
      </c>
      <c r="H76" t="s">
        <v>113</v>
      </c>
      <c r="I76" s="22" t="s">
        <v>42</v>
      </c>
      <c r="P76" s="1">
        <f t="shared" si="15"/>
        <v>-90000</v>
      </c>
    </row>
    <row r="77" spans="1:16" x14ac:dyDescent="0.2">
      <c r="A77" t="s">
        <v>114</v>
      </c>
      <c r="B77" s="31">
        <v>263345</v>
      </c>
      <c r="C77" s="1">
        <f>C35-B35</f>
        <v>535201.62774999999</v>
      </c>
      <c r="D77" s="1">
        <f>D35-C35</f>
        <v>379254.15337499999</v>
      </c>
      <c r="E77" s="1">
        <f>E35-D35</f>
        <v>857405.88249862543</v>
      </c>
      <c r="F77" s="1">
        <f>F35-E35</f>
        <v>77707.592567969114</v>
      </c>
      <c r="G77" s="1">
        <f>G35-F35</f>
        <v>119600.01877542539</v>
      </c>
      <c r="H77" t="s">
        <v>114</v>
      </c>
      <c r="I77" s="22" t="s">
        <v>42</v>
      </c>
      <c r="P77" s="1">
        <f t="shared" si="15"/>
        <v>119600.01877542539</v>
      </c>
    </row>
    <row r="78" spans="1:16" x14ac:dyDescent="0.2">
      <c r="A78" t="s">
        <v>115</v>
      </c>
      <c r="B78" s="31">
        <f>322203+36721+442295+23697</f>
        <v>824916</v>
      </c>
      <c r="C78" s="1">
        <f>C38-B38</f>
        <v>700000</v>
      </c>
      <c r="D78" s="1">
        <f>D38-C38</f>
        <v>300000</v>
      </c>
      <c r="E78" s="1">
        <f>E38-D38</f>
        <v>800000</v>
      </c>
      <c r="F78" s="1">
        <f>F38-E38</f>
        <v>1500000</v>
      </c>
      <c r="G78" s="1">
        <f>G38-F38</f>
        <v>1000000</v>
      </c>
      <c r="H78" t="s">
        <v>115</v>
      </c>
      <c r="I78" s="22" t="s">
        <v>42</v>
      </c>
      <c r="P78" s="1">
        <f t="shared" si="15"/>
        <v>1000000</v>
      </c>
    </row>
    <row r="79" spans="1:16" x14ac:dyDescent="0.2">
      <c r="A79" t="s">
        <v>116</v>
      </c>
      <c r="B79" s="1">
        <f t="shared" ref="B79:G79" si="18">SUM(B73:B78)</f>
        <v>-524499</v>
      </c>
      <c r="C79" s="1">
        <f t="shared" si="18"/>
        <v>286289.50889333314</v>
      </c>
      <c r="D79" s="1">
        <f t="shared" si="18"/>
        <v>-224183.11154299462</v>
      </c>
      <c r="E79" s="1">
        <f t="shared" si="18"/>
        <v>-385717.3938372042</v>
      </c>
      <c r="F79" s="1">
        <f t="shared" si="18"/>
        <v>1314326.1578746219</v>
      </c>
      <c r="G79" s="1">
        <f t="shared" si="18"/>
        <v>1026021.555568104</v>
      </c>
      <c r="H79" t="s">
        <v>116</v>
      </c>
      <c r="I79" s="22" t="s">
        <v>42</v>
      </c>
      <c r="P79" s="1">
        <f t="shared" si="15"/>
        <v>1026021.555568104</v>
      </c>
    </row>
    <row r="80" spans="1:16" x14ac:dyDescent="0.2">
      <c r="A80" t="s">
        <v>117</v>
      </c>
      <c r="B80" s="31">
        <v>0</v>
      </c>
      <c r="C80" s="1">
        <f t="shared" ref="C80:G81" si="19">J63</f>
        <v>0</v>
      </c>
      <c r="D80" s="1">
        <f t="shared" si="19"/>
        <v>0</v>
      </c>
      <c r="E80" s="1">
        <f t="shared" si="19"/>
        <v>0</v>
      </c>
      <c r="F80" s="1">
        <f t="shared" si="19"/>
        <v>0</v>
      </c>
      <c r="G80" s="1">
        <f t="shared" si="19"/>
        <v>0</v>
      </c>
      <c r="H80" t="s">
        <v>117</v>
      </c>
      <c r="I80" s="22" t="s">
        <v>42</v>
      </c>
      <c r="P80" s="1">
        <f t="shared" si="15"/>
        <v>0</v>
      </c>
    </row>
    <row r="81" spans="1:16" x14ac:dyDescent="0.2">
      <c r="A81" t="s">
        <v>118</v>
      </c>
      <c r="B81" s="31">
        <v>0</v>
      </c>
      <c r="C81" s="1">
        <f t="shared" si="19"/>
        <v>0</v>
      </c>
      <c r="D81" s="1">
        <f t="shared" si="19"/>
        <v>0</v>
      </c>
      <c r="E81" s="1">
        <f t="shared" si="19"/>
        <v>0</v>
      </c>
      <c r="F81" s="1">
        <f t="shared" si="19"/>
        <v>0</v>
      </c>
      <c r="G81" s="1">
        <f t="shared" si="19"/>
        <v>0</v>
      </c>
      <c r="H81" t="s">
        <v>118</v>
      </c>
      <c r="I81" s="22" t="s">
        <v>42</v>
      </c>
      <c r="P81" s="1">
        <f t="shared" si="15"/>
        <v>0</v>
      </c>
    </row>
    <row r="82" spans="1:16" x14ac:dyDescent="0.2">
      <c r="A82" t="s">
        <v>119</v>
      </c>
      <c r="B82" s="31">
        <v>0</v>
      </c>
      <c r="C82" s="1">
        <f>J82</f>
        <v>0</v>
      </c>
      <c r="D82" s="1">
        <f>K82</f>
        <v>0</v>
      </c>
      <c r="E82" s="1">
        <f>L82</f>
        <v>0</v>
      </c>
      <c r="F82" s="1">
        <f>M82</f>
        <v>0</v>
      </c>
      <c r="G82" s="1">
        <f>N82</f>
        <v>0</v>
      </c>
      <c r="H82" t="s">
        <v>119</v>
      </c>
      <c r="J82" s="2"/>
      <c r="K82" s="2"/>
      <c r="L82" s="2"/>
      <c r="M82" s="2"/>
      <c r="N82" s="2"/>
      <c r="P82" s="1">
        <f t="shared" si="15"/>
        <v>0</v>
      </c>
    </row>
    <row r="83" spans="1:16" x14ac:dyDescent="0.2">
      <c r="A83" t="s">
        <v>120</v>
      </c>
      <c r="B83" s="31">
        <v>0</v>
      </c>
      <c r="C83" s="1">
        <f>IF(C37&gt;B37,C37-B37,0)</f>
        <v>0</v>
      </c>
      <c r="D83" s="1">
        <f>IF(D37&gt;C37,D37-C37,0)</f>
        <v>0</v>
      </c>
      <c r="E83" s="1">
        <f>IF(E37&gt;D37,E37-D37,0)</f>
        <v>920000</v>
      </c>
      <c r="F83" s="1">
        <f>IF(F37&gt;E37,F37-E37,0)</f>
        <v>0</v>
      </c>
      <c r="G83" s="1">
        <f>IF(G37&gt;F37,G37-F37,0)</f>
        <v>1380000</v>
      </c>
      <c r="H83" t="s">
        <v>120</v>
      </c>
      <c r="I83" s="22" t="s">
        <v>42</v>
      </c>
      <c r="P83" s="1">
        <f t="shared" si="15"/>
        <v>1380000</v>
      </c>
    </row>
    <row r="84" spans="1:16" x14ac:dyDescent="0.2">
      <c r="A84" t="s">
        <v>121</v>
      </c>
      <c r="B84" s="31">
        <f>318972+568745</f>
        <v>887717</v>
      </c>
      <c r="C84" s="1">
        <f>J84</f>
        <v>800000</v>
      </c>
      <c r="D84" s="1">
        <f>K84</f>
        <v>2700000</v>
      </c>
      <c r="E84" s="1">
        <f>L84</f>
        <v>3200000</v>
      </c>
      <c r="F84" s="1">
        <f>M84</f>
        <v>1500000</v>
      </c>
      <c r="G84" s="1">
        <f>N84</f>
        <v>1300000</v>
      </c>
      <c r="H84" t="s">
        <v>121</v>
      </c>
      <c r="J84" s="2">
        <v>800000</v>
      </c>
      <c r="K84" s="2">
        <v>2700000</v>
      </c>
      <c r="L84" s="2">
        <v>3200000</v>
      </c>
      <c r="M84" s="2">
        <v>1500000</v>
      </c>
      <c r="N84" s="2">
        <v>1300000</v>
      </c>
      <c r="P84" s="1">
        <f t="shared" si="15"/>
        <v>1300000</v>
      </c>
    </row>
    <row r="85" spans="1:16" x14ac:dyDescent="0.2">
      <c r="A85" t="s">
        <v>122</v>
      </c>
      <c r="B85" s="31">
        <f>730000+106611+20000</f>
        <v>856611</v>
      </c>
      <c r="C85" s="1">
        <f>J85+J45-J49</f>
        <v>1300000</v>
      </c>
      <c r="D85" s="1">
        <f>K85+K45-K49</f>
        <v>120000</v>
      </c>
      <c r="E85" s="1">
        <f>L85+L45-L49</f>
        <v>150000</v>
      </c>
      <c r="F85" s="1">
        <f>M85+M45-M49</f>
        <v>180000</v>
      </c>
      <c r="G85" s="1">
        <f>N85+N45-N49</f>
        <v>200000</v>
      </c>
      <c r="H85" t="s">
        <v>123</v>
      </c>
      <c r="J85" s="2">
        <v>1300000</v>
      </c>
      <c r="K85" s="2">
        <v>120000</v>
      </c>
      <c r="L85" s="2">
        <v>150000</v>
      </c>
      <c r="M85" s="2">
        <v>180000</v>
      </c>
      <c r="N85" s="2">
        <v>200000</v>
      </c>
      <c r="P85" s="1">
        <f t="shared" si="15"/>
        <v>200000</v>
      </c>
    </row>
    <row r="86" spans="1:16" x14ac:dyDescent="0.2">
      <c r="A86" t="s">
        <v>124</v>
      </c>
      <c r="B86" s="31">
        <v>0</v>
      </c>
      <c r="C86" s="1">
        <f t="shared" ref="C86:G87" si="20">J86</f>
        <v>0</v>
      </c>
      <c r="D86" s="1">
        <f t="shared" si="20"/>
        <v>0</v>
      </c>
      <c r="E86" s="1">
        <f t="shared" si="20"/>
        <v>0</v>
      </c>
      <c r="F86" s="1">
        <f t="shared" si="20"/>
        <v>0</v>
      </c>
      <c r="G86" s="1">
        <f t="shared" si="20"/>
        <v>0</v>
      </c>
      <c r="H86" t="s">
        <v>125</v>
      </c>
      <c r="J86" s="2"/>
      <c r="K86" s="2"/>
      <c r="L86" s="2"/>
      <c r="M86" s="2"/>
      <c r="N86" s="2"/>
      <c r="P86" s="1">
        <f t="shared" si="15"/>
        <v>0</v>
      </c>
    </row>
    <row r="87" spans="1:16" x14ac:dyDescent="0.2">
      <c r="A87" t="s">
        <v>126</v>
      </c>
      <c r="B87" s="31">
        <v>0</v>
      </c>
      <c r="C87" s="1">
        <f t="shared" si="20"/>
        <v>0</v>
      </c>
      <c r="D87" s="1">
        <f t="shared" si="20"/>
        <v>0</v>
      </c>
      <c r="E87" s="1">
        <f t="shared" si="20"/>
        <v>0</v>
      </c>
      <c r="F87" s="1">
        <f t="shared" si="20"/>
        <v>0</v>
      </c>
      <c r="G87" s="1">
        <f t="shared" si="20"/>
        <v>0</v>
      </c>
      <c r="H87" t="s">
        <v>126</v>
      </c>
      <c r="J87" s="2"/>
      <c r="K87" s="2"/>
      <c r="L87" s="2"/>
      <c r="M87" s="2"/>
      <c r="N87" s="2"/>
      <c r="P87" s="1">
        <f t="shared" si="15"/>
        <v>0</v>
      </c>
    </row>
    <row r="88" spans="1:16" x14ac:dyDescent="0.2">
      <c r="A88" t="s">
        <v>127</v>
      </c>
      <c r="B88" s="31">
        <v>0</v>
      </c>
      <c r="C88" s="1">
        <f>IF(C42&gt;B42,C42-B42,0)</f>
        <v>1200000</v>
      </c>
      <c r="D88" s="1">
        <f>IF(D42&gt;C42,D42-C42,0)</f>
        <v>300000</v>
      </c>
      <c r="E88" s="1">
        <f>IF(E42&gt;D42,E42-D42,0)</f>
        <v>1200000</v>
      </c>
      <c r="F88" s="1">
        <f>IF(F42&gt;E42,F42-E42,0)</f>
        <v>2400000</v>
      </c>
      <c r="G88" s="1">
        <f>IF(G42&gt;F42,G42-F42,0)</f>
        <v>1500000</v>
      </c>
      <c r="H88" t="s">
        <v>128</v>
      </c>
      <c r="J88" s="2"/>
      <c r="K88" s="2"/>
      <c r="L88" s="2"/>
      <c r="M88" s="2"/>
      <c r="N88" s="2"/>
      <c r="P88" s="1">
        <f t="shared" si="15"/>
        <v>1500000</v>
      </c>
    </row>
    <row r="89" spans="1:16" x14ac:dyDescent="0.2">
      <c r="A89" t="s">
        <v>129</v>
      </c>
      <c r="B89">
        <f t="shared" ref="B89:G89" si="21">SUM(B80:B88)</f>
        <v>1744328</v>
      </c>
      <c r="C89">
        <f t="shared" si="21"/>
        <v>3300000</v>
      </c>
      <c r="D89">
        <f t="shared" si="21"/>
        <v>3120000</v>
      </c>
      <c r="E89">
        <f t="shared" si="21"/>
        <v>5470000</v>
      </c>
      <c r="F89">
        <f t="shared" si="21"/>
        <v>4080000</v>
      </c>
      <c r="G89">
        <f t="shared" si="21"/>
        <v>4380000</v>
      </c>
      <c r="H89" t="s">
        <v>129</v>
      </c>
      <c r="I89" s="22" t="s">
        <v>42</v>
      </c>
      <c r="P89" s="1">
        <f t="shared" si="15"/>
        <v>4380000</v>
      </c>
    </row>
    <row r="90" spans="1:16" x14ac:dyDescent="0.2">
      <c r="A90" t="s">
        <v>130</v>
      </c>
      <c r="B90">
        <f t="shared" ref="B90:G90" si="22">B79+B89</f>
        <v>1219829</v>
      </c>
      <c r="C90">
        <f t="shared" si="22"/>
        <v>3586289.5088933334</v>
      </c>
      <c r="D90">
        <f t="shared" si="22"/>
        <v>2895816.8884570054</v>
      </c>
      <c r="E90">
        <f t="shared" si="22"/>
        <v>5084282.6061627958</v>
      </c>
      <c r="F90">
        <f t="shared" si="22"/>
        <v>5394326.1578746215</v>
      </c>
      <c r="G90">
        <f t="shared" si="22"/>
        <v>5406021.5555681037</v>
      </c>
      <c r="H90" t="s">
        <v>130</v>
      </c>
      <c r="I90" s="22" t="s">
        <v>42</v>
      </c>
      <c r="P90" s="1">
        <f t="shared" si="15"/>
        <v>5406021.5555681037</v>
      </c>
    </row>
    <row r="91" spans="1:16" x14ac:dyDescent="0.2">
      <c r="A91" t="s">
        <v>131</v>
      </c>
      <c r="B91" s="31">
        <v>0</v>
      </c>
      <c r="C91" s="1">
        <f>(C101*J91)+J66</f>
        <v>0</v>
      </c>
      <c r="D91" s="1">
        <f>(D101*K91)+K66</f>
        <v>0</v>
      </c>
      <c r="E91" s="1">
        <f>(E101*L91)+L66</f>
        <v>0</v>
      </c>
      <c r="F91" s="1">
        <f>(F101*M91)+M66</f>
        <v>0</v>
      </c>
      <c r="G91" s="1">
        <f>(G101*N91)+N66</f>
        <v>0</v>
      </c>
      <c r="H91" t="s">
        <v>132</v>
      </c>
      <c r="J91" s="5"/>
      <c r="K91" s="5"/>
      <c r="L91" s="5"/>
      <c r="M91" s="5"/>
      <c r="N91" s="5"/>
      <c r="P91" s="1">
        <f t="shared" si="15"/>
        <v>0</v>
      </c>
    </row>
    <row r="92" spans="1:16" x14ac:dyDescent="0.2">
      <c r="A92" t="s">
        <v>133</v>
      </c>
      <c r="B92" s="31">
        <v>0</v>
      </c>
      <c r="C92" s="1">
        <f>J92</f>
        <v>0</v>
      </c>
      <c r="D92" s="1">
        <f>K92</f>
        <v>0</v>
      </c>
      <c r="E92" s="1">
        <f>L92</f>
        <v>0</v>
      </c>
      <c r="F92" s="1">
        <f>M92</f>
        <v>0</v>
      </c>
      <c r="G92" s="1">
        <f>N92</f>
        <v>0</v>
      </c>
      <c r="H92" t="s">
        <v>133</v>
      </c>
      <c r="J92" s="2"/>
      <c r="K92" s="2"/>
      <c r="L92" s="2"/>
      <c r="M92" s="2"/>
      <c r="N92" s="2"/>
      <c r="P92" s="1">
        <f t="shared" si="15"/>
        <v>0</v>
      </c>
    </row>
    <row r="93" spans="1:16" x14ac:dyDescent="0.2">
      <c r="A93" t="s">
        <v>134</v>
      </c>
      <c r="B93" s="31">
        <v>0</v>
      </c>
      <c r="C93" s="1">
        <f>IF(B37&gt;C37,B37-C37,0)</f>
        <v>633166</v>
      </c>
      <c r="D93" s="1">
        <f>IF(C37&gt;D37,C37-D37,0)</f>
        <v>0</v>
      </c>
      <c r="E93" s="1">
        <f>IF(D37&gt;E37,D37-E37,0)</f>
        <v>0</v>
      </c>
      <c r="F93" s="1">
        <f>IF(E37&gt;F37,E37-F37,0)</f>
        <v>920000</v>
      </c>
      <c r="G93" s="1">
        <f>IF(F37&gt;G37,F37-G37,0)</f>
        <v>0</v>
      </c>
      <c r="H93" t="s">
        <v>135</v>
      </c>
      <c r="J93" s="2"/>
      <c r="K93" s="2"/>
      <c r="L93" s="2"/>
      <c r="M93" s="2"/>
      <c r="N93" s="2"/>
      <c r="P93" s="1">
        <f t="shared" si="15"/>
        <v>0</v>
      </c>
    </row>
    <row r="94" spans="1:16" x14ac:dyDescent="0.2">
      <c r="A94" t="s">
        <v>136</v>
      </c>
      <c r="B94" s="31">
        <v>203780</v>
      </c>
      <c r="C94" s="1">
        <f>J94+J37</f>
        <v>0</v>
      </c>
      <c r="D94" s="1">
        <f>K94+K37</f>
        <v>0</v>
      </c>
      <c r="E94" s="1">
        <f>L94+L37</f>
        <v>920000</v>
      </c>
      <c r="F94" s="1">
        <f>M94+M37</f>
        <v>0</v>
      </c>
      <c r="G94" s="1">
        <f>N94+N37</f>
        <v>1380000</v>
      </c>
      <c r="H94" t="s">
        <v>136</v>
      </c>
      <c r="J94" s="2"/>
      <c r="K94" s="2"/>
      <c r="L94" s="2"/>
      <c r="M94" s="2"/>
      <c r="N94" s="2"/>
      <c r="P94" s="1">
        <f t="shared" si="15"/>
        <v>1380000</v>
      </c>
    </row>
    <row r="95" spans="1:16" x14ac:dyDescent="0.2">
      <c r="A95" t="s">
        <v>137</v>
      </c>
      <c r="B95" s="31">
        <v>1634850</v>
      </c>
      <c r="C95" s="1">
        <f>J95+J93</f>
        <v>2200000</v>
      </c>
      <c r="D95" s="1">
        <f>K95+K93</f>
        <v>2500000</v>
      </c>
      <c r="E95" s="1">
        <f>L95+L93</f>
        <v>3200000</v>
      </c>
      <c r="F95" s="1">
        <f>M95+M93</f>
        <v>2500000</v>
      </c>
      <c r="G95" s="1">
        <f>N95+N93</f>
        <v>2800000</v>
      </c>
      <c r="H95" t="s">
        <v>138</v>
      </c>
      <c r="J95" s="2">
        <v>2200000</v>
      </c>
      <c r="K95" s="2">
        <v>2500000</v>
      </c>
      <c r="L95" s="2">
        <v>3200000</v>
      </c>
      <c r="M95" s="2">
        <v>2500000</v>
      </c>
      <c r="N95" s="2">
        <v>2800000</v>
      </c>
      <c r="P95" s="1">
        <f t="shared" si="15"/>
        <v>2800000</v>
      </c>
    </row>
    <row r="96" spans="1:16" x14ac:dyDescent="0.2">
      <c r="A96" t="s">
        <v>139</v>
      </c>
      <c r="B96" s="31">
        <v>0</v>
      </c>
      <c r="C96" s="1">
        <f>J96</f>
        <v>0</v>
      </c>
      <c r="D96" s="1">
        <f>K96</f>
        <v>0</v>
      </c>
      <c r="E96" s="1">
        <f>L96</f>
        <v>0</v>
      </c>
      <c r="F96" s="1">
        <f>M96</f>
        <v>0</v>
      </c>
      <c r="G96" s="1">
        <f>N96</f>
        <v>0</v>
      </c>
      <c r="H96" t="s">
        <v>139</v>
      </c>
      <c r="J96" s="2"/>
      <c r="K96" s="2"/>
      <c r="L96" s="2"/>
      <c r="M96" s="2"/>
      <c r="N96" s="2"/>
      <c r="P96" s="1">
        <f t="shared" si="15"/>
        <v>0</v>
      </c>
    </row>
    <row r="97" spans="1:16" x14ac:dyDescent="0.2">
      <c r="A97" t="s">
        <v>140</v>
      </c>
      <c r="B97" s="31">
        <f>26441+12260+34278+17025</f>
        <v>90004</v>
      </c>
      <c r="C97" s="1">
        <f>(IF(C42&lt;B42,B42-C42,0))+J97</f>
        <v>900000</v>
      </c>
      <c r="D97" s="1">
        <f>(IF(D42&lt;C42,C42-D42,0))+K97</f>
        <v>400000</v>
      </c>
      <c r="E97" s="1">
        <f>(IF(E42&lt;D42,D42-E42,0))+L97</f>
        <v>1000000</v>
      </c>
      <c r="F97" s="1">
        <f>(IF(F42&lt;E42,E42-F42,0))+M97</f>
        <v>2000000</v>
      </c>
      <c r="G97" s="1">
        <f>(IF(G42&lt;F42,F42-G42,0))+N97</f>
        <v>1200000</v>
      </c>
      <c r="H97" t="s">
        <v>141</v>
      </c>
      <c r="J97" s="2">
        <v>900000</v>
      </c>
      <c r="K97" s="2">
        <v>400000</v>
      </c>
      <c r="L97" s="2">
        <v>1000000</v>
      </c>
      <c r="M97" s="2">
        <v>2000000</v>
      </c>
      <c r="N97" s="2">
        <v>1200000</v>
      </c>
      <c r="P97" s="1">
        <f t="shared" si="15"/>
        <v>1200000</v>
      </c>
    </row>
    <row r="98" spans="1:16" x14ac:dyDescent="0.2">
      <c r="A98" t="s">
        <v>142</v>
      </c>
      <c r="B98">
        <f t="shared" ref="B98:G98" si="23">SUM(B91:B97)</f>
        <v>1928634</v>
      </c>
      <c r="C98">
        <f t="shared" si="23"/>
        <v>3733166</v>
      </c>
      <c r="D98">
        <f t="shared" si="23"/>
        <v>2900000</v>
      </c>
      <c r="E98">
        <f t="shared" si="23"/>
        <v>5120000</v>
      </c>
      <c r="F98">
        <f t="shared" si="23"/>
        <v>5420000</v>
      </c>
      <c r="G98">
        <f t="shared" si="23"/>
        <v>5380000</v>
      </c>
      <c r="H98" t="s">
        <v>142</v>
      </c>
      <c r="I98" s="22" t="s">
        <v>42</v>
      </c>
      <c r="P98" s="1">
        <f t="shared" si="15"/>
        <v>5380000</v>
      </c>
    </row>
    <row r="99" spans="1:16" x14ac:dyDescent="0.2">
      <c r="A99" t="s">
        <v>143</v>
      </c>
      <c r="B99" s="31">
        <v>-708805</v>
      </c>
      <c r="C99" s="1">
        <f>C90-C98</f>
        <v>-146876.49110666662</v>
      </c>
      <c r="D99" s="1">
        <f>D90-D98</f>
        <v>-4183.1115429946221</v>
      </c>
      <c r="E99" s="1">
        <f>E90-E98</f>
        <v>-35717.393837204203</v>
      </c>
      <c r="F99" s="1">
        <f>F90-F98</f>
        <v>-25673.842125378549</v>
      </c>
      <c r="G99" s="1">
        <f>G90-G98</f>
        <v>26021.555568103679</v>
      </c>
      <c r="H99" t="s">
        <v>143</v>
      </c>
      <c r="J99" s="2">
        <v>-132000</v>
      </c>
      <c r="K99" s="2"/>
      <c r="L99" s="2"/>
      <c r="M99" s="2"/>
      <c r="N99" s="2"/>
      <c r="P99" s="1">
        <f t="shared" si="15"/>
        <v>26021.555568103679</v>
      </c>
    </row>
    <row r="100" spans="1:16" x14ac:dyDescent="0.2">
      <c r="B100" s="3"/>
      <c r="J100" s="2"/>
      <c r="K100" s="2"/>
      <c r="L100" s="2"/>
      <c r="M100" s="2"/>
      <c r="N100" s="2"/>
    </row>
    <row r="101" spans="1:16" x14ac:dyDescent="0.2">
      <c r="A101" t="s">
        <v>144</v>
      </c>
      <c r="B101" s="31">
        <v>128202</v>
      </c>
      <c r="C101" s="1">
        <f>B101+J101</f>
        <v>135702</v>
      </c>
      <c r="D101" s="1">
        <f>C101+K101</f>
        <v>143202</v>
      </c>
      <c r="E101" s="1">
        <f>D101+L101</f>
        <v>148202</v>
      </c>
      <c r="F101" s="1">
        <f>E101+M101</f>
        <v>153202</v>
      </c>
      <c r="G101" s="1">
        <f>F101+N101</f>
        <v>158202</v>
      </c>
      <c r="H101" t="s">
        <v>145</v>
      </c>
      <c r="J101" s="2">
        <v>7500</v>
      </c>
      <c r="K101" s="2">
        <v>7500</v>
      </c>
      <c r="L101" s="2">
        <v>5000</v>
      </c>
      <c r="M101" s="2">
        <v>5000</v>
      </c>
      <c r="N101" s="2">
        <v>5000</v>
      </c>
      <c r="P101" s="1">
        <f>G101</f>
        <v>158202</v>
      </c>
    </row>
    <row r="103" spans="1:16" x14ac:dyDescent="0.2">
      <c r="A103" t="s">
        <v>146</v>
      </c>
      <c r="B103" s="6"/>
      <c r="C103" s="6">
        <f>C62/C101</f>
        <v>-4.7778895046867413</v>
      </c>
      <c r="D103" s="6">
        <f>D62/D101</f>
        <v>-6.349431721931512</v>
      </c>
      <c r="E103" s="6">
        <f>E62/E101</f>
        <v>-6.6770322363739991</v>
      </c>
      <c r="F103" s="6">
        <f>F62/F101</f>
        <v>-7.7906959521416184</v>
      </c>
      <c r="G103" s="6">
        <f>G62/G101</f>
        <v>-8.0079889567272282</v>
      </c>
      <c r="H103" t="s">
        <v>147</v>
      </c>
      <c r="J103">
        <f>C24-B24</f>
        <v>-146876.49110666662</v>
      </c>
      <c r="K103">
        <f>D24-C24</f>
        <v>-4183.1115429946221</v>
      </c>
      <c r="L103">
        <f>E24-D24</f>
        <v>-35717.393837204203</v>
      </c>
      <c r="M103">
        <f>F24-E24</f>
        <v>-25673.842125378549</v>
      </c>
      <c r="N103">
        <f>G24-F24</f>
        <v>26021.555568103679</v>
      </c>
    </row>
    <row r="105" spans="1:16" x14ac:dyDescent="0.2">
      <c r="A105" t="s">
        <v>148</v>
      </c>
    </row>
    <row r="106" spans="1:16" x14ac:dyDescent="0.2">
      <c r="A106" t="s">
        <v>149</v>
      </c>
      <c r="B106">
        <f t="shared" ref="B106:G106" si="24">B33-B51</f>
        <v>0</v>
      </c>
      <c r="C106">
        <f t="shared" si="24"/>
        <v>0</v>
      </c>
      <c r="D106">
        <f t="shared" si="24"/>
        <v>0</v>
      </c>
      <c r="E106">
        <f t="shared" si="24"/>
        <v>0</v>
      </c>
      <c r="F106">
        <f t="shared" si="24"/>
        <v>0</v>
      </c>
      <c r="G106">
        <f t="shared" si="24"/>
        <v>0</v>
      </c>
    </row>
    <row r="107" spans="1:16" x14ac:dyDescent="0.2">
      <c r="A107" s="23" t="s">
        <v>150</v>
      </c>
      <c r="B107">
        <f t="shared" ref="B107:G107" si="25">SUM(B53:B54)-SUM(B55:B57)-SUM(B59:B61)+SUM(B63:B65)-SUM(B66:B67)</f>
        <v>0</v>
      </c>
      <c r="C107">
        <f t="shared" si="25"/>
        <v>0</v>
      </c>
      <c r="D107">
        <f t="shared" si="25"/>
        <v>0</v>
      </c>
      <c r="E107">
        <f t="shared" si="25"/>
        <v>9.3132257461547852E-10</v>
      </c>
      <c r="F107">
        <f t="shared" si="25"/>
        <v>0</v>
      </c>
      <c r="G107">
        <f t="shared" si="25"/>
        <v>0</v>
      </c>
    </row>
    <row r="108" spans="1:16" x14ac:dyDescent="0.2">
      <c r="A108" s="23" t="s">
        <v>151</v>
      </c>
      <c r="B108">
        <f t="shared" ref="B108:G108" si="26">SUM(B69:B71)-SUM(B72:B73)</f>
        <v>0</v>
      </c>
      <c r="C108">
        <f t="shared" si="26"/>
        <v>0</v>
      </c>
      <c r="D108">
        <f t="shared" si="26"/>
        <v>0</v>
      </c>
      <c r="E108">
        <f t="shared" si="26"/>
        <v>0</v>
      </c>
      <c r="F108">
        <f t="shared" si="26"/>
        <v>0</v>
      </c>
      <c r="G108">
        <f t="shared" si="26"/>
        <v>0</v>
      </c>
    </row>
    <row r="109" spans="1:16" x14ac:dyDescent="0.2">
      <c r="A109" t="s">
        <v>152</v>
      </c>
      <c r="B109">
        <f t="shared" ref="B109:G109" si="27">B90-B98-B99</f>
        <v>0</v>
      </c>
      <c r="C109">
        <f t="shared" si="27"/>
        <v>0</v>
      </c>
      <c r="D109">
        <f t="shared" si="27"/>
        <v>0</v>
      </c>
      <c r="E109">
        <f t="shared" si="27"/>
        <v>0</v>
      </c>
      <c r="F109">
        <f t="shared" si="27"/>
        <v>0</v>
      </c>
      <c r="G109">
        <f t="shared" si="27"/>
        <v>0</v>
      </c>
    </row>
    <row r="121" spans="1:7" x14ac:dyDescent="0.2">
      <c r="A121" t="s">
        <v>153</v>
      </c>
    </row>
    <row r="122" spans="1:7" x14ac:dyDescent="0.2">
      <c r="A122" t="s">
        <v>154</v>
      </c>
      <c r="C122" s="7">
        <f>C$23</f>
        <v>2016</v>
      </c>
      <c r="D122" s="7">
        <f>D$23</f>
        <v>2017</v>
      </c>
      <c r="E122" s="7">
        <f>E$23</f>
        <v>2018</v>
      </c>
      <c r="F122" s="7">
        <f>F$23</f>
        <v>2019</v>
      </c>
      <c r="G122" s="7">
        <f>G$23</f>
        <v>2020</v>
      </c>
    </row>
    <row r="123" spans="1:7" x14ac:dyDescent="0.2">
      <c r="A123" t="s">
        <v>155</v>
      </c>
      <c r="C123" s="6">
        <f>C28/C39</f>
        <v>1.0651925062490657</v>
      </c>
      <c r="D123" s="6">
        <f>D28/D39</f>
        <v>1.1166189332286045</v>
      </c>
      <c r="E123" s="6">
        <f>E28/E39</f>
        <v>1.0343413274338025</v>
      </c>
      <c r="F123" s="6">
        <f>F28/F39</f>
        <v>1.0456768752440389</v>
      </c>
      <c r="G123" s="6">
        <f>G28/G39</f>
        <v>0.87395025078760757</v>
      </c>
    </row>
    <row r="124" spans="1:7" x14ac:dyDescent="0.2">
      <c r="A124" t="s">
        <v>156</v>
      </c>
      <c r="C124" s="6">
        <f>(C24+C25)/C39</f>
        <v>0.38529837911735765</v>
      </c>
      <c r="D124" s="6">
        <f>(D24+D25)/D39</f>
        <v>0.3458227392036563</v>
      </c>
      <c r="E124" s="6">
        <f>(E24+E25)/E39</f>
        <v>0.24364060948260133</v>
      </c>
      <c r="F124" s="6">
        <f>(F24+F25)/F39</f>
        <v>0.22836943415407862</v>
      </c>
      <c r="G124" s="6">
        <f>(G24+G25)/G39</f>
        <v>0.18208337159436758</v>
      </c>
    </row>
    <row r="125" spans="1:7" x14ac:dyDescent="0.2">
      <c r="A125" t="s">
        <v>157</v>
      </c>
      <c r="C125" s="6">
        <f>((B25+C25)/2)/(+C53/365)</f>
        <v>11.918990992468666</v>
      </c>
      <c r="D125" s="6">
        <f>((C25+D25)/2)/(+D53/365)</f>
        <v>12.551798561151079</v>
      </c>
      <c r="E125" s="6">
        <f>((D25+E25)/2)/(+E53/365)</f>
        <v>11.697590361445783</v>
      </c>
      <c r="F125" s="6">
        <f>((E25+F25)/2)/(+F53/365)</f>
        <v>13.817857142857141</v>
      </c>
      <c r="G125" s="6">
        <f>((F25+G25)/2)/(+G53/365)</f>
        <v>13.760176991150441</v>
      </c>
    </row>
    <row r="126" spans="1:7" x14ac:dyDescent="0.2">
      <c r="A126" t="s">
        <v>158</v>
      </c>
      <c r="C126" s="6">
        <f>((B26+C26)/2)/(C55/365)</f>
        <v>122.61795731332268</v>
      </c>
      <c r="D126" s="6">
        <f>((C26+D26)/2)/(D55/365)</f>
        <v>131.11505761833484</v>
      </c>
      <c r="E126" s="6">
        <f>((D26+E26)/2)/(E55/365)</f>
        <v>120.65229873743338</v>
      </c>
      <c r="F126" s="6">
        <f>((E26+F26)/2)/(F55/365)</f>
        <v>143.49513953308596</v>
      </c>
      <c r="G126" s="6">
        <f>((F26+G26)/2)/(G55/365)</f>
        <v>143.33517699115043</v>
      </c>
    </row>
    <row r="127" spans="1:7" x14ac:dyDescent="0.2">
      <c r="A127" t="s">
        <v>159</v>
      </c>
      <c r="C127" s="6">
        <f>((B35+C35)/2)/((C55+C56+C57)/365)</f>
        <v>59.540211235552164</v>
      </c>
      <c r="D127" s="6">
        <f>((C35+D35)/2)/((D55+D56+D57)/365)</f>
        <v>59.489214660948242</v>
      </c>
      <c r="E127" s="6">
        <f>((D35+E35)/2)/((E55+E56+E57)/365)</f>
        <v>51.131199714199326</v>
      </c>
      <c r="F127" s="6">
        <f>((E35+F35)/2)/((F55+F56+F57)/365)</f>
        <v>55.364976614076895</v>
      </c>
      <c r="G127" s="6">
        <f>((F35+G35)/2)/((G55+G56+G57)/365)</f>
        <v>51.06216373915489</v>
      </c>
    </row>
    <row r="129" spans="1:7" x14ac:dyDescent="0.2">
      <c r="A129" t="s">
        <v>160</v>
      </c>
    </row>
    <row r="130" spans="1:7" x14ac:dyDescent="0.2">
      <c r="A130" t="s">
        <v>154</v>
      </c>
      <c r="C130" s="7">
        <f>C$23</f>
        <v>2016</v>
      </c>
      <c r="D130" s="7">
        <f>D$23</f>
        <v>2017</v>
      </c>
      <c r="E130" s="7">
        <f>E$23</f>
        <v>2018</v>
      </c>
      <c r="F130" s="7">
        <f>F$23</f>
        <v>2019</v>
      </c>
      <c r="G130" s="7">
        <f>G$23</f>
        <v>2020</v>
      </c>
    </row>
    <row r="131" spans="1:7" x14ac:dyDescent="0.2">
      <c r="A131" t="s">
        <v>161</v>
      </c>
      <c r="C131" s="4">
        <f>C40/C33</f>
        <v>0.25404440965738501</v>
      </c>
      <c r="D131" s="4">
        <f>D40/D33</f>
        <v>0.39213046489671793</v>
      </c>
      <c r="E131" s="4">
        <f>E40/E33</f>
        <v>0.40415471368232769</v>
      </c>
      <c r="F131" s="4">
        <f>F40/F33</f>
        <v>0.40709460687944238</v>
      </c>
      <c r="G131" s="4">
        <f>G40/G33</f>
        <v>0.35907582395521509</v>
      </c>
    </row>
    <row r="132" spans="1:7" x14ac:dyDescent="0.2">
      <c r="A132" t="s">
        <v>162</v>
      </c>
      <c r="C132" s="4">
        <f>C40/(C33-C32)</f>
        <v>0.32782736811733837</v>
      </c>
      <c r="D132" s="4">
        <f>D40/(D33-D32)</f>
        <v>0.48264020764719073</v>
      </c>
      <c r="E132" s="4">
        <f>E40/(E33-E32)</f>
        <v>0.48628905364161656</v>
      </c>
      <c r="F132" s="4">
        <f>F40/(F33-F32)</f>
        <v>0.51171152672054121</v>
      </c>
      <c r="G132" s="4">
        <f>G40/(G33-G32)</f>
        <v>0.44944808611037873</v>
      </c>
    </row>
    <row r="133" spans="1:7" x14ac:dyDescent="0.2">
      <c r="A133" t="s">
        <v>163</v>
      </c>
      <c r="C133" s="4">
        <f>C44/C33</f>
        <v>0.84659303387614648</v>
      </c>
      <c r="D133" s="4">
        <f>D44/D33</f>
        <v>0.93317540905470242</v>
      </c>
      <c r="E133" s="4">
        <f>E44/E33</f>
        <v>0.99425444289350917</v>
      </c>
      <c r="F133" s="4">
        <f>F44/F33</f>
        <v>1.0392108273341436</v>
      </c>
      <c r="G133" s="4">
        <f>G44/G33</f>
        <v>1.0761543655314856</v>
      </c>
    </row>
    <row r="134" spans="1:7" x14ac:dyDescent="0.2">
      <c r="A134" t="s">
        <v>164</v>
      </c>
      <c r="C134" s="4">
        <f>C44/(C33-C32)</f>
        <v>1.0924718498485642</v>
      </c>
      <c r="D134" s="4">
        <f>D44/(D33-D32)</f>
        <v>1.1485666468583104</v>
      </c>
      <c r="E134" s="4">
        <f>E44/(E33-E32)</f>
        <v>1.1963117977975444</v>
      </c>
      <c r="F134" s="4">
        <f>F44/(F33-F32)</f>
        <v>1.3062716873504354</v>
      </c>
      <c r="G134" s="4">
        <f>G44/(G33-G32)</f>
        <v>1.3470010724191233</v>
      </c>
    </row>
    <row r="135" spans="1:7" x14ac:dyDescent="0.2">
      <c r="A135" t="s">
        <v>165</v>
      </c>
      <c r="C135" s="4">
        <f>C40/C50</f>
        <v>1.6560161254494898</v>
      </c>
      <c r="D135" s="4">
        <f>D40/D50</f>
        <v>5.8680563449721044</v>
      </c>
      <c r="E135" s="4">
        <f>E40/E50</f>
        <v>70.342128046341983</v>
      </c>
      <c r="F135" s="4">
        <f>F40/F50</f>
        <v>-10.38219886079672</v>
      </c>
      <c r="G135" s="4">
        <f>G40/G50</f>
        <v>-4.7151049247039936</v>
      </c>
    </row>
    <row r="136" spans="1:7" x14ac:dyDescent="0.2">
      <c r="A136" t="s">
        <v>166</v>
      </c>
      <c r="C136" s="4">
        <f>C40/(C50-C32)</f>
        <v>-3.5451585391035474</v>
      </c>
      <c r="D136" s="4">
        <f>D40/(D50-D32)</f>
        <v>-3.2486444155092826</v>
      </c>
      <c r="E136" s="4">
        <f>E40/(E50-E32)</f>
        <v>-2.4771259756029731</v>
      </c>
      <c r="F136" s="4">
        <f>F40/(F50-F32)</f>
        <v>-1.6707764636926501</v>
      </c>
      <c r="G136" s="4">
        <f>G40/(G50-G32)</f>
        <v>-1.2952354382568461</v>
      </c>
    </row>
    <row r="137" spans="1:7" x14ac:dyDescent="0.2">
      <c r="A137" s="30" t="s">
        <v>318</v>
      </c>
      <c r="C137" s="6">
        <f>C58/C59</f>
        <v>-10.589168064986678</v>
      </c>
      <c r="D137" s="6">
        <f>D58/D59</f>
        <v>-7.6832197871309607</v>
      </c>
      <c r="E137" s="6">
        <f>E58/E59</f>
        <v>-2.9411947528410494</v>
      </c>
      <c r="F137" s="6">
        <f>F58/F59</f>
        <v>-1.6263576385425227</v>
      </c>
      <c r="G137" s="6">
        <f>G58/G59</f>
        <v>-1.1877359712166768</v>
      </c>
    </row>
    <row r="138" spans="1:7" x14ac:dyDescent="0.2">
      <c r="A138" s="30" t="s">
        <v>319</v>
      </c>
      <c r="C138" s="6">
        <f>(C58+C70)/C59</f>
        <v>2.0987825770457351</v>
      </c>
      <c r="D138" s="6">
        <f t="shared" ref="D138:G138" si="28">(D58+D70)/D59</f>
        <v>1.5146463455141685</v>
      </c>
      <c r="E138" s="6">
        <f t="shared" si="28"/>
        <v>2.3843964159023159</v>
      </c>
      <c r="F138" s="6">
        <f t="shared" si="28"/>
        <v>2.2324582971720792</v>
      </c>
      <c r="G138" s="6">
        <f t="shared" si="28"/>
        <v>2.3197742605133049</v>
      </c>
    </row>
    <row r="139" spans="1:7" x14ac:dyDescent="0.2">
      <c r="A139" s="30" t="s">
        <v>317</v>
      </c>
      <c r="C139" s="6">
        <f>(C40+C37+C36)/(C58+C70)</f>
        <v>25.039168039223149</v>
      </c>
      <c r="D139" s="6">
        <f t="shared" ref="D139:G139" si="29">(D40+D37+D36)/(D58+D70)</f>
        <v>35.901144309812061</v>
      </c>
      <c r="E139" s="6">
        <f t="shared" si="29"/>
        <v>14.963261722693932</v>
      </c>
      <c r="F139" s="6">
        <f t="shared" si="29"/>
        <v>9.4127843971625751</v>
      </c>
      <c r="G139" s="6">
        <f t="shared" si="29"/>
        <v>7.778495566758667</v>
      </c>
    </row>
    <row r="140" spans="1:7" x14ac:dyDescent="0.2">
      <c r="A140" t="s">
        <v>167</v>
      </c>
      <c r="C140" s="4">
        <f>C48/C33</f>
        <v>-0.26213775868171296</v>
      </c>
      <c r="D140" s="4">
        <f>D48/D33</f>
        <v>-0.27279181030780508</v>
      </c>
      <c r="E140" s="4">
        <f>E48/E33</f>
        <v>-0.25049103573923404</v>
      </c>
      <c r="F140" s="4">
        <f>F48/F33</f>
        <v>-0.26378648072150523</v>
      </c>
      <c r="G140" s="4">
        <f>G48/G33</f>
        <v>-0.28368410875565425</v>
      </c>
    </row>
    <row r="143" spans="1:7" x14ac:dyDescent="0.2">
      <c r="A143" t="s">
        <v>168</v>
      </c>
    </row>
    <row r="144" spans="1:7" x14ac:dyDescent="0.2">
      <c r="A144" t="s">
        <v>169</v>
      </c>
      <c r="C144" s="7">
        <f>C$23</f>
        <v>2016</v>
      </c>
      <c r="D144" s="7">
        <f>D$23</f>
        <v>2017</v>
      </c>
      <c r="E144" s="7">
        <f>E$23</f>
        <v>2018</v>
      </c>
      <c r="F144" s="7">
        <f>F$23</f>
        <v>2019</v>
      </c>
      <c r="G144" s="7">
        <f>G$23</f>
        <v>2020</v>
      </c>
    </row>
    <row r="145" spans="1:7" x14ac:dyDescent="0.2">
      <c r="A145" t="s">
        <v>170</v>
      </c>
      <c r="C145" s="4">
        <f>((C66+C67)+(C59*(1-J41)))/((B33+C33)/2)</f>
        <v>-6.0953303117545939E-2</v>
      </c>
      <c r="D145" s="4">
        <f>((D66+D67)+(D59*(1-K41)))/((C33+D33)/2)</f>
        <v>-6.2898105254967446E-2</v>
      </c>
      <c r="E145" s="4">
        <f>((E66+E67)+(E59*(1-L41)))/((D33+E33)/2)</f>
        <v>-4.3839029072958592E-2</v>
      </c>
      <c r="F145" s="4">
        <f>((F66+F67)+(F59*(1-M41)))/((E33+F33)/2)</f>
        <v>-3.4820371701674256E-2</v>
      </c>
      <c r="G145" s="4">
        <f>((G66+G67)+(G59*(1-N41)))/((F33+G33)/2)</f>
        <v>-2.8160132874168017E-2</v>
      </c>
    </row>
    <row r="146" spans="1:7" x14ac:dyDescent="0.2">
      <c r="A146" t="s">
        <v>171</v>
      </c>
      <c r="C146" s="4">
        <f>C62/(((B50-B45)+(C50-C45))/2)</f>
        <v>-0.45828934075845323</v>
      </c>
      <c r="D146" s="4">
        <f>D62/(((C50-C45)+(D50-D45))/2)</f>
        <v>-0.67554654848782902</v>
      </c>
      <c r="E146" s="4">
        <f>E62/(((D50-D45)+(E50-E45))/2)</f>
        <v>-1.8616345710159568</v>
      </c>
      <c r="F146" s="4">
        <f>F62/(((E50-E45)+(F50-F45))/2)</f>
        <v>3.0216375486805589</v>
      </c>
      <c r="G146" s="4">
        <f>G62/(((F50-F45)+(G50-G45))/2)</f>
        <v>0.8827101539576081</v>
      </c>
    </row>
    <row r="147" spans="1:7" x14ac:dyDescent="0.2">
      <c r="A147" t="s">
        <v>172</v>
      </c>
      <c r="C147" s="8">
        <f>C50/C101</f>
        <v>12.826449414415409</v>
      </c>
      <c r="D147" s="8">
        <f>D50/D101</f>
        <v>6.6432278668661287</v>
      </c>
      <c r="E147" s="8">
        <f>E50/E101</f>
        <v>0.75420025030609228</v>
      </c>
      <c r="F147" s="8">
        <f>F50/F101</f>
        <v>-5.8861908836969299</v>
      </c>
      <c r="G147" s="8">
        <f>G50/G101</f>
        <v>-12.443939297204198</v>
      </c>
    </row>
    <row r="148" spans="1:7" x14ac:dyDescent="0.2">
      <c r="A148" t="s">
        <v>173</v>
      </c>
      <c r="C148" s="8">
        <f>(C50-C32)/C101</f>
        <v>-5.9914970877170353</v>
      </c>
      <c r="D148" s="8">
        <f>(D50-D32)/D101</f>
        <v>-11.999723715267876</v>
      </c>
      <c r="E148" s="8">
        <f>(E50-E32)/E101</f>
        <v>-21.416775368762007</v>
      </c>
      <c r="F148" s="8">
        <f>(F50-F32)/F101</f>
        <v>-36.576768715118895</v>
      </c>
      <c r="G148" s="8">
        <f>(G50-G32)/G101</f>
        <v>-45.300242511840452</v>
      </c>
    </row>
    <row r="149" spans="1:7" x14ac:dyDescent="0.2">
      <c r="A149" t="s">
        <v>174</v>
      </c>
      <c r="C149" s="9">
        <f>C233/C147</f>
        <v>0</v>
      </c>
      <c r="D149" s="9">
        <f>D233/D147</f>
        <v>0</v>
      </c>
      <c r="E149" s="9">
        <f>E233/E147</f>
        <v>0</v>
      </c>
      <c r="F149" s="9">
        <f>F233/F147</f>
        <v>0</v>
      </c>
      <c r="G149" s="9">
        <f>G233/G147</f>
        <v>0</v>
      </c>
    </row>
    <row r="150" spans="1:7" x14ac:dyDescent="0.2">
      <c r="A150" t="s">
        <v>175</v>
      </c>
      <c r="C150" s="9">
        <f>C233/C148</f>
        <v>0</v>
      </c>
      <c r="D150" s="9">
        <f>D233/D148</f>
        <v>0</v>
      </c>
      <c r="E150" s="9">
        <f>E233/E148</f>
        <v>0</v>
      </c>
      <c r="F150" s="9">
        <f>F233/F148</f>
        <v>0</v>
      </c>
      <c r="G150" s="9">
        <f>G233/G148</f>
        <v>0</v>
      </c>
    </row>
    <row r="151" spans="1:7" x14ac:dyDescent="0.2">
      <c r="A151" t="s">
        <v>176</v>
      </c>
      <c r="C151" s="9">
        <f>C233/(C53/C101)</f>
        <v>0</v>
      </c>
      <c r="D151" s="9">
        <f>D233/(D53/D101)</f>
        <v>0</v>
      </c>
      <c r="E151" s="9">
        <f>E233/(E53/E101)</f>
        <v>0</v>
      </c>
      <c r="F151" s="9">
        <f>F233/(F53/F101)</f>
        <v>0</v>
      </c>
      <c r="G151" s="9">
        <f>G233/(G53/G101)</f>
        <v>0</v>
      </c>
    </row>
    <row r="153" spans="1:7" x14ac:dyDescent="0.2">
      <c r="A153" t="s">
        <v>177</v>
      </c>
    </row>
    <row r="154" spans="1:7" x14ac:dyDescent="0.2">
      <c r="A154" t="s">
        <v>154</v>
      </c>
      <c r="C154" s="7">
        <f>C$23</f>
        <v>2016</v>
      </c>
      <c r="D154" s="7">
        <f>D$23</f>
        <v>2017</v>
      </c>
      <c r="E154" s="7">
        <f>E$23</f>
        <v>2018</v>
      </c>
      <c r="F154" s="7">
        <f>F$23</f>
        <v>2019</v>
      </c>
      <c r="G154" s="7">
        <f>G$23</f>
        <v>2020</v>
      </c>
    </row>
    <row r="155" spans="1:7" x14ac:dyDescent="0.2">
      <c r="A155" t="s">
        <v>178</v>
      </c>
      <c r="C155" s="4">
        <f>(C53-C55)/C53</f>
        <v>0.25</v>
      </c>
      <c r="D155" s="4">
        <f>(D53-D55)/D53</f>
        <v>0.255</v>
      </c>
      <c r="E155" s="4">
        <f>(E53-E55)/E53</f>
        <v>0.23499999999999993</v>
      </c>
      <c r="F155" s="4">
        <f>(F53-F55)/F53</f>
        <v>0.23</v>
      </c>
      <c r="G155" s="4">
        <f>(G53-G55)/G53</f>
        <v>0.22999999999999995</v>
      </c>
    </row>
    <row r="156" spans="1:7" x14ac:dyDescent="0.2">
      <c r="A156" t="s">
        <v>179</v>
      </c>
      <c r="C156" s="4">
        <f>C58/C53</f>
        <v>-8.7000000000000022E-2</v>
      </c>
      <c r="D156" s="4">
        <f>D58/D53</f>
        <v>-8.4999999999999978E-2</v>
      </c>
      <c r="E156" s="4">
        <f>E58/E53</f>
        <v>-4.7000000000000069E-2</v>
      </c>
      <c r="F156" s="4">
        <f>F58/F53</f>
        <v>-4.1999999999999989E-2</v>
      </c>
      <c r="G156" s="4">
        <f>G58/G53</f>
        <v>-3.600000000000006E-2</v>
      </c>
    </row>
    <row r="157" spans="1:7" x14ac:dyDescent="0.2">
      <c r="A157" t="s">
        <v>180</v>
      </c>
      <c r="C157" s="4">
        <f>(C58*(1-J41))/C53</f>
        <v>-8.8740000000000027E-2</v>
      </c>
      <c r="D157" s="4">
        <f>(D58*(1-K41))/D53</f>
        <v>-8.6699999999999985E-2</v>
      </c>
      <c r="E157" s="4">
        <f>(E58*(1-L41))/E53</f>
        <v>-4.7940000000000073E-2</v>
      </c>
      <c r="F157" s="4">
        <f>(F58*(1-M41))/F53</f>
        <v>-4.2839999999999989E-2</v>
      </c>
      <c r="G157" s="4">
        <f>(G58*(1-N41))/G53</f>
        <v>-3.5280000000000054E-2</v>
      </c>
    </row>
    <row r="158" spans="1:7" x14ac:dyDescent="0.2">
      <c r="A158" t="s">
        <v>181</v>
      </c>
      <c r="C158" s="4">
        <f>C69/C53</f>
        <v>-9.7120261740619745E-2</v>
      </c>
      <c r="D158" s="4">
        <f>D69/D53</f>
        <v>-9.7984331621648824E-2</v>
      </c>
      <c r="E158" s="4">
        <f>E69/E53</f>
        <v>-6.4239498682871168E-2</v>
      </c>
      <c r="F158" s="4">
        <f>F69/F53</f>
        <v>-6.9181069752893648E-2</v>
      </c>
      <c r="G158" s="4">
        <f>G69/G53</f>
        <v>-6.4983571210241689E-2</v>
      </c>
    </row>
    <row r="163" spans="1:7" x14ac:dyDescent="0.2">
      <c r="A163" t="s">
        <v>182</v>
      </c>
    </row>
    <row r="164" spans="1:7" x14ac:dyDescent="0.2">
      <c r="A164" t="s">
        <v>154</v>
      </c>
      <c r="B164" s="7">
        <f t="shared" ref="B164:G164" si="30">B$23</f>
        <v>2015</v>
      </c>
      <c r="C164" s="7">
        <f t="shared" si="30"/>
        <v>2016</v>
      </c>
      <c r="D164" s="7">
        <f t="shared" si="30"/>
        <v>2017</v>
      </c>
      <c r="E164" s="7">
        <f t="shared" si="30"/>
        <v>2018</v>
      </c>
      <c r="F164" s="7">
        <f t="shared" si="30"/>
        <v>2019</v>
      </c>
      <c r="G164" s="7">
        <f t="shared" si="30"/>
        <v>2020</v>
      </c>
    </row>
    <row r="165" spans="1:7" x14ac:dyDescent="0.2">
      <c r="A165" t="s">
        <v>183</v>
      </c>
      <c r="C165" s="9">
        <f>C53/((B25+C25)/2)</f>
        <v>30.623397587147693</v>
      </c>
      <c r="D165" s="9">
        <f>D53/((C25+D25)/2)</f>
        <v>29.079497907949786</v>
      </c>
      <c r="E165" s="9">
        <f>E53/((D25+E25)/2)</f>
        <v>31.203007518796994</v>
      </c>
      <c r="F165" s="9">
        <f>F53/((E25+F25)/2)</f>
        <v>26.415094339622648</v>
      </c>
      <c r="G165" s="9">
        <f>G53/((F25+G25)/2)</f>
        <v>26.525821596244132</v>
      </c>
    </row>
    <row r="166" spans="1:7" x14ac:dyDescent="0.2">
      <c r="A166" t="s">
        <v>36</v>
      </c>
      <c r="B166" s="9">
        <f t="shared" ref="B166:G166" si="31">B53/B25</f>
        <v>23.945935548782291</v>
      </c>
      <c r="C166" s="9">
        <f t="shared" si="31"/>
        <v>24.999999999999996</v>
      </c>
      <c r="D166" s="9">
        <f t="shared" si="31"/>
        <v>25</v>
      </c>
      <c r="E166" s="9">
        <f t="shared" si="31"/>
        <v>25</v>
      </c>
      <c r="F166" s="9">
        <f t="shared" si="31"/>
        <v>25</v>
      </c>
      <c r="G166" s="9">
        <f t="shared" si="31"/>
        <v>25</v>
      </c>
    </row>
    <row r="167" spans="1:7" x14ac:dyDescent="0.2">
      <c r="A167" t="s">
        <v>184</v>
      </c>
      <c r="C167" s="9">
        <f>C55/((B26+C26)/2)</f>
        <v>2.9767254976147126</v>
      </c>
      <c r="D167" s="9">
        <f>D55/((C26+D26)/2)</f>
        <v>2.7838145109350059</v>
      </c>
      <c r="E167" s="9">
        <f>E55/((D26+E26)/2)</f>
        <v>3.0252220953893496</v>
      </c>
      <c r="F167" s="9">
        <f>F55/((E26+F26)/2)</f>
        <v>2.5436401622219491</v>
      </c>
      <c r="G167" s="9">
        <f>G55/((F26+G26)/2)</f>
        <v>2.5464788732394368</v>
      </c>
    </row>
    <row r="168" spans="1:7" x14ac:dyDescent="0.2">
      <c r="A168" t="s">
        <v>185</v>
      </c>
      <c r="B168" s="9">
        <f t="shared" ref="B168:G168" si="32">B55/B26</f>
        <v>2.4435977017431005</v>
      </c>
      <c r="C168" s="9">
        <f t="shared" si="32"/>
        <v>2.4</v>
      </c>
      <c r="D168" s="9">
        <f t="shared" si="32"/>
        <v>2.4</v>
      </c>
      <c r="E168" s="9">
        <f t="shared" si="32"/>
        <v>2.4</v>
      </c>
      <c r="F168" s="9">
        <f t="shared" si="32"/>
        <v>2.4</v>
      </c>
      <c r="G168" s="9">
        <f t="shared" si="32"/>
        <v>2.4</v>
      </c>
    </row>
    <row r="169" spans="1:7" x14ac:dyDescent="0.2">
      <c r="A169" t="s">
        <v>186</v>
      </c>
      <c r="C169" s="9">
        <f>C53/(((B28-B39)+(C28-C39))/2)</f>
        <v>67.385364664373142</v>
      </c>
      <c r="D169" s="9">
        <f>D53/(((C28-C39)+(D28-D39))/2)</f>
        <v>26.486473449010564</v>
      </c>
      <c r="E169" s="9">
        <f>E53/(((D28-D39)+(E28-E39))/2)</f>
        <v>43.570879197658975</v>
      </c>
      <c r="F169" s="9">
        <f>F53/(((E28-E39)+(F28-F39))/2)</f>
        <v>61.161802071598579</v>
      </c>
      <c r="G169" s="9">
        <f>G53/(((F28-F39)+(G28-G39))/2)</f>
        <v>-43.111247882975576</v>
      </c>
    </row>
    <row r="170" spans="1:7" x14ac:dyDescent="0.2">
      <c r="A170" t="s">
        <v>187</v>
      </c>
      <c r="C170" s="9">
        <f>C53/(((B30-B31)+(C30-C31))/2)</f>
        <v>1.5607712492897166</v>
      </c>
      <c r="D170" s="9">
        <f>D53/(((C30-C31)+(D30-D31))/2)</f>
        <v>1.5284629713468625</v>
      </c>
      <c r="E170" s="9">
        <f>E53/(((D30-D31)+(E30-E31))/2)</f>
        <v>1.8953008387588177</v>
      </c>
      <c r="F170" s="9">
        <f>F53/(((E30-E31)+(F30-F31))/2)</f>
        <v>1.7345631665397838</v>
      </c>
      <c r="G170" s="9">
        <f>G53/(((F30-F31)+(G30-G31))/2)</f>
        <v>1.7185119831960409</v>
      </c>
    </row>
    <row r="171" spans="1:7" x14ac:dyDescent="0.2">
      <c r="A171" t="s">
        <v>188</v>
      </c>
      <c r="C171" s="9">
        <f>C53/((B33+C33)/2)</f>
        <v>0.6868751759921784</v>
      </c>
      <c r="D171" s="9">
        <f>D53/((C33+D33)/2)</f>
        <v>0.72546834204114719</v>
      </c>
      <c r="E171" s="9">
        <f>E53/((D33+E33)/2)</f>
        <v>0.9144561759065194</v>
      </c>
      <c r="F171" s="9">
        <f>F53/((E33+F33)/2)</f>
        <v>0.81280045988968874</v>
      </c>
      <c r="G171" s="9">
        <f>G53/((F33+G33)/2)</f>
        <v>0.79818970731768613</v>
      </c>
    </row>
    <row r="173" spans="1:7" x14ac:dyDescent="0.2">
      <c r="A173" t="s">
        <v>189</v>
      </c>
    </row>
    <row r="174" spans="1:7" x14ac:dyDescent="0.2">
      <c r="A174" t="s">
        <v>154</v>
      </c>
      <c r="C174" s="7">
        <f>C$23</f>
        <v>2016</v>
      </c>
      <c r="D174" s="7">
        <f>D$23</f>
        <v>2017</v>
      </c>
      <c r="E174" s="7">
        <f>E$23</f>
        <v>2018</v>
      </c>
      <c r="F174" s="7">
        <f>F$23</f>
        <v>2019</v>
      </c>
      <c r="G174" s="7">
        <f>G$23</f>
        <v>2020</v>
      </c>
    </row>
    <row r="175" spans="1:7" x14ac:dyDescent="0.2">
      <c r="A175" t="s">
        <v>190</v>
      </c>
      <c r="C175" s="4">
        <f>C73/((B39+C39)/2)</f>
        <v>1.5254963156375213E-2</v>
      </c>
      <c r="D175" s="4">
        <f>D73/((C39+D39)/2)</f>
        <v>9.3150438593856341E-3</v>
      </c>
      <c r="E175" s="4">
        <f>E73/((D39+E39)/2)</f>
        <v>5.9665408046590339E-2</v>
      </c>
      <c r="F175" s="4">
        <f>F73/((E39+F39)/2)</f>
        <v>7.5059925255968843E-2</v>
      </c>
      <c r="G175" s="4">
        <f>G73/((F39+G39)/2)</f>
        <v>9.3878504554763237E-2</v>
      </c>
    </row>
    <row r="176" spans="1:7" x14ac:dyDescent="0.2">
      <c r="A176" t="s">
        <v>191</v>
      </c>
      <c r="C176" s="4">
        <f>C73/((B44+C44)/2)</f>
        <v>5.7262903414133735E-3</v>
      </c>
      <c r="D176" s="4">
        <f>D73/((C44+D44)/2)</f>
        <v>3.0585232547796063E-3</v>
      </c>
      <c r="E176" s="4">
        <f>E73/((D44+E44)/2)</f>
        <v>1.9699857787029183E-2</v>
      </c>
      <c r="F176" s="4">
        <f>F73/((E44+F44)/2)</f>
        <v>2.4314549455552718E-2</v>
      </c>
      <c r="G176" s="4">
        <f>G73/((F44+G44)/2)</f>
        <v>3.1156955835181202E-2</v>
      </c>
    </row>
    <row r="177" spans="1:7" x14ac:dyDescent="0.2">
      <c r="A177" t="s">
        <v>192</v>
      </c>
      <c r="C177" s="8">
        <f>C73/C101</f>
        <v>0.35043088361507702</v>
      </c>
      <c r="D177" s="8">
        <f>D73/D101</f>
        <v>0.24444732072617995</v>
      </c>
      <c r="E177" s="8">
        <f>E73/E101</f>
        <v>2.1684849181403361</v>
      </c>
      <c r="F177" s="8">
        <f>F73/F101</f>
        <v>3.4314595462635364</v>
      </c>
      <c r="G177" s="8">
        <f>G73/G101</f>
        <v>5.0929200077612107</v>
      </c>
    </row>
    <row r="178" spans="1:7" x14ac:dyDescent="0.2">
      <c r="A178" t="s">
        <v>193</v>
      </c>
      <c r="C178" s="9">
        <f>C233/(C73/C101)</f>
        <v>0</v>
      </c>
      <c r="D178" s="9">
        <f>D233/(D73/D101)</f>
        <v>0</v>
      </c>
      <c r="E178" s="9">
        <f>E233/(E73/E101)</f>
        <v>0</v>
      </c>
      <c r="F178" s="9">
        <f>F233/(F73/F101)</f>
        <v>0</v>
      </c>
      <c r="G178" s="9">
        <f>G233/(G73/G101)</f>
        <v>0</v>
      </c>
    </row>
    <row r="179" spans="1:7" x14ac:dyDescent="0.2">
      <c r="A179" t="s">
        <v>194</v>
      </c>
      <c r="C179" s="8">
        <f>C24/C101</f>
        <v>7.7377747482965127</v>
      </c>
      <c r="D179" s="8">
        <f>D24/D101</f>
        <v>7.3033085945052356</v>
      </c>
      <c r="E179" s="8">
        <f>E24/E101</f>
        <v>6.8159066916312501</v>
      </c>
      <c r="F179" s="8">
        <f>F24/F101</f>
        <v>6.4258766947412962</v>
      </c>
      <c r="G179" s="8">
        <f>G24/G101</f>
        <v>6.3872689154110551</v>
      </c>
    </row>
    <row r="180" spans="1:7" x14ac:dyDescent="0.2">
      <c r="A180" t="s">
        <v>195</v>
      </c>
      <c r="C180" s="8">
        <f>(C28-C39)/C101</f>
        <v>1.6421878216115702</v>
      </c>
      <c r="D180" s="8">
        <f>(D28-D39)/D101</f>
        <v>3.3369192957567932</v>
      </c>
      <c r="E180" s="8">
        <f>(E28-E39)/E101</f>
        <v>1.5467221685888006</v>
      </c>
      <c r="F180" s="8">
        <f>(F28-F39)/F101</f>
        <v>2.1862233145511412</v>
      </c>
      <c r="G180" s="8">
        <f>(G28-G39)/G101</f>
        <v>-7.8340102191900129</v>
      </c>
    </row>
    <row r="183" spans="1:7" x14ac:dyDescent="0.2">
      <c r="A183" t="s">
        <v>196</v>
      </c>
    </row>
    <row r="184" spans="1:7" x14ac:dyDescent="0.2">
      <c r="B184" s="1">
        <f t="shared" ref="B184:G184" si="33">B$23</f>
        <v>2015</v>
      </c>
      <c r="C184" s="1">
        <f t="shared" si="33"/>
        <v>2016</v>
      </c>
      <c r="D184" s="1">
        <f t="shared" si="33"/>
        <v>2017</v>
      </c>
      <c r="E184" s="1">
        <f t="shared" si="33"/>
        <v>2018</v>
      </c>
      <c r="F184" s="1">
        <f t="shared" si="33"/>
        <v>2019</v>
      </c>
      <c r="G184" s="1">
        <f t="shared" si="33"/>
        <v>2020</v>
      </c>
    </row>
    <row r="185" spans="1:7" x14ac:dyDescent="0.2">
      <c r="A185" t="s">
        <v>80</v>
      </c>
      <c r="B185" s="4">
        <f t="shared" ref="B185:G185" si="34">B53/B$53</f>
        <v>1</v>
      </c>
      <c r="C185" s="4">
        <f t="shared" si="34"/>
        <v>1</v>
      </c>
      <c r="D185" s="4">
        <f t="shared" si="34"/>
        <v>1</v>
      </c>
      <c r="E185" s="4">
        <f t="shared" si="34"/>
        <v>1</v>
      </c>
      <c r="F185" s="4">
        <f t="shared" si="34"/>
        <v>1</v>
      </c>
      <c r="G185" s="4">
        <f t="shared" si="34"/>
        <v>1</v>
      </c>
    </row>
    <row r="186" spans="1:7" x14ac:dyDescent="0.2">
      <c r="A186" t="s">
        <v>84</v>
      </c>
      <c r="B186" s="4">
        <f t="shared" ref="B186:G186" si="35">B55/B$53</f>
        <v>0.7717505452882768</v>
      </c>
      <c r="C186" s="4">
        <f t="shared" si="35"/>
        <v>0.75</v>
      </c>
      <c r="D186" s="4">
        <f t="shared" si="35"/>
        <v>0.745</v>
      </c>
      <c r="E186" s="4">
        <f t="shared" si="35"/>
        <v>0.76500000000000012</v>
      </c>
      <c r="F186" s="4">
        <f t="shared" si="35"/>
        <v>0.77</v>
      </c>
      <c r="G186" s="4">
        <f t="shared" si="35"/>
        <v>0.77</v>
      </c>
    </row>
    <row r="187" spans="1:7" x14ac:dyDescent="0.2">
      <c r="A187" t="s">
        <v>197</v>
      </c>
      <c r="B187" s="4">
        <f t="shared" ref="B187:G187" si="36">B185-B186</f>
        <v>0.2282494547117232</v>
      </c>
      <c r="C187" s="4">
        <f t="shared" si="36"/>
        <v>0.25</v>
      </c>
      <c r="D187" s="4">
        <f t="shared" si="36"/>
        <v>0.255</v>
      </c>
      <c r="E187" s="4">
        <f t="shared" si="36"/>
        <v>0.23499999999999988</v>
      </c>
      <c r="F187" s="4">
        <f t="shared" si="36"/>
        <v>0.22999999999999998</v>
      </c>
      <c r="G187" s="4">
        <f t="shared" si="36"/>
        <v>0.22999999999999998</v>
      </c>
    </row>
    <row r="189" spans="1:7" x14ac:dyDescent="0.2">
      <c r="A189" t="s">
        <v>82</v>
      </c>
      <c r="B189" s="4">
        <f t="shared" ref="B189:G189" si="37">B54/B$53</f>
        <v>-1.0294548353013142E-2</v>
      </c>
      <c r="C189" s="4">
        <f t="shared" si="37"/>
        <v>0</v>
      </c>
      <c r="D189" s="4">
        <f t="shared" si="37"/>
        <v>0</v>
      </c>
      <c r="E189" s="4">
        <f t="shared" si="37"/>
        <v>0</v>
      </c>
      <c r="F189" s="4">
        <f t="shared" si="37"/>
        <v>0</v>
      </c>
      <c r="G189" s="4">
        <f t="shared" si="37"/>
        <v>0</v>
      </c>
    </row>
    <row r="190" spans="1:7" x14ac:dyDescent="0.2">
      <c r="A190" t="s">
        <v>86</v>
      </c>
      <c r="B190" s="4">
        <f t="shared" ref="B190:G192" si="38">B56/B$53</f>
        <v>0.17743340686229075</v>
      </c>
      <c r="C190" s="4">
        <f t="shared" si="38"/>
        <v>0.13500000000000001</v>
      </c>
      <c r="D190" s="4">
        <f t="shared" si="38"/>
        <v>0.14499999999999999</v>
      </c>
      <c r="E190" s="4">
        <f t="shared" si="38"/>
        <v>0.11</v>
      </c>
      <c r="F190" s="4">
        <f t="shared" si="38"/>
        <v>0.107</v>
      </c>
      <c r="G190" s="4">
        <f t="shared" si="38"/>
        <v>0.104</v>
      </c>
    </row>
    <row r="191" spans="1:7" x14ac:dyDescent="0.2">
      <c r="A191" t="s">
        <v>88</v>
      </c>
      <c r="B191" s="4">
        <f t="shared" si="38"/>
        <v>0.22793531923307445</v>
      </c>
      <c r="C191" s="4">
        <f t="shared" si="38"/>
        <v>0.20200000000000001</v>
      </c>
      <c r="D191" s="4">
        <f t="shared" si="38"/>
        <v>0.19500000000000001</v>
      </c>
      <c r="E191" s="4">
        <f t="shared" si="38"/>
        <v>0.17199999999999999</v>
      </c>
      <c r="F191" s="4">
        <f t="shared" si="38"/>
        <v>0.16500000000000001</v>
      </c>
      <c r="G191" s="4">
        <f t="shared" si="38"/>
        <v>0.16200000000000001</v>
      </c>
    </row>
    <row r="192" spans="1:7" x14ac:dyDescent="0.2">
      <c r="A192" t="s">
        <v>198</v>
      </c>
      <c r="B192" s="4">
        <f t="shared" si="38"/>
        <v>-0.18741381973665511</v>
      </c>
      <c r="C192" s="4">
        <f t="shared" si="38"/>
        <v>-8.7000000000000022E-2</v>
      </c>
      <c r="D192" s="4">
        <f t="shared" si="38"/>
        <v>-8.4999999999999978E-2</v>
      </c>
      <c r="E192" s="4">
        <f t="shared" si="38"/>
        <v>-4.7000000000000069E-2</v>
      </c>
      <c r="F192" s="4">
        <f t="shared" si="38"/>
        <v>-4.1999999999999989E-2</v>
      </c>
      <c r="G192" s="4">
        <f t="shared" si="38"/>
        <v>-3.600000000000006E-2</v>
      </c>
    </row>
    <row r="194" spans="1:7" x14ac:dyDescent="0.2">
      <c r="A194" t="s">
        <v>90</v>
      </c>
      <c r="B194" s="4">
        <f t="shared" ref="B194:G194" si="39">B58/B$53</f>
        <v>-0.18741381973665511</v>
      </c>
      <c r="C194" s="4">
        <f t="shared" si="39"/>
        <v>-8.7000000000000022E-2</v>
      </c>
      <c r="D194" s="4">
        <f t="shared" si="39"/>
        <v>-8.4999999999999978E-2</v>
      </c>
      <c r="E194" s="4">
        <f t="shared" si="39"/>
        <v>-4.7000000000000069E-2</v>
      </c>
      <c r="F194" s="4">
        <f t="shared" si="39"/>
        <v>-4.1999999999999989E-2</v>
      </c>
      <c r="G194" s="4">
        <f t="shared" si="39"/>
        <v>-3.600000000000006E-2</v>
      </c>
    </row>
    <row r="196" spans="1:7" x14ac:dyDescent="0.2">
      <c r="A196" t="s">
        <v>92</v>
      </c>
      <c r="B196" s="4">
        <f t="shared" ref="B196:G196" si="40">B59/B$53</f>
        <v>2.9002045217219368E-2</v>
      </c>
      <c r="C196" s="4">
        <f t="shared" si="40"/>
        <v>8.2159428829605106E-3</v>
      </c>
      <c r="D196" s="4">
        <f t="shared" si="40"/>
        <v>1.1063070217302785E-2</v>
      </c>
      <c r="E196" s="4">
        <f t="shared" si="40"/>
        <v>1.5979900669481469E-2</v>
      </c>
      <c r="F196" s="4">
        <f t="shared" si="40"/>
        <v>2.5824578189111422E-2</v>
      </c>
      <c r="G196" s="4">
        <f t="shared" si="40"/>
        <v>3.0309766541062884E-2</v>
      </c>
    </row>
    <row r="197" spans="1:7" x14ac:dyDescent="0.2">
      <c r="A197" t="s">
        <v>95</v>
      </c>
      <c r="B197" s="4">
        <f>B60/(B58-B59)</f>
        <v>-1.4891094807817053E-2</v>
      </c>
      <c r="C197" s="4">
        <f>J60</f>
        <v>-0.02</v>
      </c>
      <c r="D197" s="4">
        <f>K60</f>
        <v>-0.02</v>
      </c>
      <c r="E197" s="4">
        <f>L60</f>
        <v>-0.02</v>
      </c>
      <c r="F197" s="4">
        <f>M60</f>
        <v>-0.02</v>
      </c>
      <c r="G197" s="4">
        <f>N60</f>
        <v>0.02</v>
      </c>
    </row>
    <row r="198" spans="1:7" x14ac:dyDescent="0.2">
      <c r="A198" t="s">
        <v>96</v>
      </c>
      <c r="B198" s="4">
        <f t="shared" ref="B198:G198" si="41">B61/B$53</f>
        <v>0</v>
      </c>
      <c r="C198" s="4">
        <f t="shared" si="41"/>
        <v>0</v>
      </c>
      <c r="D198" s="4">
        <f t="shared" si="41"/>
        <v>0</v>
      </c>
      <c r="E198" s="4">
        <f t="shared" si="41"/>
        <v>0</v>
      </c>
      <c r="F198" s="4">
        <f t="shared" si="41"/>
        <v>0</v>
      </c>
      <c r="G198" s="4">
        <f t="shared" si="41"/>
        <v>0</v>
      </c>
    </row>
    <row r="200" spans="1:7" x14ac:dyDescent="0.2">
      <c r="A200" t="s">
        <v>199</v>
      </c>
      <c r="B200" s="4">
        <f t="shared" ref="B200:G200" si="42">B62/B$53</f>
        <v>0</v>
      </c>
      <c r="C200" s="4">
        <f t="shared" si="42"/>
        <v>-9.7120261740619745E-2</v>
      </c>
      <c r="D200" s="4">
        <f t="shared" si="42"/>
        <v>-9.7984331621648824E-2</v>
      </c>
      <c r="E200" s="4">
        <f t="shared" si="42"/>
        <v>-6.4239498682871168E-2</v>
      </c>
      <c r="F200" s="4">
        <f t="shared" si="42"/>
        <v>-6.9181069752893648E-2</v>
      </c>
      <c r="G200" s="4">
        <f t="shared" si="42"/>
        <v>-6.4983571210241689E-2</v>
      </c>
    </row>
    <row r="202" spans="1:7" x14ac:dyDescent="0.2">
      <c r="A202" t="s">
        <v>200</v>
      </c>
    </row>
    <row r="203" spans="1:7" x14ac:dyDescent="0.2">
      <c r="A203" t="s">
        <v>201</v>
      </c>
    </row>
    <row r="204" spans="1:7" x14ac:dyDescent="0.2">
      <c r="B204" s="1">
        <f t="shared" ref="B204:G204" si="43">B$23</f>
        <v>2015</v>
      </c>
      <c r="C204" s="1">
        <f t="shared" si="43"/>
        <v>2016</v>
      </c>
      <c r="D204" s="1">
        <f t="shared" si="43"/>
        <v>2017</v>
      </c>
      <c r="E204" s="1">
        <f t="shared" si="43"/>
        <v>2018</v>
      </c>
      <c r="F204" s="1">
        <f t="shared" si="43"/>
        <v>2019</v>
      </c>
      <c r="G204" s="1">
        <f t="shared" si="43"/>
        <v>2020</v>
      </c>
    </row>
    <row r="205" spans="1:7" x14ac:dyDescent="0.2">
      <c r="A205" t="s">
        <v>202</v>
      </c>
      <c r="B205" s="4">
        <f t="shared" ref="B205:G206" si="44">B63/B$53</f>
        <v>0</v>
      </c>
      <c r="C205" s="4">
        <f t="shared" si="44"/>
        <v>0</v>
      </c>
      <c r="D205" s="4">
        <f t="shared" si="44"/>
        <v>0</v>
      </c>
      <c r="E205" s="4">
        <f t="shared" si="44"/>
        <v>0</v>
      </c>
      <c r="F205" s="4">
        <f t="shared" si="44"/>
        <v>0</v>
      </c>
      <c r="G205" s="4">
        <f t="shared" si="44"/>
        <v>0</v>
      </c>
    </row>
    <row r="206" spans="1:7" x14ac:dyDescent="0.2">
      <c r="A206" t="s">
        <v>203</v>
      </c>
      <c r="B206" s="4">
        <f t="shared" si="44"/>
        <v>0</v>
      </c>
      <c r="C206" s="4">
        <f t="shared" si="44"/>
        <v>0</v>
      </c>
      <c r="D206" s="4">
        <f t="shared" si="44"/>
        <v>0</v>
      </c>
      <c r="E206" s="4">
        <f t="shared" si="44"/>
        <v>0</v>
      </c>
      <c r="F206" s="4">
        <f t="shared" si="44"/>
        <v>0</v>
      </c>
      <c r="G206" s="4">
        <f t="shared" si="44"/>
        <v>0</v>
      </c>
    </row>
    <row r="207" spans="1:7" x14ac:dyDescent="0.2">
      <c r="A207" t="s">
        <v>100</v>
      </c>
      <c r="B207" s="4">
        <f t="shared" ref="B207:G207" si="45">B64/B$53</f>
        <v>0</v>
      </c>
      <c r="C207" s="4">
        <f t="shared" si="45"/>
        <v>0</v>
      </c>
      <c r="D207" s="4">
        <f t="shared" si="45"/>
        <v>0</v>
      </c>
      <c r="E207" s="4">
        <f t="shared" si="45"/>
        <v>0</v>
      </c>
      <c r="F207" s="4">
        <f t="shared" si="45"/>
        <v>0</v>
      </c>
      <c r="G207" s="4">
        <f t="shared" si="45"/>
        <v>0</v>
      </c>
    </row>
    <row r="209" spans="1:7" x14ac:dyDescent="0.2">
      <c r="A209" t="s">
        <v>204</v>
      </c>
      <c r="B209" s="4">
        <f t="shared" ref="B209:G209" si="46">(B66+B67)/B$53</f>
        <v>-0.21963853411681836</v>
      </c>
      <c r="C209" s="4">
        <f t="shared" si="46"/>
        <v>-9.7120261740619745E-2</v>
      </c>
      <c r="D209" s="4">
        <f t="shared" si="46"/>
        <v>-9.798433162164881E-2</v>
      </c>
      <c r="E209" s="4">
        <f t="shared" si="46"/>
        <v>-6.4239498682871168E-2</v>
      </c>
      <c r="F209" s="4">
        <f t="shared" si="46"/>
        <v>-6.9181069752893634E-2</v>
      </c>
      <c r="G209" s="4">
        <f t="shared" si="46"/>
        <v>-6.4983571210241689E-2</v>
      </c>
    </row>
    <row r="211" spans="1:7" x14ac:dyDescent="0.2">
      <c r="A211" t="s">
        <v>101</v>
      </c>
      <c r="B211" s="4">
        <f t="shared" ref="B211:G211" si="47">B66/B$53</f>
        <v>0</v>
      </c>
      <c r="C211" s="4">
        <f t="shared" si="47"/>
        <v>0</v>
      </c>
      <c r="D211" s="4">
        <f t="shared" si="47"/>
        <v>0</v>
      </c>
      <c r="E211" s="4">
        <f t="shared" si="47"/>
        <v>0</v>
      </c>
      <c r="F211" s="4">
        <f t="shared" si="47"/>
        <v>0</v>
      </c>
      <c r="G211" s="4">
        <f t="shared" si="47"/>
        <v>0</v>
      </c>
    </row>
    <row r="212" spans="1:7" x14ac:dyDescent="0.2">
      <c r="A212" t="s">
        <v>154</v>
      </c>
    </row>
    <row r="213" spans="1:7" x14ac:dyDescent="0.2">
      <c r="A213" t="s">
        <v>205</v>
      </c>
    </row>
    <row r="214" spans="1:7" x14ac:dyDescent="0.2">
      <c r="A214" t="s">
        <v>206</v>
      </c>
      <c r="B214" s="4">
        <f t="shared" ref="B214:G214" si="48">B67/B$53</f>
        <v>-0.21963853411681836</v>
      </c>
      <c r="C214" s="4">
        <f t="shared" si="48"/>
        <v>-9.7120261740619745E-2</v>
      </c>
      <c r="D214" s="4">
        <f t="shared" si="48"/>
        <v>-9.798433162164881E-2</v>
      </c>
      <c r="E214" s="4">
        <f t="shared" si="48"/>
        <v>-6.4239498682871168E-2</v>
      </c>
      <c r="F214" s="4">
        <f t="shared" si="48"/>
        <v>-6.9181069752893634E-2</v>
      </c>
      <c r="G214" s="4">
        <f t="shared" si="48"/>
        <v>-6.4983571210241689E-2</v>
      </c>
    </row>
    <row r="216" spans="1:7" x14ac:dyDescent="0.2">
      <c r="A216" t="s">
        <v>207</v>
      </c>
      <c r="B216" s="6">
        <f t="shared" ref="B216:G216" si="49">(B62-B66)/B101</f>
        <v>0</v>
      </c>
      <c r="C216" s="6">
        <f t="shared" si="49"/>
        <v>-4.7778895046867413</v>
      </c>
      <c r="D216" s="6">
        <f t="shared" si="49"/>
        <v>-6.349431721931512</v>
      </c>
      <c r="E216" s="6">
        <f t="shared" si="49"/>
        <v>-6.6770322363739991</v>
      </c>
      <c r="F216" s="6">
        <f t="shared" si="49"/>
        <v>-7.7906959521416184</v>
      </c>
      <c r="G216" s="6">
        <f t="shared" si="49"/>
        <v>-8.0079889567272282</v>
      </c>
    </row>
    <row r="217" spans="1:7" x14ac:dyDescent="0.2">
      <c r="A217" t="s">
        <v>208</v>
      </c>
      <c r="B217" s="6">
        <f t="shared" ref="B217:G217" si="50">B67/B101</f>
        <v>-6.931740534469041</v>
      </c>
      <c r="C217" s="6">
        <f t="shared" si="50"/>
        <v>-4.7778895046867413</v>
      </c>
      <c r="D217" s="6">
        <f t="shared" si="50"/>
        <v>-6.3494317219315111</v>
      </c>
      <c r="E217" s="6">
        <f t="shared" si="50"/>
        <v>-6.6770322363739991</v>
      </c>
      <c r="F217" s="6">
        <f t="shared" si="50"/>
        <v>-7.7906959521416166</v>
      </c>
      <c r="G217" s="6">
        <f t="shared" si="50"/>
        <v>-8.0079889567272282</v>
      </c>
    </row>
    <row r="218" spans="1:7" x14ac:dyDescent="0.2">
      <c r="A218" t="s">
        <v>209</v>
      </c>
      <c r="B218" s="6">
        <f t="shared" ref="B218:G218" si="51">(B91-B66)/B101</f>
        <v>0</v>
      </c>
      <c r="C218" s="6">
        <f t="shared" si="51"/>
        <v>0</v>
      </c>
      <c r="D218" s="6">
        <f t="shared" si="51"/>
        <v>0</v>
      </c>
      <c r="E218" s="6">
        <f t="shared" si="51"/>
        <v>0</v>
      </c>
      <c r="F218" s="6">
        <f t="shared" si="51"/>
        <v>0</v>
      </c>
      <c r="G218" s="6">
        <f t="shared" si="51"/>
        <v>0</v>
      </c>
    </row>
    <row r="223" spans="1:7" x14ac:dyDescent="0.2">
      <c r="C223">
        <v>0</v>
      </c>
      <c r="D223">
        <v>1</v>
      </c>
      <c r="E223">
        <v>2</v>
      </c>
      <c r="F223">
        <v>3</v>
      </c>
      <c r="G223">
        <v>4</v>
      </c>
    </row>
    <row r="225" spans="1:7" x14ac:dyDescent="0.2">
      <c r="B225" s="1"/>
      <c r="C225" s="1"/>
      <c r="D225" s="1"/>
      <c r="E225" s="1"/>
      <c r="F225" s="1"/>
      <c r="G225" s="1"/>
    </row>
    <row r="226" spans="1:7" x14ac:dyDescent="0.2">
      <c r="C226" s="10"/>
      <c r="D226" s="10"/>
      <c r="E226" s="10"/>
      <c r="F226" s="10"/>
      <c r="G226" s="10"/>
    </row>
    <row r="228" spans="1:7" x14ac:dyDescent="0.2">
      <c r="A228" t="s">
        <v>210</v>
      </c>
    </row>
    <row r="229" spans="1:7" x14ac:dyDescent="0.2">
      <c r="A229" t="s">
        <v>211</v>
      </c>
    </row>
    <row r="230" spans="1:7" x14ac:dyDescent="0.2">
      <c r="A230" t="s">
        <v>212</v>
      </c>
      <c r="C230" s="11"/>
      <c r="D230" s="12"/>
      <c r="E230" s="12"/>
      <c r="F230" s="12"/>
      <c r="G230" s="13"/>
    </row>
    <row r="231" spans="1:7" x14ac:dyDescent="0.2">
      <c r="A231" t="s">
        <v>213</v>
      </c>
      <c r="C231" s="9">
        <f>C230*$B239</f>
        <v>0</v>
      </c>
      <c r="D231" s="9">
        <f>D230*$B239</f>
        <v>0</v>
      </c>
      <c r="E231" s="9">
        <f>E230*$B239</f>
        <v>0</v>
      </c>
      <c r="F231" s="9">
        <f>F230*$B239</f>
        <v>0</v>
      </c>
      <c r="G231" s="9">
        <f>G230*$B239</f>
        <v>0</v>
      </c>
    </row>
    <row r="233" spans="1:7" x14ac:dyDescent="0.2">
      <c r="A233" t="s">
        <v>214</v>
      </c>
      <c r="C233" s="6">
        <f>C250*C231</f>
        <v>0</v>
      </c>
      <c r="D233" s="6">
        <f>D250*D231</f>
        <v>0</v>
      </c>
      <c r="E233" s="6">
        <f>E250*E231</f>
        <v>0</v>
      </c>
      <c r="F233" s="6">
        <f>F250*F231</f>
        <v>0</v>
      </c>
      <c r="G233" s="6">
        <f>G250*G231</f>
        <v>0</v>
      </c>
    </row>
    <row r="234" spans="1:7" x14ac:dyDescent="0.2">
      <c r="A234" t="s">
        <v>215</v>
      </c>
      <c r="C234" s="6">
        <f>C218*(B240/12)</f>
        <v>0</v>
      </c>
      <c r="D234" s="6">
        <f>C234+D218</f>
        <v>0</v>
      </c>
      <c r="E234" s="6">
        <f>D234+E218</f>
        <v>0</v>
      </c>
      <c r="F234" s="6">
        <f>E234+F218</f>
        <v>0</v>
      </c>
      <c r="G234" s="6">
        <f>F234+G218</f>
        <v>0</v>
      </c>
    </row>
    <row r="235" spans="1:7" x14ac:dyDescent="0.2">
      <c r="A235" t="s">
        <v>216</v>
      </c>
      <c r="C235" s="14" t="e">
        <f>EXP((12/((C223*12)+$B240))*LN((C233+C234)/$B238))-1</f>
        <v>#DIV/0!</v>
      </c>
      <c r="D235" s="14" t="e">
        <f>EXP((12/((D223*12)+$B240))*LN((D233+D234)/$B238))-1</f>
        <v>#DIV/0!</v>
      </c>
      <c r="E235" s="14" t="e">
        <f>EXP((12/((E223*12)+$B240))*LN((E233+E234)/$B238))-1</f>
        <v>#DIV/0!</v>
      </c>
      <c r="F235" s="14" t="e">
        <f>EXP((12/((F223*12)+$B240))*LN((F233+F234)/$B238))-1</f>
        <v>#DIV/0!</v>
      </c>
      <c r="G235" s="14" t="e">
        <f>EXP((12/((G223*12)+$B240))*LN((G233+G234)/$B238))-1</f>
        <v>#DIV/0!</v>
      </c>
    </row>
    <row r="236" spans="1:7" x14ac:dyDescent="0.2">
      <c r="A236" t="s">
        <v>217</v>
      </c>
      <c r="C236" s="4" t="e">
        <f>C218/C233</f>
        <v>#DIV/0!</v>
      </c>
      <c r="D236" s="4" t="e">
        <f>D218/D233</f>
        <v>#DIV/0!</v>
      </c>
      <c r="E236" s="4" t="e">
        <f>E218/E233</f>
        <v>#DIV/0!</v>
      </c>
      <c r="F236" s="4" t="e">
        <f>F218/F233</f>
        <v>#DIV/0!</v>
      </c>
      <c r="G236" s="4" t="e">
        <f>G218/G233</f>
        <v>#DIV/0!</v>
      </c>
    </row>
    <row r="238" spans="1:7" x14ac:dyDescent="0.2">
      <c r="A238" t="s">
        <v>218</v>
      </c>
      <c r="B238" s="15"/>
      <c r="E238" t="s">
        <v>219</v>
      </c>
      <c r="G238" s="16"/>
    </row>
    <row r="239" spans="1:7" x14ac:dyDescent="0.2">
      <c r="A239" t="s">
        <v>220</v>
      </c>
      <c r="B239" s="17">
        <v>16</v>
      </c>
      <c r="E239" t="s">
        <v>221</v>
      </c>
      <c r="G239" s="18"/>
    </row>
    <row r="240" spans="1:7" x14ac:dyDescent="0.2">
      <c r="A240" t="s">
        <v>222</v>
      </c>
      <c r="B240" s="18"/>
      <c r="G240" s="19"/>
    </row>
    <row r="242" spans="1:7" x14ac:dyDescent="0.2">
      <c r="A242" t="s">
        <v>223</v>
      </c>
      <c r="D242" s="2">
        <v>1</v>
      </c>
    </row>
    <row r="243" spans="1:7" x14ac:dyDescent="0.2">
      <c r="A243" t="s">
        <v>224</v>
      </c>
    </row>
    <row r="244" spans="1:7" x14ac:dyDescent="0.2">
      <c r="A244" t="s">
        <v>225</v>
      </c>
    </row>
    <row r="245" spans="1:7" x14ac:dyDescent="0.2">
      <c r="A245" s="22" t="s">
        <v>226</v>
      </c>
      <c r="B245" t="str">
        <f>B22</f>
        <v>TSLA</v>
      </c>
      <c r="C245" t="s">
        <v>219</v>
      </c>
      <c r="D245">
        <f>G238</f>
        <v>0</v>
      </c>
      <c r="E245" t="s">
        <v>227</v>
      </c>
      <c r="G245" s="8">
        <f>B238</f>
        <v>0</v>
      </c>
    </row>
    <row r="246" spans="1:7" x14ac:dyDescent="0.2">
      <c r="A246" s="22" t="s">
        <v>221</v>
      </c>
      <c r="B246">
        <f>G239</f>
        <v>0</v>
      </c>
      <c r="E246" t="s">
        <v>228</v>
      </c>
      <c r="G246" s="20">
        <f ca="1">NOW()</f>
        <v>42549.541911689812</v>
      </c>
    </row>
    <row r="247" spans="1:7" x14ac:dyDescent="0.2">
      <c r="A247" s="22" t="s">
        <v>229</v>
      </c>
      <c r="B247" s="1">
        <f t="shared" ref="B247:G247" si="52">B23</f>
        <v>2015</v>
      </c>
      <c r="C247" s="1">
        <f t="shared" si="52"/>
        <v>2016</v>
      </c>
      <c r="D247" s="1">
        <f t="shared" si="52"/>
        <v>2017</v>
      </c>
      <c r="E247" s="1">
        <f t="shared" si="52"/>
        <v>2018</v>
      </c>
      <c r="F247" s="1">
        <f t="shared" si="52"/>
        <v>2019</v>
      </c>
      <c r="G247" s="1">
        <f t="shared" si="52"/>
        <v>2020</v>
      </c>
    </row>
    <row r="248" spans="1:7" x14ac:dyDescent="0.2">
      <c r="B248" s="22" t="s">
        <v>230</v>
      </c>
      <c r="C248" s="22" t="s">
        <v>230</v>
      </c>
      <c r="D248" s="22" t="s">
        <v>230</v>
      </c>
      <c r="E248" s="22" t="s">
        <v>230</v>
      </c>
      <c r="F248" s="22" t="s">
        <v>230</v>
      </c>
      <c r="G248" s="22" t="s">
        <v>230</v>
      </c>
    </row>
    <row r="249" spans="1:7" x14ac:dyDescent="0.2">
      <c r="A249" t="s">
        <v>231</v>
      </c>
      <c r="C249" s="14" t="e">
        <f>(C250/B250)-1</f>
        <v>#DIV/0!</v>
      </c>
      <c r="D249" s="14">
        <f>(D250/C250)-1</f>
        <v>0.32891974912839839</v>
      </c>
      <c r="E249" s="14">
        <f>(E250/D250)-1</f>
        <v>5.1595249589175829E-2</v>
      </c>
      <c r="F249" s="14">
        <f>(F250/E250)-1</f>
        <v>0.16679022600801474</v>
      </c>
      <c r="G249" s="14">
        <f>(G250/F250)-1</f>
        <v>2.7891347053003335E-2</v>
      </c>
    </row>
    <row r="250" spans="1:7" x14ac:dyDescent="0.2">
      <c r="A250" t="s">
        <v>232</v>
      </c>
      <c r="B250" s="8">
        <f>IF($D242=1,B216,B217)</f>
        <v>0</v>
      </c>
      <c r="C250" s="8">
        <f>(IF($D242=1,C216,C217))+(((J39*J40)*(1-J60))/C101)</f>
        <v>-4.7778895046867413</v>
      </c>
      <c r="D250" s="8">
        <f>(IF($D242=1,D216,D217))+(((K39*K40)*(1-K60))/D101)</f>
        <v>-6.349431721931512</v>
      </c>
      <c r="E250" s="8">
        <f>(IF($D242=1,E216,E217))+(((L39*L40)*(1-L60))/E101)</f>
        <v>-6.6770322363739991</v>
      </c>
      <c r="F250" s="8">
        <f>(IF($D242=1,F216,F217))+(((M39*M40)*(1-M60))/F101)</f>
        <v>-7.7906959521416184</v>
      </c>
      <c r="G250" s="8">
        <f>(IF($D242=1,G216,G217))+(((N39*N40)*(1-N60))/G101)</f>
        <v>-8.0079889567272282</v>
      </c>
    </row>
    <row r="251" spans="1:7" x14ac:dyDescent="0.2">
      <c r="A251" t="s">
        <v>233</v>
      </c>
      <c r="C251" s="8">
        <f>C226</f>
        <v>0</v>
      </c>
      <c r="D251" s="8">
        <f>D226</f>
        <v>0</v>
      </c>
    </row>
    <row r="252" spans="1:7" x14ac:dyDescent="0.2">
      <c r="A252" t="s">
        <v>212</v>
      </c>
      <c r="C252" s="6">
        <f t="shared" ref="C252:G253" si="53">C230</f>
        <v>0</v>
      </c>
      <c r="D252" s="6">
        <f t="shared" si="53"/>
        <v>0</v>
      </c>
      <c r="E252" s="6">
        <f t="shared" si="53"/>
        <v>0</v>
      </c>
      <c r="F252" s="6">
        <f t="shared" si="53"/>
        <v>0</v>
      </c>
      <c r="G252" s="6">
        <f t="shared" si="53"/>
        <v>0</v>
      </c>
    </row>
    <row r="253" spans="1:7" x14ac:dyDescent="0.2">
      <c r="A253" t="s">
        <v>213</v>
      </c>
      <c r="C253" s="1">
        <f t="shared" si="53"/>
        <v>0</v>
      </c>
      <c r="D253" s="1">
        <f t="shared" si="53"/>
        <v>0</v>
      </c>
      <c r="E253" s="1">
        <f t="shared" si="53"/>
        <v>0</v>
      </c>
      <c r="F253" s="1">
        <f t="shared" si="53"/>
        <v>0</v>
      </c>
      <c r="G253" s="1">
        <f t="shared" si="53"/>
        <v>0</v>
      </c>
    </row>
    <row r="254" spans="1:7" x14ac:dyDescent="0.2">
      <c r="A254" t="s">
        <v>214</v>
      </c>
      <c r="C254" s="21">
        <f>C233</f>
        <v>0</v>
      </c>
      <c r="D254" s="21">
        <f>D233</f>
        <v>0</v>
      </c>
      <c r="E254" s="21">
        <f>E233</f>
        <v>0</v>
      </c>
      <c r="F254" s="21">
        <f>F233</f>
        <v>0</v>
      </c>
      <c r="G254" s="21">
        <f>G233</f>
        <v>0</v>
      </c>
    </row>
    <row r="255" spans="1:7" x14ac:dyDescent="0.2">
      <c r="A255" t="s">
        <v>216</v>
      </c>
      <c r="C255" s="14" t="e">
        <f>C235</f>
        <v>#DIV/0!</v>
      </c>
      <c r="D255" s="14" t="e">
        <f>D235</f>
        <v>#DIV/0!</v>
      </c>
      <c r="E255" s="14" t="e">
        <f>E235</f>
        <v>#DIV/0!</v>
      </c>
      <c r="F255" s="14" t="e">
        <f>F235</f>
        <v>#DIV/0!</v>
      </c>
      <c r="G255" s="14" t="e">
        <f>G235</f>
        <v>#DIV/0!</v>
      </c>
    </row>
    <row r="263" spans="1:5" x14ac:dyDescent="0.2">
      <c r="A263" t="s">
        <v>234</v>
      </c>
    </row>
    <row r="264" spans="1:5" x14ac:dyDescent="0.2">
      <c r="A264" t="s">
        <v>235</v>
      </c>
    </row>
    <row r="265" spans="1:5" x14ac:dyDescent="0.2">
      <c r="A265" t="s">
        <v>236</v>
      </c>
      <c r="D265" t="s">
        <v>237</v>
      </c>
      <c r="E265" t="s">
        <v>238</v>
      </c>
    </row>
    <row r="266" spans="1:5" x14ac:dyDescent="0.2">
      <c r="A266" t="s">
        <v>239</v>
      </c>
      <c r="E266" t="s">
        <v>240</v>
      </c>
    </row>
    <row r="268" spans="1:5" x14ac:dyDescent="0.2">
      <c r="A268" t="s">
        <v>241</v>
      </c>
      <c r="D268" t="s">
        <v>242</v>
      </c>
      <c r="E268" t="s">
        <v>243</v>
      </c>
    </row>
    <row r="269" spans="1:5" x14ac:dyDescent="0.2">
      <c r="A269" t="s">
        <v>244</v>
      </c>
      <c r="E269" t="s">
        <v>245</v>
      </c>
    </row>
    <row r="270" spans="1:5" x14ac:dyDescent="0.2">
      <c r="A270" t="s">
        <v>246</v>
      </c>
      <c r="E270" t="s">
        <v>247</v>
      </c>
    </row>
    <row r="271" spans="1:5" x14ac:dyDescent="0.2">
      <c r="A271" t="s">
        <v>248</v>
      </c>
    </row>
    <row r="273" spans="1:5" x14ac:dyDescent="0.2">
      <c r="A273" t="s">
        <v>241</v>
      </c>
      <c r="D273" t="s">
        <v>249</v>
      </c>
      <c r="E273" t="s">
        <v>250</v>
      </c>
    </row>
    <row r="274" spans="1:5" x14ac:dyDescent="0.2">
      <c r="A274" t="s">
        <v>251</v>
      </c>
      <c r="E274" t="s">
        <v>252</v>
      </c>
    </row>
    <row r="275" spans="1:5" x14ac:dyDescent="0.2">
      <c r="A275" t="s">
        <v>253</v>
      </c>
    </row>
    <row r="276" spans="1:5" x14ac:dyDescent="0.2">
      <c r="A276" t="s">
        <v>254</v>
      </c>
    </row>
    <row r="278" spans="1:5" x14ac:dyDescent="0.2">
      <c r="A278" t="s">
        <v>241</v>
      </c>
      <c r="D278" t="s">
        <v>255</v>
      </c>
      <c r="E278" t="s">
        <v>256</v>
      </c>
    </row>
    <row r="279" spans="1:5" x14ac:dyDescent="0.2">
      <c r="A279" t="s">
        <v>251</v>
      </c>
      <c r="E279" t="s">
        <v>252</v>
      </c>
    </row>
    <row r="280" spans="1:5" x14ac:dyDescent="0.2">
      <c r="A280" t="s">
        <v>257</v>
      </c>
    </row>
    <row r="281" spans="1:5" x14ac:dyDescent="0.2">
      <c r="A281" t="s">
        <v>254</v>
      </c>
    </row>
    <row r="283" spans="1:5" x14ac:dyDescent="0.2">
      <c r="A283" t="s">
        <v>258</v>
      </c>
      <c r="D283" t="s">
        <v>259</v>
      </c>
      <c r="E283" t="s">
        <v>260</v>
      </c>
    </row>
    <row r="284" spans="1:5" x14ac:dyDescent="0.2">
      <c r="A284" t="s">
        <v>254</v>
      </c>
      <c r="E284" t="s">
        <v>261</v>
      </c>
    </row>
    <row r="286" spans="1:5" x14ac:dyDescent="0.2">
      <c r="A286" t="s">
        <v>262</v>
      </c>
      <c r="D286" t="s">
        <v>263</v>
      </c>
      <c r="E286" t="s">
        <v>264</v>
      </c>
    </row>
    <row r="287" spans="1:5" x14ac:dyDescent="0.2">
      <c r="A287" t="s">
        <v>254</v>
      </c>
      <c r="E287" t="s">
        <v>261</v>
      </c>
    </row>
    <row r="289" spans="1:7" x14ac:dyDescent="0.2">
      <c r="A289" t="s">
        <v>265</v>
      </c>
      <c r="D289" t="s">
        <v>266</v>
      </c>
      <c r="E289" t="s">
        <v>267</v>
      </c>
    </row>
    <row r="290" spans="1:7" x14ac:dyDescent="0.2">
      <c r="A290" t="s">
        <v>268</v>
      </c>
      <c r="E290" t="s">
        <v>269</v>
      </c>
    </row>
    <row r="292" spans="1:7" x14ac:dyDescent="0.2">
      <c r="A292" t="s">
        <v>270</v>
      </c>
      <c r="D292" t="s">
        <v>271</v>
      </c>
      <c r="E292" t="s">
        <v>272</v>
      </c>
      <c r="G292" t="s">
        <v>270</v>
      </c>
    </row>
    <row r="293" spans="1:7" x14ac:dyDescent="0.2">
      <c r="A293" t="s">
        <v>273</v>
      </c>
      <c r="G293" t="s">
        <v>273</v>
      </c>
    </row>
    <row r="297" spans="1:7" x14ac:dyDescent="0.2">
      <c r="A297" t="s">
        <v>274</v>
      </c>
      <c r="D297" t="s">
        <v>275</v>
      </c>
      <c r="E297" t="s">
        <v>276</v>
      </c>
      <c r="G297" t="s">
        <v>274</v>
      </c>
    </row>
    <row r="298" spans="1:7" x14ac:dyDescent="0.2">
      <c r="A298" t="s">
        <v>277</v>
      </c>
      <c r="G298" t="s">
        <v>277</v>
      </c>
    </row>
    <row r="301" spans="1:7" x14ac:dyDescent="0.2">
      <c r="A301" t="s">
        <v>254</v>
      </c>
      <c r="D301" t="s">
        <v>278</v>
      </c>
      <c r="E301" t="s">
        <v>279</v>
      </c>
    </row>
    <row r="303" spans="1:7" x14ac:dyDescent="0.2">
      <c r="A303" t="s">
        <v>280</v>
      </c>
      <c r="D303" t="s">
        <v>281</v>
      </c>
      <c r="E303" t="s">
        <v>282</v>
      </c>
    </row>
    <row r="304" spans="1:7" x14ac:dyDescent="0.2">
      <c r="A304" t="s">
        <v>283</v>
      </c>
    </row>
    <row r="306" spans="1:7" x14ac:dyDescent="0.2">
      <c r="A306" t="s">
        <v>284</v>
      </c>
      <c r="D306" t="s">
        <v>285</v>
      </c>
      <c r="E306" t="s">
        <v>286</v>
      </c>
    </row>
    <row r="307" spans="1:7" x14ac:dyDescent="0.2">
      <c r="E307" t="s">
        <v>287</v>
      </c>
    </row>
    <row r="309" spans="1:7" x14ac:dyDescent="0.2">
      <c r="A309" t="s">
        <v>288</v>
      </c>
      <c r="D309" t="s">
        <v>289</v>
      </c>
      <c r="E309" t="s">
        <v>290</v>
      </c>
    </row>
    <row r="310" spans="1:7" x14ac:dyDescent="0.2">
      <c r="A310" t="s">
        <v>291</v>
      </c>
      <c r="E310" t="s">
        <v>292</v>
      </c>
    </row>
    <row r="311" spans="1:7" x14ac:dyDescent="0.2">
      <c r="A311" t="s">
        <v>248</v>
      </c>
      <c r="E311" t="s">
        <v>293</v>
      </c>
    </row>
    <row r="312" spans="1:7" x14ac:dyDescent="0.2">
      <c r="E312" t="s">
        <v>294</v>
      </c>
    </row>
    <row r="314" spans="1:7" x14ac:dyDescent="0.2">
      <c r="A314" t="s">
        <v>295</v>
      </c>
      <c r="D314" t="s">
        <v>296</v>
      </c>
      <c r="E314" t="s">
        <v>297</v>
      </c>
      <c r="G314" t="s">
        <v>295</v>
      </c>
    </row>
    <row r="318" spans="1:7" x14ac:dyDescent="0.2">
      <c r="A318" t="s">
        <v>298</v>
      </c>
      <c r="D318" t="s">
        <v>299</v>
      </c>
      <c r="E318" t="s">
        <v>300</v>
      </c>
      <c r="G318" t="s">
        <v>298</v>
      </c>
    </row>
    <row r="319" spans="1:7" x14ac:dyDescent="0.2">
      <c r="E319" t="s">
        <v>301</v>
      </c>
    </row>
    <row r="322" spans="1:7" x14ac:dyDescent="0.2">
      <c r="A322" t="s">
        <v>270</v>
      </c>
      <c r="D322" t="s">
        <v>302</v>
      </c>
      <c r="E322" t="s">
        <v>303</v>
      </c>
      <c r="G322" t="s">
        <v>270</v>
      </c>
    </row>
    <row r="323" spans="1:7" x14ac:dyDescent="0.2">
      <c r="A323" t="s">
        <v>273</v>
      </c>
      <c r="G323" t="s">
        <v>273</v>
      </c>
    </row>
    <row r="324" spans="1:7" x14ac:dyDescent="0.2">
      <c r="A324" t="s">
        <v>274</v>
      </c>
      <c r="G324" t="s">
        <v>274</v>
      </c>
    </row>
    <row r="325" spans="1:7" x14ac:dyDescent="0.2">
      <c r="A325" t="s">
        <v>277</v>
      </c>
      <c r="G325" t="s">
        <v>277</v>
      </c>
    </row>
    <row r="326" spans="1:7" x14ac:dyDescent="0.2">
      <c r="A326" t="s">
        <v>295</v>
      </c>
      <c r="G326" t="s">
        <v>295</v>
      </c>
    </row>
    <row r="327" spans="1:7" x14ac:dyDescent="0.2">
      <c r="A327" t="s">
        <v>298</v>
      </c>
      <c r="G327" t="s">
        <v>298</v>
      </c>
    </row>
    <row r="336" spans="1:7" x14ac:dyDescent="0.2">
      <c r="A336" s="2" t="s">
        <v>304</v>
      </c>
      <c r="C336" s="2" t="s">
        <v>305</v>
      </c>
    </row>
    <row r="338" spans="1:5" x14ac:dyDescent="0.2">
      <c r="A338" t="s">
        <v>241</v>
      </c>
      <c r="D338" t="s">
        <v>306</v>
      </c>
      <c r="E338" t="s">
        <v>307</v>
      </c>
    </row>
    <row r="339" spans="1:5" x14ac:dyDescent="0.2">
      <c r="A339" t="s">
        <v>308</v>
      </c>
      <c r="E339" t="s">
        <v>309</v>
      </c>
    </row>
    <row r="340" spans="1:5" x14ac:dyDescent="0.2">
      <c r="A340" t="s">
        <v>310</v>
      </c>
    </row>
    <row r="341" spans="1:5" x14ac:dyDescent="0.2">
      <c r="A341" t="s">
        <v>254</v>
      </c>
    </row>
    <row r="343" spans="1:5" x14ac:dyDescent="0.2">
      <c r="A343" t="s">
        <v>241</v>
      </c>
      <c r="D343" t="s">
        <v>311</v>
      </c>
      <c r="E343" t="s">
        <v>312</v>
      </c>
    </row>
    <row r="344" spans="1:5" x14ac:dyDescent="0.2">
      <c r="A344" t="s">
        <v>313</v>
      </c>
      <c r="E344" t="s">
        <v>314</v>
      </c>
    </row>
    <row r="345" spans="1:5" x14ac:dyDescent="0.2">
      <c r="A345" t="s">
        <v>315</v>
      </c>
    </row>
    <row r="346" spans="1:5" x14ac:dyDescent="0.2">
      <c r="A346" t="s">
        <v>248</v>
      </c>
    </row>
  </sheetData>
  <phoneticPr fontId="0" type="noConversion"/>
  <pageMargins left="0.5" right="0.5" top="0.5" bottom="0.5" header="0.5" footer="0.5"/>
  <pageSetup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22</vt:i4>
      </vt:variant>
    </vt:vector>
  </HeadingPairs>
  <TitlesOfParts>
    <vt:vector size="23" baseType="lpstr">
      <vt:lpstr>A</vt:lpstr>
      <vt:lpstr>\0</vt:lpstr>
      <vt:lpstr>\A</vt:lpstr>
      <vt:lpstr>\B</vt:lpstr>
      <vt:lpstr>\C</vt:lpstr>
      <vt:lpstr>\D</vt:lpstr>
      <vt:lpstr>\E</vt:lpstr>
      <vt:lpstr>\F</vt:lpstr>
      <vt:lpstr>\G</vt:lpstr>
      <vt:lpstr>\I</vt:lpstr>
      <vt:lpstr>\J</vt:lpstr>
      <vt:lpstr>\K</vt:lpstr>
      <vt:lpstr>\L</vt:lpstr>
      <vt:lpstr>\M</vt:lpstr>
      <vt:lpstr>\P</vt:lpstr>
      <vt:lpstr>\Q</vt:lpstr>
      <vt:lpstr>\S</vt:lpstr>
      <vt:lpstr>\T</vt:lpstr>
      <vt:lpstr>\U</vt:lpstr>
      <vt:lpstr>\X</vt:lpstr>
      <vt:lpstr>\Z</vt:lpstr>
      <vt:lpstr>A!Print_Area</vt:lpstr>
      <vt:lpstr>A!Print_Area_MI</vt:lpstr>
    </vt:vector>
  </TitlesOfParts>
  <Company>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Kevin Wenck</cp:lastModifiedBy>
  <cp:lastPrinted>2004-02-05T00:25:43Z</cp:lastPrinted>
  <dcterms:created xsi:type="dcterms:W3CDTF">2003-06-11T19:29:55Z</dcterms:created>
  <dcterms:modified xsi:type="dcterms:W3CDTF">2016-06-28T20:00:48Z</dcterms:modified>
</cp:coreProperties>
</file>