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Seres therapeutics\"/>
    </mc:Choice>
  </mc:AlternateContent>
  <bookViews>
    <workbookView xWindow="0" yWindow="465" windowWidth="28800" windowHeight="16140" activeTab="4"/>
  </bookViews>
  <sheets>
    <sheet name="Revenue forecast sheet" sheetId="7" r:id="rId1"/>
    <sheet name="Operating value calculation" sheetId="5" r:id="rId2"/>
    <sheet name="Avg. values Pharma NYU stern" sheetId="3" r:id="rId3"/>
    <sheet name="Equity value calculation" sheetId="4" r:id="rId4"/>
    <sheet name="Notes" sheetId="8" r:id="rId5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4" i="5" l="1"/>
  <c r="T31" i="5"/>
  <c r="T33" i="5"/>
  <c r="T44" i="5"/>
  <c r="T47" i="5"/>
  <c r="T6" i="5"/>
  <c r="T48" i="5"/>
  <c r="T10" i="5"/>
  <c r="T50" i="5"/>
  <c r="T52" i="5"/>
  <c r="T57" i="5"/>
  <c r="S57" i="5"/>
  <c r="T58" i="5"/>
  <c r="T60" i="5"/>
  <c r="P8" i="7"/>
  <c r="P15" i="7"/>
  <c r="P17" i="7"/>
  <c r="P24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P31" i="7"/>
  <c r="P35" i="7"/>
  <c r="P38" i="7"/>
  <c r="P40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P47" i="7"/>
  <c r="P49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P56" i="7"/>
  <c r="P58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P65" i="7"/>
  <c r="P67" i="7"/>
  <c r="Q8" i="7"/>
  <c r="Q15" i="7"/>
  <c r="Q17" i="7"/>
  <c r="Q24" i="7"/>
  <c r="Q28" i="7"/>
  <c r="Q31" i="7"/>
  <c r="Q35" i="7"/>
  <c r="Q38" i="7"/>
  <c r="Q40" i="7"/>
  <c r="Q44" i="7"/>
  <c r="Q47" i="7"/>
  <c r="Q49" i="7"/>
  <c r="Q53" i="7"/>
  <c r="Q56" i="7"/>
  <c r="Q58" i="7"/>
  <c r="Q62" i="7"/>
  <c r="Q65" i="7"/>
  <c r="Q67" i="7"/>
  <c r="R8" i="7"/>
  <c r="R15" i="7"/>
  <c r="R17" i="7"/>
  <c r="R24" i="7"/>
  <c r="R28" i="7"/>
  <c r="R31" i="7"/>
  <c r="R35" i="7"/>
  <c r="R38" i="7"/>
  <c r="R40" i="7"/>
  <c r="R44" i="7"/>
  <c r="R47" i="7"/>
  <c r="R49" i="7"/>
  <c r="R53" i="7"/>
  <c r="R56" i="7"/>
  <c r="R58" i="7"/>
  <c r="R62" i="7"/>
  <c r="R65" i="7"/>
  <c r="R67" i="7"/>
  <c r="S8" i="7"/>
  <c r="S15" i="7"/>
  <c r="S17" i="7"/>
  <c r="S24" i="7"/>
  <c r="S28" i="7"/>
  <c r="S31" i="7"/>
  <c r="S35" i="7"/>
  <c r="S38" i="7"/>
  <c r="S40" i="7"/>
  <c r="S44" i="7"/>
  <c r="S47" i="7"/>
  <c r="S49" i="7"/>
  <c r="S53" i="7"/>
  <c r="S56" i="7"/>
  <c r="S58" i="7"/>
  <c r="S62" i="7"/>
  <c r="S65" i="7"/>
  <c r="S67" i="7"/>
  <c r="T7" i="7"/>
  <c r="T8" i="7"/>
  <c r="T15" i="7"/>
  <c r="T17" i="7"/>
  <c r="T23" i="7"/>
  <c r="T24" i="7"/>
  <c r="T28" i="7"/>
  <c r="T30" i="7"/>
  <c r="T31" i="7"/>
  <c r="T35" i="7"/>
  <c r="T38" i="7"/>
  <c r="T40" i="7"/>
  <c r="T44" i="7"/>
  <c r="T46" i="7"/>
  <c r="T47" i="7"/>
  <c r="T49" i="7"/>
  <c r="T53" i="7"/>
  <c r="T55" i="7"/>
  <c r="T56" i="7"/>
  <c r="T58" i="7"/>
  <c r="T62" i="7"/>
  <c r="T65" i="7"/>
  <c r="T67" i="7"/>
  <c r="J8" i="7"/>
  <c r="J15" i="7"/>
  <c r="J17" i="7"/>
  <c r="J24" i="7"/>
  <c r="J31" i="7"/>
  <c r="J35" i="7"/>
  <c r="J38" i="7"/>
  <c r="J40" i="7"/>
  <c r="J47" i="7"/>
  <c r="J49" i="7"/>
  <c r="J56" i="7"/>
  <c r="J58" i="7"/>
  <c r="J65" i="7"/>
  <c r="J67" i="7"/>
  <c r="K8" i="7"/>
  <c r="K15" i="7"/>
  <c r="K17" i="7"/>
  <c r="K24" i="7"/>
  <c r="K31" i="7"/>
  <c r="K35" i="7"/>
  <c r="K38" i="7"/>
  <c r="K40" i="7"/>
  <c r="K47" i="7"/>
  <c r="K49" i="7"/>
  <c r="K56" i="7"/>
  <c r="K58" i="7"/>
  <c r="K65" i="7"/>
  <c r="K67" i="7"/>
  <c r="L8" i="7"/>
  <c r="L15" i="7"/>
  <c r="L17" i="7"/>
  <c r="L24" i="7"/>
  <c r="L31" i="7"/>
  <c r="L35" i="7"/>
  <c r="L38" i="7"/>
  <c r="L40" i="7"/>
  <c r="L47" i="7"/>
  <c r="L49" i="7"/>
  <c r="L56" i="7"/>
  <c r="L58" i="7"/>
  <c r="L65" i="7"/>
  <c r="L67" i="7"/>
  <c r="M8" i="7"/>
  <c r="M15" i="7"/>
  <c r="M17" i="7"/>
  <c r="M24" i="7"/>
  <c r="M31" i="7"/>
  <c r="M35" i="7"/>
  <c r="M38" i="7"/>
  <c r="M40" i="7"/>
  <c r="M47" i="7"/>
  <c r="M49" i="7"/>
  <c r="M56" i="7"/>
  <c r="M58" i="7"/>
  <c r="M65" i="7"/>
  <c r="M67" i="7"/>
  <c r="N8" i="7"/>
  <c r="N15" i="7"/>
  <c r="N17" i="7"/>
  <c r="N24" i="7"/>
  <c r="N31" i="7"/>
  <c r="N35" i="7"/>
  <c r="N38" i="7"/>
  <c r="N40" i="7"/>
  <c r="N47" i="7"/>
  <c r="N49" i="7"/>
  <c r="N56" i="7"/>
  <c r="N58" i="7"/>
  <c r="N65" i="7"/>
  <c r="N67" i="7"/>
  <c r="O8" i="7"/>
  <c r="O15" i="7"/>
  <c r="O17" i="7"/>
  <c r="O24" i="7"/>
  <c r="O31" i="7"/>
  <c r="O35" i="7"/>
  <c r="O38" i="7"/>
  <c r="O40" i="7"/>
  <c r="O47" i="7"/>
  <c r="O49" i="7"/>
  <c r="O56" i="7"/>
  <c r="O58" i="7"/>
  <c r="O65" i="7"/>
  <c r="O67" i="7"/>
  <c r="C8" i="7"/>
  <c r="C15" i="7"/>
  <c r="C17" i="7"/>
  <c r="C24" i="7"/>
  <c r="C31" i="7"/>
  <c r="C35" i="7"/>
  <c r="C38" i="7"/>
  <c r="C40" i="7"/>
  <c r="C47" i="7"/>
  <c r="C49" i="7"/>
  <c r="C56" i="7"/>
  <c r="C58" i="7"/>
  <c r="C65" i="7"/>
  <c r="C67" i="7"/>
  <c r="D8" i="7"/>
  <c r="D15" i="7"/>
  <c r="D17" i="7"/>
  <c r="D24" i="7"/>
  <c r="D31" i="7"/>
  <c r="D35" i="7"/>
  <c r="D38" i="7"/>
  <c r="D40" i="7"/>
  <c r="D47" i="7"/>
  <c r="D49" i="7"/>
  <c r="D56" i="7"/>
  <c r="D58" i="7"/>
  <c r="D65" i="7"/>
  <c r="D67" i="7"/>
  <c r="E8" i="7"/>
  <c r="E15" i="7"/>
  <c r="E17" i="7"/>
  <c r="E24" i="7"/>
  <c r="E31" i="7"/>
  <c r="E35" i="7"/>
  <c r="E38" i="7"/>
  <c r="E40" i="7"/>
  <c r="E47" i="7"/>
  <c r="E49" i="7"/>
  <c r="E56" i="7"/>
  <c r="E58" i="7"/>
  <c r="E65" i="7"/>
  <c r="E67" i="7"/>
  <c r="F8" i="7"/>
  <c r="F15" i="7"/>
  <c r="F17" i="7"/>
  <c r="F24" i="7"/>
  <c r="F31" i="7"/>
  <c r="F35" i="7"/>
  <c r="F38" i="7"/>
  <c r="F40" i="7"/>
  <c r="F47" i="7"/>
  <c r="F49" i="7"/>
  <c r="F56" i="7"/>
  <c r="F58" i="7"/>
  <c r="F65" i="7"/>
  <c r="F67" i="7"/>
  <c r="G8" i="7"/>
  <c r="G15" i="7"/>
  <c r="G17" i="7"/>
  <c r="G24" i="7"/>
  <c r="G31" i="7"/>
  <c r="G35" i="7"/>
  <c r="G38" i="7"/>
  <c r="G40" i="7"/>
  <c r="G47" i="7"/>
  <c r="G49" i="7"/>
  <c r="G56" i="7"/>
  <c r="G58" i="7"/>
  <c r="G65" i="7"/>
  <c r="G67" i="7"/>
  <c r="H8" i="7"/>
  <c r="H15" i="7"/>
  <c r="H17" i="7"/>
  <c r="H24" i="7"/>
  <c r="H31" i="7"/>
  <c r="H35" i="7"/>
  <c r="H38" i="7"/>
  <c r="H40" i="7"/>
  <c r="H47" i="7"/>
  <c r="H49" i="7"/>
  <c r="H56" i="7"/>
  <c r="H58" i="7"/>
  <c r="H65" i="7"/>
  <c r="H67" i="7"/>
  <c r="I8" i="7"/>
  <c r="I15" i="7"/>
  <c r="I17" i="7"/>
  <c r="I24" i="7"/>
  <c r="I31" i="7"/>
  <c r="I35" i="7"/>
  <c r="I38" i="7"/>
  <c r="I40" i="7"/>
  <c r="I47" i="7"/>
  <c r="I49" i="7"/>
  <c r="I56" i="7"/>
  <c r="I58" i="7"/>
  <c r="I65" i="7"/>
  <c r="I67" i="7"/>
  <c r="B8" i="7"/>
  <c r="B15" i="7"/>
  <c r="B17" i="7"/>
  <c r="B24" i="7"/>
  <c r="B31" i="7"/>
  <c r="B35" i="7"/>
  <c r="B38" i="7"/>
  <c r="B40" i="7"/>
  <c r="B47" i="7"/>
  <c r="B49" i="7"/>
  <c r="B56" i="7"/>
  <c r="B58" i="7"/>
  <c r="B65" i="7"/>
  <c r="B67" i="7"/>
  <c r="B68" i="5"/>
  <c r="B72" i="5"/>
  <c r="C9" i="5"/>
  <c r="C11" i="5"/>
  <c r="C24" i="5"/>
  <c r="C31" i="5"/>
  <c r="C33" i="5"/>
  <c r="C44" i="5"/>
  <c r="C47" i="5"/>
  <c r="C48" i="5"/>
  <c r="C50" i="5"/>
  <c r="C60" i="5"/>
  <c r="C62" i="5"/>
  <c r="D24" i="5"/>
  <c r="D31" i="5"/>
  <c r="D33" i="5"/>
  <c r="D44" i="5"/>
  <c r="D47" i="5"/>
  <c r="D6" i="5"/>
  <c r="D48" i="5"/>
  <c r="D10" i="5"/>
  <c r="D50" i="5"/>
  <c r="D52" i="5"/>
  <c r="D57" i="5"/>
  <c r="D58" i="5"/>
  <c r="D60" i="5"/>
  <c r="D62" i="5"/>
  <c r="E24" i="5"/>
  <c r="E31" i="5"/>
  <c r="E33" i="5"/>
  <c r="E44" i="5"/>
  <c r="E47" i="5"/>
  <c r="E6" i="5"/>
  <c r="E48" i="5"/>
  <c r="E10" i="5"/>
  <c r="E50" i="5"/>
  <c r="E52" i="5"/>
  <c r="E57" i="5"/>
  <c r="E58" i="5"/>
  <c r="E60" i="5"/>
  <c r="E62" i="5"/>
  <c r="F24" i="5"/>
  <c r="F31" i="5"/>
  <c r="F33" i="5"/>
  <c r="F44" i="5"/>
  <c r="F47" i="5"/>
  <c r="F6" i="5"/>
  <c r="F48" i="5"/>
  <c r="F10" i="5"/>
  <c r="F50" i="5"/>
  <c r="F52" i="5"/>
  <c r="F57" i="5"/>
  <c r="F58" i="5"/>
  <c r="F60" i="5"/>
  <c r="F62" i="5"/>
  <c r="G24" i="5"/>
  <c r="G31" i="5"/>
  <c r="G33" i="5"/>
  <c r="G44" i="5"/>
  <c r="G47" i="5"/>
  <c r="G6" i="5"/>
  <c r="G48" i="5"/>
  <c r="G10" i="5"/>
  <c r="G50" i="5"/>
  <c r="G52" i="5"/>
  <c r="G57" i="5"/>
  <c r="G58" i="5"/>
  <c r="G60" i="5"/>
  <c r="G62" i="5"/>
  <c r="H24" i="5"/>
  <c r="H31" i="5"/>
  <c r="H33" i="5"/>
  <c r="H44" i="5"/>
  <c r="H47" i="5"/>
  <c r="H6" i="5"/>
  <c r="H48" i="5"/>
  <c r="H10" i="5"/>
  <c r="H50" i="5"/>
  <c r="H52" i="5"/>
  <c r="H57" i="5"/>
  <c r="H58" i="5"/>
  <c r="H60" i="5"/>
  <c r="H62" i="5"/>
  <c r="I24" i="5"/>
  <c r="I31" i="5"/>
  <c r="I33" i="5"/>
  <c r="I44" i="5"/>
  <c r="I47" i="5"/>
  <c r="I6" i="5"/>
  <c r="I48" i="5"/>
  <c r="I10" i="5"/>
  <c r="I50" i="5"/>
  <c r="I52" i="5"/>
  <c r="I57" i="5"/>
  <c r="I58" i="5"/>
  <c r="I60" i="5"/>
  <c r="I62" i="5"/>
  <c r="J24" i="5"/>
  <c r="J31" i="5"/>
  <c r="J33" i="5"/>
  <c r="J44" i="5"/>
  <c r="J47" i="5"/>
  <c r="J6" i="5"/>
  <c r="J48" i="5"/>
  <c r="J10" i="5"/>
  <c r="J50" i="5"/>
  <c r="J52" i="5"/>
  <c r="J57" i="5"/>
  <c r="J58" i="5"/>
  <c r="J60" i="5"/>
  <c r="J62" i="5"/>
  <c r="K24" i="5"/>
  <c r="K31" i="5"/>
  <c r="K33" i="5"/>
  <c r="K44" i="5"/>
  <c r="K47" i="5"/>
  <c r="K10" i="5"/>
  <c r="K50" i="5"/>
  <c r="K57" i="5"/>
  <c r="K58" i="5"/>
  <c r="K6" i="5"/>
  <c r="K48" i="5"/>
  <c r="K52" i="5"/>
  <c r="K60" i="5"/>
  <c r="K62" i="5"/>
  <c r="L24" i="5"/>
  <c r="L31" i="5"/>
  <c r="L33" i="5"/>
  <c r="L44" i="5"/>
  <c r="L47" i="5"/>
  <c r="L6" i="5"/>
  <c r="L48" i="5"/>
  <c r="L10" i="5"/>
  <c r="L50" i="5"/>
  <c r="L52" i="5"/>
  <c r="L57" i="5"/>
  <c r="L58" i="5"/>
  <c r="L60" i="5"/>
  <c r="L62" i="5"/>
  <c r="M24" i="5"/>
  <c r="M31" i="5"/>
  <c r="M33" i="5"/>
  <c r="M44" i="5"/>
  <c r="M47" i="5"/>
  <c r="M6" i="5"/>
  <c r="M48" i="5"/>
  <c r="M10" i="5"/>
  <c r="M50" i="5"/>
  <c r="M52" i="5"/>
  <c r="M57" i="5"/>
  <c r="M58" i="5"/>
  <c r="M60" i="5"/>
  <c r="M62" i="5"/>
  <c r="N24" i="5"/>
  <c r="N31" i="5"/>
  <c r="N33" i="5"/>
  <c r="N44" i="5"/>
  <c r="N47" i="5"/>
  <c r="N6" i="5"/>
  <c r="N48" i="5"/>
  <c r="N10" i="5"/>
  <c r="N50" i="5"/>
  <c r="N52" i="5"/>
  <c r="N57" i="5"/>
  <c r="N58" i="5"/>
  <c r="N60" i="5"/>
  <c r="N62" i="5"/>
  <c r="O24" i="5"/>
  <c r="O31" i="5"/>
  <c r="O33" i="5"/>
  <c r="O44" i="5"/>
  <c r="O47" i="5"/>
  <c r="O6" i="5"/>
  <c r="O48" i="5"/>
  <c r="O10" i="5"/>
  <c r="O50" i="5"/>
  <c r="O52" i="5"/>
  <c r="O57" i="5"/>
  <c r="O58" i="5"/>
  <c r="O60" i="5"/>
  <c r="O62" i="5"/>
  <c r="P24" i="5"/>
  <c r="P31" i="5"/>
  <c r="P33" i="5"/>
  <c r="P44" i="5"/>
  <c r="P47" i="5"/>
  <c r="P6" i="5"/>
  <c r="P48" i="5"/>
  <c r="P10" i="5"/>
  <c r="P50" i="5"/>
  <c r="P57" i="5"/>
  <c r="P58" i="5"/>
  <c r="P52" i="5"/>
  <c r="P60" i="5"/>
  <c r="P62" i="5"/>
  <c r="Q24" i="5"/>
  <c r="Q31" i="5"/>
  <c r="Q33" i="5"/>
  <c r="Q44" i="5"/>
  <c r="Q47" i="5"/>
  <c r="Q6" i="5"/>
  <c r="Q48" i="5"/>
  <c r="Q10" i="5"/>
  <c r="Q50" i="5"/>
  <c r="Q52" i="5"/>
  <c r="Q57" i="5"/>
  <c r="Q58" i="5"/>
  <c r="Q60" i="5"/>
  <c r="Q62" i="5"/>
  <c r="R24" i="5"/>
  <c r="R31" i="5"/>
  <c r="R33" i="5"/>
  <c r="R44" i="5"/>
  <c r="R47" i="5"/>
  <c r="R6" i="5"/>
  <c r="R48" i="5"/>
  <c r="R10" i="5"/>
  <c r="R50" i="5"/>
  <c r="R52" i="5"/>
  <c r="R57" i="5"/>
  <c r="R58" i="5"/>
  <c r="R60" i="5"/>
  <c r="R62" i="5"/>
  <c r="S24" i="5"/>
  <c r="S31" i="5"/>
  <c r="S33" i="5"/>
  <c r="S44" i="5"/>
  <c r="S47" i="5"/>
  <c r="S6" i="5"/>
  <c r="S48" i="5"/>
  <c r="S10" i="5"/>
  <c r="S50" i="5"/>
  <c r="S52" i="5"/>
  <c r="S58" i="5"/>
  <c r="S60" i="5"/>
  <c r="S62" i="5"/>
  <c r="B9" i="5"/>
  <c r="B11" i="5"/>
  <c r="B24" i="5"/>
  <c r="B31" i="5"/>
  <c r="B33" i="5"/>
  <c r="B15" i="5"/>
  <c r="B40" i="5"/>
  <c r="B41" i="5"/>
  <c r="B44" i="5"/>
  <c r="B47" i="5"/>
  <c r="B48" i="5"/>
  <c r="B50" i="5"/>
  <c r="B60" i="5"/>
  <c r="B62" i="5"/>
  <c r="B64" i="5"/>
  <c r="B16" i="5"/>
  <c r="X19" i="7"/>
  <c r="B9" i="4"/>
  <c r="B8" i="4"/>
  <c r="T62" i="5"/>
  <c r="B7" i="4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B24" i="4"/>
  <c r="B74" i="5"/>
  <c r="B5" i="4"/>
  <c r="B77" i="5"/>
  <c r="C26" i="5"/>
  <c r="C28" i="5"/>
  <c r="B26" i="5"/>
  <c r="B28" i="5"/>
  <c r="B38" i="4"/>
  <c r="B42" i="4"/>
  <c r="D26" i="5"/>
  <c r="D28" i="5"/>
  <c r="E26" i="5"/>
  <c r="E28" i="5"/>
  <c r="F26" i="5"/>
  <c r="F28" i="5"/>
  <c r="G26" i="5"/>
  <c r="G28" i="5"/>
  <c r="H26" i="5"/>
  <c r="H28" i="5"/>
  <c r="I26" i="5"/>
  <c r="I28" i="5"/>
  <c r="J26" i="5"/>
  <c r="J28" i="5"/>
  <c r="K26" i="5"/>
  <c r="K28" i="5"/>
  <c r="L26" i="5"/>
  <c r="L28" i="5"/>
  <c r="M26" i="5"/>
  <c r="M28" i="5"/>
  <c r="N26" i="5"/>
  <c r="N28" i="5"/>
  <c r="O26" i="5"/>
  <c r="O28" i="5"/>
  <c r="P26" i="5"/>
  <c r="P28" i="5"/>
  <c r="Q26" i="5"/>
  <c r="Q28" i="5"/>
  <c r="R26" i="5"/>
  <c r="R28" i="5"/>
  <c r="S26" i="5"/>
  <c r="S28" i="5"/>
  <c r="T26" i="5"/>
  <c r="T28" i="5"/>
</calcChain>
</file>

<file path=xl/sharedStrings.xml><?xml version="1.0" encoding="utf-8"?>
<sst xmlns="http://schemas.openxmlformats.org/spreadsheetml/2006/main" count="201" uniqueCount="165">
  <si>
    <t>Discount rate</t>
  </si>
  <si>
    <t>Operating expenses</t>
  </si>
  <si>
    <t>Average values for Pharmaceuticals, NYU-Stern data</t>
  </si>
  <si>
    <t>Revenue</t>
  </si>
  <si>
    <t>COGS</t>
  </si>
  <si>
    <t>Gross margin</t>
  </si>
  <si>
    <t>R&amp;D</t>
  </si>
  <si>
    <t>of revenue</t>
  </si>
  <si>
    <t>S,G&amp;A</t>
  </si>
  <si>
    <t>Other operating expenses</t>
  </si>
  <si>
    <t>EBITDA</t>
  </si>
  <si>
    <t>Dep&amp;Amort.</t>
  </si>
  <si>
    <t>EBIT</t>
  </si>
  <si>
    <t>income taxes</t>
  </si>
  <si>
    <t>of EBIT</t>
  </si>
  <si>
    <t>Unlevered Net income/ NOPAT</t>
  </si>
  <si>
    <t>Free operating cash flow calculation</t>
  </si>
  <si>
    <t>(capitalizing R&amp;D as investment asset)</t>
  </si>
  <si>
    <t>add R&amp;D</t>
  </si>
  <si>
    <t>expenses</t>
  </si>
  <si>
    <t>add Dep&amp;Amortization</t>
  </si>
  <si>
    <t>less Net capital expenditure</t>
  </si>
  <si>
    <t>less annual change in non-cash WC</t>
  </si>
  <si>
    <t>REV X 25% (YR2-YR1)</t>
  </si>
  <si>
    <t>Non-cash WC=25% of revenue</t>
  </si>
  <si>
    <t>all values as percentage of annual sales</t>
  </si>
  <si>
    <t>Time periods to discount back, years</t>
  </si>
  <si>
    <t>input</t>
  </si>
  <si>
    <t>Receivables from financial subsidiaries</t>
  </si>
  <si>
    <t>Investments in subsidiaries</t>
  </si>
  <si>
    <t>NPV of operating FCF from subsidiaries</t>
  </si>
  <si>
    <t>Overfunded pension assets</t>
  </si>
  <si>
    <t>Derivatives</t>
  </si>
  <si>
    <t>Value of discontinued operations</t>
  </si>
  <si>
    <t>Excess real estate (investment)</t>
  </si>
  <si>
    <t>Any investments in marketable securities</t>
  </si>
  <si>
    <t>Available for sale securities, 98% of total</t>
  </si>
  <si>
    <t>Non-Operating assets, total</t>
  </si>
  <si>
    <t>Fair value of preferred stock</t>
  </si>
  <si>
    <t>Fair value of warrants</t>
  </si>
  <si>
    <t>Fair value of employee stock options</t>
  </si>
  <si>
    <t>Non-controlling minority interest (in subsidiaries)</t>
  </si>
  <si>
    <t>Undiluted share count</t>
  </si>
  <si>
    <t>Loans to nonconsolidated subsidiaries and other companies</t>
  </si>
  <si>
    <t>Securitized receivables</t>
  </si>
  <si>
    <t>Restructuring charges e.g. from layoffs</t>
  </si>
  <si>
    <t>PV of Operating leases</t>
  </si>
  <si>
    <t>Accumulated tax loss carryforwards times tax rate</t>
  </si>
  <si>
    <t>Market value/Fair value of all outstanding debt (fixed and floating-rate), commercial paper, notes etc.</t>
  </si>
  <si>
    <t>Unfunded pension/retirement liabilities x (1-tax rate)</t>
  </si>
  <si>
    <t>Long-term operating provisions (e.g. plant decommissioning costs), book value</t>
  </si>
  <si>
    <t>Contigent liabilities x (1-t) if tax deductible</t>
  </si>
  <si>
    <t>NPV of any noncontrolling interests in subsidiaries</t>
  </si>
  <si>
    <t>EBIT (1-T)</t>
  </si>
  <si>
    <t>NOPLAT</t>
  </si>
  <si>
    <t>unlevered</t>
  </si>
  <si>
    <t>Debt and other liabilities, total</t>
  </si>
  <si>
    <t>Fair value per common share</t>
  </si>
  <si>
    <t>USD</t>
  </si>
  <si>
    <t>S, G&amp;A expenses</t>
  </si>
  <si>
    <t xml:space="preserve">EBITDA </t>
  </si>
  <si>
    <t>EBITA</t>
  </si>
  <si>
    <t>Good will writedowns</t>
  </si>
  <si>
    <t>Amortization of intangibles</t>
  </si>
  <si>
    <t>Interest income</t>
  </si>
  <si>
    <t>Interest expense</t>
  </si>
  <si>
    <t>Restructuring charges</t>
  </si>
  <si>
    <t>Earnings before taxes</t>
  </si>
  <si>
    <t>Income taxes</t>
  </si>
  <si>
    <t>Minority interest</t>
  </si>
  <si>
    <t>Income before extraordinary items</t>
  </si>
  <si>
    <t>Extraordinary items, after tax</t>
  </si>
  <si>
    <t>Preferred share dividends</t>
  </si>
  <si>
    <t>Earnings for common shareholders</t>
  </si>
  <si>
    <t>Common dividends</t>
  </si>
  <si>
    <t>Retained profit</t>
  </si>
  <si>
    <t>Net Income (from line 32)</t>
  </si>
  <si>
    <t>Decrease/increase in operating deferred taxes</t>
  </si>
  <si>
    <t>Adjusted Net income</t>
  </si>
  <si>
    <t>Amortization, acquired intangibles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</si>
  <si>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</si>
  <si>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</si>
  <si>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</si>
  <si>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</si>
  <si>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</si>
  <si>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</si>
  <si>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>Nonoperating taxes</t>
  </si>
  <si>
    <t xml:space="preserve">Non-operating income, exchange rate differences </t>
  </si>
  <si>
    <t>Dep&amp;A, 7.3% x rev. after 2017 (operating fixed assets and operating intangible assets, capitalized software, operating P,P&amp;E)</t>
  </si>
  <si>
    <t>Other non-operating expenses (income)</t>
  </si>
  <si>
    <t>Step 1: Revenue and Net Income calculation</t>
  </si>
  <si>
    <t>Step 2: Reconciliation of Net Income to calculate NOPLAT</t>
  </si>
  <si>
    <t>Step 3: Free Cash flow calculation from NOPLAT</t>
  </si>
  <si>
    <t>Financial investments</t>
  </si>
  <si>
    <t>Excess marketable securities</t>
  </si>
  <si>
    <t>Excess pension assets</t>
  </si>
  <si>
    <t>Estimated Enterprise Value</t>
  </si>
  <si>
    <t>Add non-cash operating expenses</t>
  </si>
  <si>
    <t>a) Plant, property, equipment</t>
  </si>
  <si>
    <t>b) Increase in operating assets</t>
  </si>
  <si>
    <t>c) Increase in operating leases</t>
  </si>
  <si>
    <t>d) Increase in other operating provisions</t>
  </si>
  <si>
    <t>Less change in non-cash working capital</t>
  </si>
  <si>
    <t xml:space="preserve">Less Net Capital expenditures, 20% x rev. </t>
  </si>
  <si>
    <t xml:space="preserve"> non-cash working capital, 25% x rev. </t>
  </si>
  <si>
    <t>Discounted value of FCF , USD</t>
  </si>
  <si>
    <t>FCF from operations, adj. for R&amp;D, USD</t>
  </si>
  <si>
    <t>Sum of discounted FCFs till peak revenue, USD</t>
  </si>
  <si>
    <t>Terminal FCF value calculation</t>
  </si>
  <si>
    <t>Annual increase (decrease) in FCF after peak</t>
  </si>
  <si>
    <t>Discounted value of terminal FCF</t>
  </si>
  <si>
    <t xml:space="preserve">Forecasted Operating value </t>
  </si>
  <si>
    <t>Other liabilities</t>
  </si>
  <si>
    <t xml:space="preserve">Excess Cash and cash equivalents, 98% of total, incl marketable securities </t>
  </si>
  <si>
    <t>Net Income(loss), 17.5% of rev after 2017</t>
  </si>
  <si>
    <t>add R&amp;D expense (capitalized as asset), line 6</t>
  </si>
  <si>
    <t>a) Add Depreciation and Amortization (from line 10)</t>
  </si>
  <si>
    <t>DCF</t>
  </si>
  <si>
    <t>Estimated fair operating value of firm, DCF</t>
  </si>
  <si>
    <t>Drug price for each patient</t>
  </si>
  <si>
    <t>Revenue 1, risk adjusted</t>
  </si>
  <si>
    <t>Annual incidence E.U.</t>
  </si>
  <si>
    <t>Royalty % paid to Seres</t>
  </si>
  <si>
    <t>Annual incidence</t>
  </si>
  <si>
    <t>Market penetration, peak 80%</t>
  </si>
  <si>
    <t>Probability, 80%</t>
  </si>
  <si>
    <t>SER-109, E.U., recurrent CDI prevention and treatment</t>
  </si>
  <si>
    <t>Revenue 3, risk-adjusted</t>
  </si>
  <si>
    <t>Probability, 10%</t>
  </si>
  <si>
    <t>Annual drug price/patient</t>
  </si>
  <si>
    <t>SER-109, U.S. and Canada, recurrent CDI prevention and treatment</t>
  </si>
  <si>
    <t>SER-262, E.U. given after primary CDI</t>
  </si>
  <si>
    <t>Revenue 4, risk-adjusted</t>
  </si>
  <si>
    <t>SER-287, Ulcerative colitis, U.S., Canada</t>
  </si>
  <si>
    <t>SER-287, Ulcerative colitis, E.U.</t>
  </si>
  <si>
    <t>Revenue for Nestle Health, risk-adjusted</t>
  </si>
  <si>
    <t>Revenue 2, risk adjusted for Seres</t>
  </si>
  <si>
    <t>Revenue, risk-adjusted for Nestle</t>
  </si>
  <si>
    <t>Revenue 5, risk adjusted for Seres</t>
  </si>
  <si>
    <t>Revenue 6, risk-adjusted for Seres</t>
  </si>
  <si>
    <t>SER-262, U.S.,Canada given after primary CDI</t>
  </si>
  <si>
    <t>Prevalence, 804K, then new 50k cases/year incidence</t>
  </si>
  <si>
    <t>Royalty % for Seres</t>
  </si>
  <si>
    <t>Revenue 4, risk-adjusted for Nestle Health</t>
  </si>
  <si>
    <t>Total forecasted operating revenue for Seres Therapeutics from above indications</t>
  </si>
  <si>
    <t xml:space="preserve">R&amp;D expenses, 17.69% x rev and risk adj. at 50% probab. </t>
  </si>
  <si>
    <t>Stock comp expense</t>
  </si>
  <si>
    <t xml:space="preserve">NOPLAT </t>
  </si>
  <si>
    <t>NOPLAT in the year after peak revenue, USD</t>
  </si>
  <si>
    <t>RONIC</t>
  </si>
  <si>
    <t xml:space="preserve">Terminal value </t>
  </si>
  <si>
    <t>Discount rate , WACC</t>
  </si>
  <si>
    <t>SER-301, IBD, E.U.</t>
  </si>
  <si>
    <t>Prevalence, 5.9M, new 266.4K cases per year</t>
  </si>
  <si>
    <t>Prevalence, 3.6M, new 173K cases per year</t>
  </si>
  <si>
    <t>Market penetration, peak 10%</t>
  </si>
  <si>
    <t>Market penetration, peak 5%</t>
  </si>
  <si>
    <t>Annual incidence ., 3 or more recurrences</t>
  </si>
  <si>
    <t>Probability, 30%</t>
  </si>
  <si>
    <t>SER-301, IBD, U.S.</t>
  </si>
  <si>
    <t>Prevalence, 1.8M, new 128K cases per year</t>
  </si>
  <si>
    <t>Revenue 7, risk-adjusted for Seres</t>
  </si>
  <si>
    <t>Revenue 8, risk-adjusted for Nestle Health</t>
  </si>
  <si>
    <t>Fair value of equity of the firm from the indications in revenue forecast sheet</t>
  </si>
  <si>
    <t>(McKinsey NOPLAT formula)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</si>
</sst>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1" fillId="0" borderId="0" xfId="0" applyFont="1"/>
    <xf numFmtId="1" fontId="0" fillId="0" borderId="0" xfId="0" applyNumberFormat="1"/>
    <xf numFmtId="3" fontId="0" fillId="0" borderId="0" xfId="0" applyNumberFormat="1"/>
    <xf numFmtId="0" fontId="0" fillId="0" borderId="0" xfId="0"/>
    <xf numFmtId="9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0" fontId="0" fillId="4" borderId="0" xfId="0" applyFill="1"/>
    <xf numFmtId="0" fontId="0" fillId="5" borderId="1" xfId="0" applyFill="1" applyBorder="1"/>
    <xf numFmtId="42" fontId="0" fillId="3" borderId="1" xfId="0" applyNumberFormat="1" applyFill="1" applyBorder="1"/>
    <xf numFmtId="44" fontId="0" fillId="3" borderId="1" xfId="0" applyNumberFormat="1" applyFill="1" applyBorder="1"/>
    <xf numFmtId="42" fontId="0" fillId="5" borderId="1" xfId="0" applyNumberFormat="1" applyFill="1" applyBorder="1"/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3" fillId="0" borderId="0" xfId="0" applyFont="1"/>
    <xf numFmtId="0" fontId="4" fillId="6" borderId="0" xfId="0" applyFont="1" applyFill="1"/>
    <xf numFmtId="3" fontId="4" fillId="0" borderId="0" xfId="0" applyNumberFormat="1" applyFont="1"/>
    <xf numFmtId="164" fontId="4" fillId="0" borderId="0" xfId="0" applyNumberFormat="1" applyFont="1"/>
    <xf numFmtId="0" fontId="4" fillId="2" borderId="0" xfId="0" applyFont="1" applyFill="1"/>
    <xf numFmtId="0" fontId="3" fillId="8" borderId="0" xfId="0" applyFont="1" applyFill="1"/>
    <xf numFmtId="0" fontId="1" fillId="8" borderId="0" xfId="0" applyFont="1" applyFill="1"/>
    <xf numFmtId="44" fontId="0" fillId="8" borderId="0" xfId="0" applyNumberFormat="1" applyFill="1"/>
    <xf numFmtId="0" fontId="0" fillId="7" borderId="0" xfId="0" applyFill="1"/>
    <xf numFmtId="0" fontId="3" fillId="3" borderId="0" xfId="0" applyFont="1" applyFill="1"/>
    <xf numFmtId="0" fontId="2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1" fillId="8" borderId="0" xfId="0" applyFont="1" applyFill="1" applyBorder="1"/>
    <xf numFmtId="42" fontId="0" fillId="3" borderId="0" xfId="0" applyNumberFormat="1" applyFill="1"/>
    <xf numFmtId="0" fontId="0" fillId="3" borderId="0" xfId="0" applyFill="1"/>
    <xf numFmtId="0" fontId="6" fillId="0" borderId="0" xfId="0" applyFont="1"/>
    <xf numFmtId="0" fontId="6" fillId="9" borderId="0" xfId="0" applyFont="1" applyFill="1"/>
    <xf numFmtId="0" fontId="5" fillId="8" borderId="0" xfId="0" applyFont="1" applyFill="1"/>
    <xf numFmtId="0" fontId="3" fillId="9" borderId="0" xfId="0" applyFont="1" applyFill="1"/>
    <xf numFmtId="3" fontId="3" fillId="9" borderId="0" xfId="0" applyNumberFormat="1" applyFont="1" applyFill="1"/>
    <xf numFmtId="0" fontId="6" fillId="11" borderId="0" xfId="0" applyFont="1" applyFill="1"/>
    <xf numFmtId="164" fontId="0" fillId="0" borderId="0" xfId="0" applyNumberFormat="1"/>
    <xf numFmtId="0" fontId="0" fillId="11" borderId="0" xfId="0" applyFill="1"/>
    <xf numFmtId="0" fontId="1" fillId="10" borderId="0" xfId="0" applyFont="1" applyFill="1"/>
    <xf numFmtId="3" fontId="6" fillId="2" borderId="0" xfId="0" applyNumberFormat="1" applyFont="1" applyFill="1" applyAlignment="1">
      <alignment horizontal="right" vertical="top"/>
    </xf>
    <xf numFmtId="0" fontId="7" fillId="8" borderId="0" xfId="0" applyFont="1" applyFill="1"/>
    <xf numFmtId="165" fontId="0" fillId="0" borderId="0" xfId="0" applyNumberFormat="1"/>
    <xf numFmtId="0" fontId="0" fillId="12" borderId="0" xfId="0" applyFill="1"/>
    <xf numFmtId="164" fontId="0" fillId="2" borderId="0" xfId="0" applyNumberFormat="1" applyFill="1"/>
    <xf numFmtId="0" fontId="1" fillId="11" borderId="0" xfId="0" applyFont="1" applyFill="1"/>
    <xf numFmtId="164" fontId="0" fillId="5" borderId="1" xfId="0" applyNumberFormat="1" applyFill="1" applyBorder="1"/>
    <xf numFmtId="0" fontId="0" fillId="0" borderId="0" xfId="0" applyAlignment="1">
      <alignment wrapText="1"/>
    </xf>
    <xf numFmtId="3" fontId="8" fillId="0" borderId="0" xfId="0" applyNumberFormat="1" applyFont="1"/>
    <xf numFmtId="0" fontId="9" fillId="0" borderId="0" xfId="0" applyFont="1"/>
    <xf numFmtId="3" fontId="6" fillId="0" borderId="0" xfId="0" applyNumberFormat="1" applyFont="1"/>
    <xf numFmtId="2" fontId="6" fillId="0" borderId="0" xfId="0" applyNumberFormat="1" applyFont="1"/>
    <xf numFmtId="166" fontId="6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1" fontId="6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1" fillId="0" borderId="0" xfId="0" applyFont="1"/>
    <xf numFmtId="164" fontId="2" fillId="0" borderId="0" xfId="0" applyNumberFormat="1" applyFont="1"/>
    <xf numFmtId="164" fontId="0" fillId="0" borderId="0" xfId="0" applyNumberFormat="1" applyFont="1"/>
    <xf numFmtId="1" fontId="2" fillId="0" borderId="0" xfId="0" applyNumberFormat="1" applyFont="1"/>
    <xf numFmtId="164" fontId="5" fillId="0" borderId="0" xfId="0" applyNumberFormat="1" applyFont="1"/>
    <xf numFmtId="0" fontId="12" fillId="8" borderId="0" xfId="0" applyFont="1" applyFill="1"/>
    <xf numFmtId="3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opLeftCell="A41" workbookViewId="0">
      <selection activeCell="A56" sqref="A56"/>
    </sheetView>
  </sheetViews>
  <sheetFormatPr defaultColWidth="8.86328125" defaultRowHeight="14.25" x14ac:dyDescent="0.45"/>
  <cols>
    <col min="1" max="1" width="60" customWidth="1"/>
    <col min="2" max="2" width="23.796875" customWidth="1"/>
    <col min="3" max="3" width="12" customWidth="1"/>
    <col min="4" max="4" width="14.265625" customWidth="1"/>
    <col min="5" max="5" width="13.73046875" customWidth="1"/>
    <col min="6" max="6" width="14.73046875" customWidth="1"/>
    <col min="7" max="7" width="15.73046875" customWidth="1"/>
    <col min="8" max="9" width="15.1328125" customWidth="1"/>
    <col min="10" max="10" width="16.86328125" customWidth="1"/>
    <col min="11" max="12" width="15.73046875" customWidth="1"/>
    <col min="13" max="13" width="14.265625" customWidth="1"/>
    <col min="14" max="14" width="14.86328125" customWidth="1"/>
    <col min="15" max="15" width="14.3984375" customWidth="1"/>
    <col min="16" max="16" width="14" customWidth="1"/>
    <col min="17" max="17" width="13.3984375" customWidth="1"/>
    <col min="18" max="18" width="14.265625" customWidth="1"/>
    <col min="19" max="19" width="15.1328125" customWidth="1"/>
    <col min="20" max="20" width="17.265625" customWidth="1"/>
    <col min="24" max="24" width="11.796875" bestFit="1" customWidth="1"/>
  </cols>
  <sheetData>
    <row r="1" spans="1:20" s="14" customFormat="1" x14ac:dyDescent="0.45"/>
    <row r="2" spans="1:20" s="17" customFormat="1" ht="13.15" x14ac:dyDescent="0.4">
      <c r="A2" s="17" t="s">
        <v>58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  <c r="G2" s="17">
        <v>2021</v>
      </c>
      <c r="H2" s="17">
        <v>2022</v>
      </c>
      <c r="I2" s="17">
        <v>2023</v>
      </c>
      <c r="J2" s="17">
        <v>2024</v>
      </c>
      <c r="K2" s="17">
        <v>2025</v>
      </c>
      <c r="L2" s="17">
        <v>2026</v>
      </c>
      <c r="M2" s="17">
        <v>2027</v>
      </c>
      <c r="N2" s="17">
        <v>2028</v>
      </c>
      <c r="O2" s="17">
        <v>2029</v>
      </c>
      <c r="P2" s="17">
        <v>2030</v>
      </c>
      <c r="Q2" s="17">
        <v>2031</v>
      </c>
      <c r="R2" s="17">
        <v>2032</v>
      </c>
      <c r="S2" s="17">
        <v>2033</v>
      </c>
      <c r="T2" s="17">
        <v>2034</v>
      </c>
    </row>
    <row r="3" spans="1:20" s="17" customFormat="1" ht="13.15" x14ac:dyDescent="0.4">
      <c r="A3" s="37" t="s">
        <v>130</v>
      </c>
    </row>
    <row r="4" spans="1:20" s="17" customFormat="1" ht="13.15" x14ac:dyDescent="0.4">
      <c r="A4" s="35" t="s">
        <v>119</v>
      </c>
      <c r="B4" s="54">
        <v>1000</v>
      </c>
      <c r="C4" s="54">
        <v>1000</v>
      </c>
      <c r="D4" s="54">
        <v>1000</v>
      </c>
      <c r="E4" s="54">
        <v>1000</v>
      </c>
      <c r="F4" s="54">
        <v>1000</v>
      </c>
      <c r="G4" s="54">
        <v>1000</v>
      </c>
      <c r="H4" s="54">
        <v>1000</v>
      </c>
      <c r="I4" s="54">
        <v>1000</v>
      </c>
      <c r="J4" s="54">
        <v>1000</v>
      </c>
      <c r="K4" s="54">
        <v>1000</v>
      </c>
      <c r="L4" s="54">
        <v>1000</v>
      </c>
      <c r="M4" s="54">
        <v>1000</v>
      </c>
      <c r="N4" s="54">
        <v>1000</v>
      </c>
      <c r="O4" s="54">
        <v>1000</v>
      </c>
      <c r="P4" s="54">
        <v>1000</v>
      </c>
      <c r="Q4" s="54">
        <v>1000</v>
      </c>
      <c r="R4" s="54">
        <v>1000</v>
      </c>
      <c r="S4" s="54">
        <v>1000</v>
      </c>
      <c r="T4" s="54">
        <v>1000</v>
      </c>
    </row>
    <row r="5" spans="1:20" s="17" customFormat="1" ht="13.15" x14ac:dyDescent="0.4">
      <c r="A5" s="35" t="s">
        <v>157</v>
      </c>
      <c r="B5" s="54">
        <v>112500</v>
      </c>
      <c r="C5" s="54">
        <v>112500</v>
      </c>
      <c r="D5" s="54">
        <v>112500</v>
      </c>
      <c r="E5" s="54">
        <v>112500</v>
      </c>
      <c r="F5" s="54">
        <v>112500</v>
      </c>
      <c r="G5" s="54">
        <v>112500</v>
      </c>
      <c r="H5" s="54">
        <v>112500</v>
      </c>
      <c r="I5" s="54">
        <v>112500</v>
      </c>
      <c r="J5" s="54">
        <v>112500</v>
      </c>
      <c r="K5" s="54">
        <v>112500</v>
      </c>
      <c r="L5" s="54">
        <v>112500</v>
      </c>
      <c r="M5" s="54">
        <v>112500</v>
      </c>
      <c r="N5" s="54">
        <v>112500</v>
      </c>
      <c r="O5" s="54">
        <v>112500</v>
      </c>
      <c r="P5" s="54">
        <v>112500</v>
      </c>
      <c r="Q5" s="54">
        <v>112500</v>
      </c>
      <c r="R5" s="54">
        <v>112500</v>
      </c>
      <c r="S5" s="54">
        <v>112500</v>
      </c>
      <c r="T5" s="54">
        <v>112500</v>
      </c>
    </row>
    <row r="6" spans="1:20" s="17" customFormat="1" ht="13.15" x14ac:dyDescent="0.4">
      <c r="A6" s="35" t="s">
        <v>125</v>
      </c>
      <c r="B6" s="55">
        <v>0.8</v>
      </c>
      <c r="C6" s="55">
        <v>0.8</v>
      </c>
      <c r="D6" s="55">
        <v>0.8</v>
      </c>
      <c r="E6" s="55">
        <v>0.8</v>
      </c>
      <c r="F6" s="55">
        <v>0.8</v>
      </c>
      <c r="G6" s="55">
        <v>0.8</v>
      </c>
      <c r="H6" s="55">
        <v>0.8</v>
      </c>
      <c r="I6" s="55">
        <v>0.8</v>
      </c>
      <c r="J6" s="55">
        <v>0.8</v>
      </c>
      <c r="K6" s="55">
        <v>0.8</v>
      </c>
      <c r="L6" s="55">
        <v>0.8</v>
      </c>
      <c r="M6" s="55">
        <v>0.8</v>
      </c>
      <c r="N6" s="55">
        <v>0.8</v>
      </c>
      <c r="O6" s="55">
        <v>0.8</v>
      </c>
      <c r="P6" s="55">
        <v>0.8</v>
      </c>
      <c r="Q6" s="55">
        <v>0.8</v>
      </c>
      <c r="R6" s="55">
        <v>0.8</v>
      </c>
      <c r="S6" s="55">
        <v>0.8</v>
      </c>
      <c r="T6" s="55">
        <v>0.8</v>
      </c>
    </row>
    <row r="7" spans="1:20" s="17" customFormat="1" ht="13.15" x14ac:dyDescent="0.4">
      <c r="A7" s="35" t="s">
        <v>124</v>
      </c>
      <c r="B7" s="55">
        <v>0</v>
      </c>
      <c r="C7" s="55">
        <v>0</v>
      </c>
      <c r="D7" s="56">
        <v>0.2</v>
      </c>
      <c r="E7" s="56">
        <v>0.4</v>
      </c>
      <c r="F7" s="56">
        <v>0.6</v>
      </c>
      <c r="G7" s="56">
        <v>0.7</v>
      </c>
      <c r="H7" s="56">
        <v>0.8</v>
      </c>
      <c r="I7" s="56">
        <v>0.8</v>
      </c>
      <c r="J7" s="56">
        <v>0.8</v>
      </c>
      <c r="K7" s="56">
        <v>0.8</v>
      </c>
      <c r="L7" s="56">
        <v>0.8</v>
      </c>
      <c r="M7" s="56">
        <v>0.8</v>
      </c>
      <c r="N7" s="56">
        <v>0.8</v>
      </c>
      <c r="O7" s="56">
        <v>0.8</v>
      </c>
      <c r="P7" s="56">
        <v>0.8</v>
      </c>
      <c r="Q7" s="56">
        <v>0.8</v>
      </c>
      <c r="R7" s="56">
        <v>0.8</v>
      </c>
      <c r="S7" s="56">
        <v>0.8</v>
      </c>
      <c r="T7" s="56">
        <f>S7*0.98</f>
        <v>0.78400000000000003</v>
      </c>
    </row>
    <row r="8" spans="1:20" s="58" customFormat="1" ht="13.15" x14ac:dyDescent="0.4">
      <c r="A8" s="57" t="s">
        <v>120</v>
      </c>
      <c r="B8" s="57">
        <f>(B4*B5*B6*B7)</f>
        <v>0</v>
      </c>
      <c r="C8" s="57">
        <f t="shared" ref="C8:H8" si="0">(C4*C5*C6*C7)</f>
        <v>0</v>
      </c>
      <c r="D8" s="57">
        <f t="shared" si="0"/>
        <v>18000000</v>
      </c>
      <c r="E8" s="57">
        <f t="shared" si="0"/>
        <v>36000000</v>
      </c>
      <c r="F8" s="57">
        <f t="shared" si="0"/>
        <v>54000000</v>
      </c>
      <c r="G8" s="57">
        <f t="shared" si="0"/>
        <v>62999999.999999993</v>
      </c>
      <c r="H8" s="57">
        <f t="shared" si="0"/>
        <v>72000000</v>
      </c>
      <c r="I8" s="57">
        <f>(I4*I5*I6*I7)</f>
        <v>72000000</v>
      </c>
      <c r="J8" s="57">
        <f>(J4*J5*J6*J7)</f>
        <v>72000000</v>
      </c>
      <c r="K8" s="57">
        <f>(K4*K5*K6*K7)</f>
        <v>72000000</v>
      </c>
      <c r="L8" s="57">
        <f>(L4*L5*L6*L7)</f>
        <v>72000000</v>
      </c>
      <c r="M8" s="57">
        <f t="shared" ref="M8" si="1">(M4*M5*M6*M7)</f>
        <v>72000000</v>
      </c>
      <c r="N8" s="57">
        <f t="shared" ref="N8" si="2">(N4*N5*N6*N7)</f>
        <v>72000000</v>
      </c>
      <c r="O8" s="57">
        <f t="shared" ref="O8" si="3">(O4*O5*O6*O7)</f>
        <v>72000000</v>
      </c>
      <c r="P8" s="57">
        <f t="shared" ref="P8" si="4">(P4*P5*P6*P7)</f>
        <v>72000000</v>
      </c>
      <c r="Q8" s="57">
        <f t="shared" ref="Q8" si="5">(Q4*Q5*Q6*Q7)</f>
        <v>72000000</v>
      </c>
      <c r="R8" s="57">
        <f>(R4*R5*R6*R7)</f>
        <v>72000000</v>
      </c>
      <c r="S8" s="57">
        <f t="shared" ref="S8" si="6">(S4*S5*S6*S7)</f>
        <v>72000000</v>
      </c>
      <c r="T8" s="57">
        <f t="shared" ref="T8" si="7">(T4*T5*T6*T7)</f>
        <v>70560000</v>
      </c>
    </row>
    <row r="9" spans="1:20" s="58" customFormat="1" ht="13.15" x14ac:dyDescent="0.4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7" customFormat="1" ht="13.15" x14ac:dyDescent="0.4">
      <c r="A10" s="37" t="s">
        <v>126</v>
      </c>
    </row>
    <row r="11" spans="1:20" s="17" customFormat="1" ht="13.15" x14ac:dyDescent="0.4">
      <c r="A11" s="35" t="s">
        <v>119</v>
      </c>
      <c r="B11" s="54">
        <v>1000</v>
      </c>
      <c r="C11" s="54">
        <v>1000</v>
      </c>
      <c r="D11" s="54">
        <v>1000</v>
      </c>
      <c r="E11" s="54">
        <v>1000</v>
      </c>
      <c r="F11" s="54">
        <v>1000</v>
      </c>
      <c r="G11" s="54">
        <v>1000</v>
      </c>
      <c r="H11" s="54">
        <v>1000</v>
      </c>
      <c r="I11" s="54">
        <v>1000</v>
      </c>
      <c r="J11" s="54">
        <v>1000</v>
      </c>
      <c r="K11" s="54">
        <v>1000</v>
      </c>
      <c r="L11" s="54">
        <v>1000</v>
      </c>
      <c r="M11" s="54">
        <v>1000</v>
      </c>
      <c r="N11" s="54">
        <v>1000</v>
      </c>
      <c r="O11" s="54">
        <v>1000</v>
      </c>
      <c r="P11" s="54">
        <v>1000</v>
      </c>
      <c r="Q11" s="54">
        <v>1000</v>
      </c>
      <c r="R11" s="54">
        <v>1000</v>
      </c>
      <c r="S11" s="54">
        <v>1000</v>
      </c>
      <c r="T11" s="54">
        <v>1000</v>
      </c>
    </row>
    <row r="12" spans="1:20" s="17" customFormat="1" ht="13.15" x14ac:dyDescent="0.4">
      <c r="A12" s="35" t="s">
        <v>121</v>
      </c>
      <c r="B12" s="54">
        <v>13000</v>
      </c>
      <c r="C12" s="54">
        <v>13000</v>
      </c>
      <c r="D12" s="54">
        <v>13000</v>
      </c>
      <c r="E12" s="54">
        <v>13000</v>
      </c>
      <c r="F12" s="54">
        <v>13000</v>
      </c>
      <c r="G12" s="54">
        <v>13000</v>
      </c>
      <c r="H12" s="54">
        <v>13000</v>
      </c>
      <c r="I12" s="54">
        <v>13000</v>
      </c>
      <c r="J12" s="54">
        <v>13000</v>
      </c>
      <c r="K12" s="54">
        <v>13000</v>
      </c>
      <c r="L12" s="54">
        <v>13000</v>
      </c>
      <c r="M12" s="54">
        <v>13000</v>
      </c>
      <c r="N12" s="54">
        <v>13000</v>
      </c>
      <c r="O12" s="54">
        <v>13000</v>
      </c>
      <c r="P12" s="54">
        <v>13000</v>
      </c>
      <c r="Q12" s="54">
        <v>13000</v>
      </c>
      <c r="R12" s="54">
        <v>13000</v>
      </c>
      <c r="S12" s="54">
        <v>13000</v>
      </c>
      <c r="T12" s="54">
        <v>13000</v>
      </c>
    </row>
    <row r="13" spans="1:20" s="17" customFormat="1" ht="13.15" x14ac:dyDescent="0.4">
      <c r="A13" s="35" t="s">
        <v>125</v>
      </c>
      <c r="B13" s="55">
        <v>0.8</v>
      </c>
      <c r="C13" s="55">
        <v>0.8</v>
      </c>
      <c r="D13" s="55">
        <v>0.8</v>
      </c>
      <c r="E13" s="55">
        <v>0.8</v>
      </c>
      <c r="F13" s="55">
        <v>0.8</v>
      </c>
      <c r="G13" s="55">
        <v>0.8</v>
      </c>
      <c r="H13" s="55">
        <v>0.8</v>
      </c>
      <c r="I13" s="55">
        <v>0.8</v>
      </c>
      <c r="J13" s="55">
        <v>0.8</v>
      </c>
      <c r="K13" s="55">
        <v>0.8</v>
      </c>
      <c r="L13" s="55">
        <v>0.8</v>
      </c>
      <c r="M13" s="55">
        <v>0.8</v>
      </c>
      <c r="N13" s="55">
        <v>0.8</v>
      </c>
      <c r="O13" s="55">
        <v>0.8</v>
      </c>
      <c r="P13" s="55">
        <v>0.8</v>
      </c>
      <c r="Q13" s="55">
        <v>0.8</v>
      </c>
      <c r="R13" s="55">
        <v>0.8</v>
      </c>
      <c r="S13" s="55">
        <v>0.8</v>
      </c>
      <c r="T13" s="55">
        <v>0.8</v>
      </c>
    </row>
    <row r="14" spans="1:20" s="17" customFormat="1" ht="13.15" x14ac:dyDescent="0.4">
      <c r="A14" s="35" t="s">
        <v>124</v>
      </c>
      <c r="B14" s="55">
        <v>0</v>
      </c>
      <c r="C14" s="55">
        <v>0</v>
      </c>
      <c r="D14" s="56">
        <v>0.2</v>
      </c>
      <c r="E14" s="56">
        <v>0.4</v>
      </c>
      <c r="F14" s="56">
        <v>0.6</v>
      </c>
      <c r="G14" s="56">
        <v>0.7</v>
      </c>
      <c r="H14" s="56">
        <v>0.8</v>
      </c>
      <c r="I14" s="56">
        <v>0.8</v>
      </c>
      <c r="J14" s="56">
        <v>0.8</v>
      </c>
      <c r="K14" s="56">
        <v>0.8</v>
      </c>
      <c r="L14" s="56">
        <v>0.8</v>
      </c>
      <c r="M14" s="56">
        <v>0.8</v>
      </c>
      <c r="N14" s="56">
        <v>0.8</v>
      </c>
      <c r="O14" s="56">
        <v>0.8</v>
      </c>
      <c r="P14" s="56">
        <v>0.8</v>
      </c>
      <c r="Q14" s="56">
        <v>0.8</v>
      </c>
      <c r="R14" s="56">
        <v>0.8</v>
      </c>
      <c r="S14" s="56">
        <v>0.8</v>
      </c>
      <c r="T14" s="56">
        <v>0.78400000000000003</v>
      </c>
    </row>
    <row r="15" spans="1:20" s="17" customFormat="1" ht="13.15" x14ac:dyDescent="0.4">
      <c r="A15" s="35" t="s">
        <v>135</v>
      </c>
      <c r="B15" s="55">
        <f>B11*B12*B13*B14</f>
        <v>0</v>
      </c>
      <c r="C15" s="55">
        <f t="shared" ref="C15:D15" si="8">C11*C12*C13*C14</f>
        <v>0</v>
      </c>
      <c r="D15" s="59">
        <f t="shared" si="8"/>
        <v>2080000</v>
      </c>
      <c r="E15" s="59">
        <f t="shared" ref="E15" si="9">E11*E12*E13*E14</f>
        <v>4160000</v>
      </c>
      <c r="F15" s="59">
        <f t="shared" ref="F15" si="10">F11*F12*F13*F14</f>
        <v>6240000</v>
      </c>
      <c r="G15" s="59">
        <f t="shared" ref="G15" si="11">G11*G12*G13*G14</f>
        <v>7280000</v>
      </c>
      <c r="H15" s="59">
        <f t="shared" ref="H15" si="12">H11*H12*H13*H14</f>
        <v>8320000</v>
      </c>
      <c r="I15" s="59">
        <f t="shared" ref="I15" si="13">I11*I12*I13*I14</f>
        <v>8320000</v>
      </c>
      <c r="J15" s="59">
        <f t="shared" ref="J15" si="14">J11*J12*J13*J14</f>
        <v>8320000</v>
      </c>
      <c r="K15" s="59">
        <f t="shared" ref="K15" si="15">K11*K12*K13*K14</f>
        <v>8320000</v>
      </c>
      <c r="L15" s="59">
        <f t="shared" ref="L15" si="16">L11*L12*L13*L14</f>
        <v>8320000</v>
      </c>
      <c r="M15" s="59">
        <f t="shared" ref="M15" si="17">M11*M12*M13*M14</f>
        <v>8320000</v>
      </c>
      <c r="N15" s="59">
        <f t="shared" ref="N15" si="18">N11*N12*N13*N14</f>
        <v>8320000</v>
      </c>
      <c r="O15" s="59">
        <f t="shared" ref="O15" si="19">O11*O12*O13*O14</f>
        <v>8320000</v>
      </c>
      <c r="P15" s="59">
        <f t="shared" ref="P15" si="20">P11*P12*P13*P14</f>
        <v>8320000</v>
      </c>
      <c r="Q15" s="59">
        <f t="shared" ref="Q15" si="21">Q11*Q12*Q13*Q14</f>
        <v>8320000</v>
      </c>
      <c r="R15" s="59">
        <f t="shared" ref="R15" si="22">R11*R12*R13*R14</f>
        <v>8320000</v>
      </c>
      <c r="S15" s="59">
        <f t="shared" ref="S15" si="23">S11*S12*S13*S14</f>
        <v>8320000</v>
      </c>
      <c r="T15" s="59">
        <f t="shared" ref="T15" si="24">T11*T12*T13*T14</f>
        <v>8153600</v>
      </c>
    </row>
    <row r="16" spans="1:20" s="17" customFormat="1" ht="13.15" x14ac:dyDescent="0.4">
      <c r="A16" s="35" t="s">
        <v>122</v>
      </c>
      <c r="B16" s="55">
        <v>0</v>
      </c>
      <c r="C16" s="55">
        <v>0</v>
      </c>
      <c r="D16" s="56">
        <v>0</v>
      </c>
      <c r="E16" s="56">
        <v>0.08</v>
      </c>
      <c r="F16" s="56">
        <v>0.1</v>
      </c>
      <c r="G16" s="56">
        <v>0.12</v>
      </c>
      <c r="H16" s="56">
        <v>0.14000000000000001</v>
      </c>
      <c r="I16" s="56">
        <v>0.16</v>
      </c>
      <c r="J16" s="56">
        <v>0.18</v>
      </c>
      <c r="K16" s="56">
        <v>0.18</v>
      </c>
      <c r="L16" s="56">
        <v>0.18</v>
      </c>
      <c r="M16" s="56">
        <v>0.18</v>
      </c>
      <c r="N16" s="56">
        <v>0.18</v>
      </c>
      <c r="O16" s="56">
        <v>0.18</v>
      </c>
      <c r="P16" s="56">
        <v>0.18</v>
      </c>
      <c r="Q16" s="56">
        <v>0.18</v>
      </c>
      <c r="R16" s="56">
        <v>0.18</v>
      </c>
      <c r="S16" s="56">
        <v>0.18</v>
      </c>
      <c r="T16" s="56">
        <v>0.18</v>
      </c>
    </row>
    <row r="17" spans="1:24" s="58" customFormat="1" ht="13.15" x14ac:dyDescent="0.4">
      <c r="A17" s="57" t="s">
        <v>136</v>
      </c>
      <c r="B17" s="57">
        <f>(B15*B16)</f>
        <v>0</v>
      </c>
      <c r="C17" s="57">
        <f t="shared" ref="C17:I17" si="25">(C15*C16)</f>
        <v>0</v>
      </c>
      <c r="D17" s="57">
        <f t="shared" si="25"/>
        <v>0</v>
      </c>
      <c r="E17" s="57">
        <f t="shared" si="25"/>
        <v>332800</v>
      </c>
      <c r="F17" s="57">
        <f t="shared" si="25"/>
        <v>624000</v>
      </c>
      <c r="G17" s="57">
        <f t="shared" si="25"/>
        <v>873600</v>
      </c>
      <c r="H17" s="57">
        <f t="shared" si="25"/>
        <v>1164800</v>
      </c>
      <c r="I17" s="57">
        <f t="shared" si="25"/>
        <v>1331200</v>
      </c>
      <c r="J17" s="57">
        <f>(J15*J16)</f>
        <v>1497600</v>
      </c>
      <c r="K17" s="57">
        <f t="shared" ref="K17" si="26">(K15*K16)</f>
        <v>1497600</v>
      </c>
      <c r="L17" s="57">
        <f t="shared" ref="L17" si="27">(L15*L16)</f>
        <v>1497600</v>
      </c>
      <c r="M17" s="57">
        <f t="shared" ref="M17" si="28">(M15*M16)</f>
        <v>1497600</v>
      </c>
      <c r="N17" s="57">
        <f t="shared" ref="N17" si="29">(N15*N16)</f>
        <v>1497600</v>
      </c>
      <c r="O17" s="57">
        <f t="shared" ref="O17" si="30">(O15*O16)</f>
        <v>1497600</v>
      </c>
      <c r="P17" s="57">
        <f>(P15*P16)</f>
        <v>1497600</v>
      </c>
      <c r="Q17" s="57">
        <f t="shared" ref="Q17" si="31">(Q15*Q16)</f>
        <v>1497600</v>
      </c>
      <c r="R17" s="57">
        <f t="shared" ref="R17" si="32">(R15*R16)</f>
        <v>1497600</v>
      </c>
      <c r="S17" s="57">
        <f t="shared" ref="S17" si="33">(S15*S16)</f>
        <v>1497600</v>
      </c>
      <c r="T17" s="57">
        <f t="shared" ref="T17" si="34">(T15*T16)</f>
        <v>1467648</v>
      </c>
    </row>
    <row r="19" spans="1:24" s="17" customFormat="1" ht="13.15" x14ac:dyDescent="0.4">
      <c r="A19" s="37" t="s">
        <v>140</v>
      </c>
      <c r="X19" s="68">
        <f>S8+S17+S24+S31+S40+S49</f>
        <v>766880920</v>
      </c>
    </row>
    <row r="20" spans="1:24" s="17" customFormat="1" ht="13.15" x14ac:dyDescent="0.4">
      <c r="A20" s="35" t="s">
        <v>119</v>
      </c>
      <c r="B20" s="54">
        <v>500</v>
      </c>
      <c r="C20" s="54">
        <v>500</v>
      </c>
      <c r="D20" s="54">
        <v>500</v>
      </c>
      <c r="E20" s="54">
        <v>500</v>
      </c>
      <c r="F20" s="54">
        <v>500</v>
      </c>
      <c r="G20" s="54">
        <v>500</v>
      </c>
      <c r="H20" s="54">
        <v>500</v>
      </c>
      <c r="I20" s="54">
        <v>500</v>
      </c>
      <c r="J20" s="54">
        <v>500</v>
      </c>
      <c r="K20" s="54">
        <v>500</v>
      </c>
      <c r="L20" s="54">
        <v>500</v>
      </c>
      <c r="M20" s="54">
        <v>500</v>
      </c>
      <c r="N20" s="54">
        <v>500</v>
      </c>
      <c r="O20" s="54">
        <v>500</v>
      </c>
      <c r="P20" s="54">
        <v>500</v>
      </c>
      <c r="Q20" s="54">
        <v>500</v>
      </c>
      <c r="R20" s="54">
        <v>500</v>
      </c>
      <c r="S20" s="54">
        <v>500</v>
      </c>
      <c r="T20" s="54">
        <v>500</v>
      </c>
    </row>
    <row r="21" spans="1:24" s="17" customFormat="1" ht="13.15" x14ac:dyDescent="0.4">
      <c r="A21" s="35" t="s">
        <v>123</v>
      </c>
      <c r="B21" s="54">
        <v>800000</v>
      </c>
      <c r="C21" s="54">
        <v>800000</v>
      </c>
      <c r="D21" s="54">
        <v>800000</v>
      </c>
      <c r="E21" s="54">
        <v>800000</v>
      </c>
      <c r="F21" s="54">
        <v>800000</v>
      </c>
      <c r="G21" s="54">
        <v>800000</v>
      </c>
      <c r="H21" s="54">
        <v>800000</v>
      </c>
      <c r="I21" s="54">
        <v>800000</v>
      </c>
      <c r="J21" s="54">
        <v>800000</v>
      </c>
      <c r="K21" s="54">
        <v>800000</v>
      </c>
      <c r="L21" s="54">
        <v>800000</v>
      </c>
      <c r="M21" s="54">
        <v>800000</v>
      </c>
      <c r="N21" s="54">
        <v>800000</v>
      </c>
      <c r="O21" s="54">
        <v>800000</v>
      </c>
      <c r="P21" s="54">
        <v>800000</v>
      </c>
      <c r="Q21" s="54">
        <v>800000</v>
      </c>
      <c r="R21" s="54">
        <v>800000</v>
      </c>
      <c r="S21" s="54">
        <v>800000</v>
      </c>
      <c r="T21" s="54">
        <v>800000</v>
      </c>
    </row>
    <row r="22" spans="1:24" s="17" customFormat="1" ht="13.15" x14ac:dyDescent="0.4">
      <c r="A22" s="35" t="s">
        <v>125</v>
      </c>
      <c r="B22" s="55">
        <v>0.8</v>
      </c>
      <c r="C22" s="55">
        <v>0.8</v>
      </c>
      <c r="D22" s="55">
        <v>0.8</v>
      </c>
      <c r="E22" s="55">
        <v>0.8</v>
      </c>
      <c r="F22" s="55">
        <v>0.8</v>
      </c>
      <c r="G22" s="55">
        <v>0.8</v>
      </c>
      <c r="H22" s="55">
        <v>0.8</v>
      </c>
      <c r="I22" s="55">
        <v>0.8</v>
      </c>
      <c r="J22" s="55">
        <v>0.8</v>
      </c>
      <c r="K22" s="55">
        <v>0.8</v>
      </c>
      <c r="L22" s="55">
        <v>0.8</v>
      </c>
      <c r="M22" s="55">
        <v>0.8</v>
      </c>
      <c r="N22" s="55">
        <v>0.8</v>
      </c>
      <c r="O22" s="55">
        <v>0.8</v>
      </c>
      <c r="P22" s="55">
        <v>0.8</v>
      </c>
      <c r="Q22" s="55">
        <v>0.8</v>
      </c>
      <c r="R22" s="55">
        <v>0.8</v>
      </c>
      <c r="S22" s="55">
        <v>0.8</v>
      </c>
      <c r="T22" s="55">
        <v>0.8</v>
      </c>
    </row>
    <row r="23" spans="1:24" s="17" customFormat="1" ht="13.15" x14ac:dyDescent="0.4">
      <c r="A23" s="35" t="s">
        <v>124</v>
      </c>
      <c r="B23" s="55">
        <v>0</v>
      </c>
      <c r="C23" s="55">
        <v>0</v>
      </c>
      <c r="D23" s="56">
        <v>0</v>
      </c>
      <c r="E23" s="56">
        <v>0</v>
      </c>
      <c r="F23" s="56">
        <v>0.1</v>
      </c>
      <c r="G23" s="56">
        <v>0.2</v>
      </c>
      <c r="H23" s="56">
        <v>0.3</v>
      </c>
      <c r="I23" s="56">
        <v>0.4</v>
      </c>
      <c r="J23" s="56">
        <v>0.5</v>
      </c>
      <c r="K23" s="56">
        <v>0.6</v>
      </c>
      <c r="L23" s="56">
        <v>0.64</v>
      </c>
      <c r="M23" s="56">
        <v>0.68</v>
      </c>
      <c r="N23" s="56">
        <v>0.72</v>
      </c>
      <c r="O23" s="56">
        <v>0.76</v>
      </c>
      <c r="P23" s="56">
        <v>0.8</v>
      </c>
      <c r="Q23" s="56">
        <v>0.8</v>
      </c>
      <c r="R23" s="56">
        <v>0.8</v>
      </c>
      <c r="S23" s="56">
        <v>0.8</v>
      </c>
      <c r="T23" s="56">
        <f>S23*0.98</f>
        <v>0.78400000000000003</v>
      </c>
    </row>
    <row r="24" spans="1:24" s="64" customFormat="1" ht="13.15" x14ac:dyDescent="0.4">
      <c r="A24" s="60" t="s">
        <v>127</v>
      </c>
      <c r="B24" s="61">
        <f>B20*B21*B22*B23</f>
        <v>0</v>
      </c>
      <c r="C24" s="61">
        <f t="shared" ref="C24" si="35">C20*C21*C22*C23</f>
        <v>0</v>
      </c>
      <c r="D24" s="62">
        <f t="shared" ref="D24" si="36">D20*D21*D22*D23</f>
        <v>0</v>
      </c>
      <c r="E24" s="62">
        <f t="shared" ref="E24" si="37">E20*E21*E22*E23</f>
        <v>0</v>
      </c>
      <c r="F24" s="62">
        <f t="shared" ref="F24" si="38">F20*F21*F22*F23</f>
        <v>32000000</v>
      </c>
      <c r="G24" s="62">
        <f t="shared" ref="G24" si="39">G20*G21*G22*G23</f>
        <v>64000000</v>
      </c>
      <c r="H24" s="62">
        <f t="shared" ref="H24" si="40">H20*H21*H22*H23</f>
        <v>96000000</v>
      </c>
      <c r="I24" s="62">
        <f t="shared" ref="I24" si="41">I20*I21*I22*I23</f>
        <v>128000000</v>
      </c>
      <c r="J24" s="62">
        <f t="shared" ref="J24" si="42">J20*J21*J22*J23</f>
        <v>160000000</v>
      </c>
      <c r="K24" s="62">
        <f t="shared" ref="K24" si="43">K20*K21*K22*K23</f>
        <v>192000000</v>
      </c>
      <c r="L24" s="62">
        <f t="shared" ref="L24" si="44">L20*L21*L22*L23</f>
        <v>204800000</v>
      </c>
      <c r="M24" s="62">
        <f t="shared" ref="M24" si="45">M20*M21*M22*M23</f>
        <v>217600000.00000003</v>
      </c>
      <c r="N24" s="62">
        <f t="shared" ref="N24" si="46">N20*N21*N22*N23</f>
        <v>230400000</v>
      </c>
      <c r="O24" s="62">
        <f t="shared" ref="O24" si="47">O20*O21*O22*O23</f>
        <v>243200000</v>
      </c>
      <c r="P24" s="62">
        <f t="shared" ref="P24" si="48">P20*P21*P22*P23</f>
        <v>256000000</v>
      </c>
      <c r="Q24" s="62">
        <f t="shared" ref="Q24" si="49">Q20*Q21*Q22*Q23</f>
        <v>256000000</v>
      </c>
      <c r="R24" s="62">
        <f t="shared" ref="R24" si="50">R20*R21*R22*R23</f>
        <v>256000000</v>
      </c>
      <c r="S24" s="63">
        <f t="shared" ref="S24" si="51">S20*S21*S22*S23</f>
        <v>256000000</v>
      </c>
      <c r="T24" s="62">
        <f t="shared" ref="T24" si="52">T20*T21*T22*T23</f>
        <v>250880000</v>
      </c>
    </row>
    <row r="25" spans="1:24" x14ac:dyDescent="0.45">
      <c r="A25" s="35"/>
    </row>
    <row r="26" spans="1:24" x14ac:dyDescent="0.45">
      <c r="A26" s="37" t="s">
        <v>133</v>
      </c>
    </row>
    <row r="27" spans="1:24" x14ac:dyDescent="0.45">
      <c r="A27" s="35" t="s">
        <v>129</v>
      </c>
      <c r="B27" s="4">
        <v>5000</v>
      </c>
      <c r="C27" s="14">
        <v>5000</v>
      </c>
      <c r="D27" s="14">
        <v>5000</v>
      </c>
      <c r="E27" s="14">
        <v>5000</v>
      </c>
      <c r="F27" s="14">
        <v>5000</v>
      </c>
      <c r="G27" s="14">
        <v>5000</v>
      </c>
      <c r="H27" s="14">
        <v>5000</v>
      </c>
      <c r="I27" s="14">
        <v>5000</v>
      </c>
      <c r="J27" s="14">
        <v>5000</v>
      </c>
      <c r="K27" s="14">
        <v>5000</v>
      </c>
      <c r="L27" s="14">
        <v>5000</v>
      </c>
      <c r="M27" s="14">
        <v>5000</v>
      </c>
      <c r="N27" s="14">
        <v>5000</v>
      </c>
      <c r="O27" s="14">
        <v>5000</v>
      </c>
      <c r="P27" s="14">
        <v>5000</v>
      </c>
      <c r="Q27" s="14">
        <v>5000</v>
      </c>
      <c r="R27" s="14">
        <v>5000</v>
      </c>
      <c r="S27" s="14">
        <v>5000</v>
      </c>
      <c r="T27" s="14">
        <v>5000</v>
      </c>
    </row>
    <row r="28" spans="1:24" x14ac:dyDescent="0.45">
      <c r="A28" t="s">
        <v>141</v>
      </c>
      <c r="B28" s="4">
        <v>804000</v>
      </c>
      <c r="C28" s="4">
        <f>B28+50000</f>
        <v>854000</v>
      </c>
      <c r="D28" s="4">
        <f t="shared" ref="D28:T28" si="53">C28+50000</f>
        <v>904000</v>
      </c>
      <c r="E28" s="4">
        <f t="shared" si="53"/>
        <v>954000</v>
      </c>
      <c r="F28" s="4">
        <f t="shared" si="53"/>
        <v>1004000</v>
      </c>
      <c r="G28" s="4">
        <f t="shared" si="53"/>
        <v>1054000</v>
      </c>
      <c r="H28" s="4">
        <f t="shared" si="53"/>
        <v>1104000</v>
      </c>
      <c r="I28" s="4">
        <f>H28+50000</f>
        <v>1154000</v>
      </c>
      <c r="J28" s="4">
        <f t="shared" si="53"/>
        <v>1204000</v>
      </c>
      <c r="K28" s="4">
        <f t="shared" si="53"/>
        <v>1254000</v>
      </c>
      <c r="L28" s="4">
        <f t="shared" si="53"/>
        <v>1304000</v>
      </c>
      <c r="M28" s="4">
        <f t="shared" si="53"/>
        <v>1354000</v>
      </c>
      <c r="N28" s="4">
        <f t="shared" si="53"/>
        <v>1404000</v>
      </c>
      <c r="O28" s="4">
        <f>N28+50000</f>
        <v>1454000</v>
      </c>
      <c r="P28" s="4">
        <f t="shared" si="53"/>
        <v>1504000</v>
      </c>
      <c r="Q28" s="4">
        <f t="shared" si="53"/>
        <v>1554000</v>
      </c>
      <c r="R28" s="4">
        <f t="shared" si="53"/>
        <v>1604000</v>
      </c>
      <c r="S28" s="4">
        <f t="shared" si="53"/>
        <v>1654000</v>
      </c>
      <c r="T28" s="4">
        <f t="shared" si="53"/>
        <v>1704000</v>
      </c>
    </row>
    <row r="29" spans="1:24" x14ac:dyDescent="0.45">
      <c r="A29" t="s">
        <v>158</v>
      </c>
      <c r="B29">
        <v>0.3</v>
      </c>
      <c r="C29" s="14">
        <v>0.3</v>
      </c>
      <c r="D29" s="14">
        <v>0.3</v>
      </c>
      <c r="E29" s="14">
        <v>0.3</v>
      </c>
      <c r="F29" s="14">
        <v>0.3</v>
      </c>
      <c r="G29" s="14">
        <v>0.3</v>
      </c>
      <c r="H29" s="14">
        <v>0.3</v>
      </c>
      <c r="I29" s="14">
        <v>0.3</v>
      </c>
      <c r="J29" s="14">
        <v>0.3</v>
      </c>
      <c r="K29" s="14">
        <v>0.3</v>
      </c>
      <c r="L29" s="14">
        <v>0.3</v>
      </c>
      <c r="M29" s="14">
        <v>0.3</v>
      </c>
      <c r="N29" s="14">
        <v>0.3</v>
      </c>
      <c r="O29" s="14">
        <v>0.3</v>
      </c>
      <c r="P29" s="14">
        <v>0.3</v>
      </c>
      <c r="Q29" s="14">
        <v>0.3</v>
      </c>
      <c r="R29" s="14">
        <v>0.3</v>
      </c>
      <c r="S29" s="14">
        <v>0.3</v>
      </c>
      <c r="T29" s="14">
        <v>0.3</v>
      </c>
    </row>
    <row r="30" spans="1:24" x14ac:dyDescent="0.45">
      <c r="A30" t="s">
        <v>155</v>
      </c>
      <c r="B30">
        <v>0</v>
      </c>
      <c r="C30">
        <v>0</v>
      </c>
      <c r="D30">
        <v>0</v>
      </c>
      <c r="E30">
        <v>0</v>
      </c>
      <c r="F30">
        <v>0.01</v>
      </c>
      <c r="G30">
        <v>0.02</v>
      </c>
      <c r="H30">
        <v>0.04</v>
      </c>
      <c r="I30">
        <v>0.08</v>
      </c>
      <c r="J30">
        <v>0.1</v>
      </c>
      <c r="K30" s="14">
        <v>0.1</v>
      </c>
      <c r="L30" s="14">
        <v>0.1</v>
      </c>
      <c r="M30" s="14">
        <v>0.1</v>
      </c>
      <c r="N30" s="14">
        <v>0.1</v>
      </c>
      <c r="O30" s="14">
        <v>0.1</v>
      </c>
      <c r="P30" s="14">
        <v>0.1</v>
      </c>
      <c r="Q30" s="14">
        <v>0.1</v>
      </c>
      <c r="R30" s="14">
        <v>0.1</v>
      </c>
      <c r="S30" s="14">
        <v>0.1</v>
      </c>
      <c r="T30" s="14">
        <f>S30*0.98</f>
        <v>9.8000000000000004E-2</v>
      </c>
    </row>
    <row r="31" spans="1:24" s="29" customFormat="1" x14ac:dyDescent="0.45">
      <c r="A31" s="29" t="s">
        <v>132</v>
      </c>
      <c r="B31" s="29">
        <f>B27*B28*B29*B30</f>
        <v>0</v>
      </c>
      <c r="C31" s="29">
        <f t="shared" ref="C31:H31" si="54">C27*C28*C29*C30</f>
        <v>0</v>
      </c>
      <c r="D31" s="29">
        <f t="shared" si="54"/>
        <v>0</v>
      </c>
      <c r="E31" s="29">
        <f t="shared" si="54"/>
        <v>0</v>
      </c>
      <c r="F31" s="29">
        <f t="shared" si="54"/>
        <v>15060000</v>
      </c>
      <c r="G31" s="29">
        <f t="shared" si="54"/>
        <v>31620000</v>
      </c>
      <c r="H31" s="29">
        <f t="shared" si="54"/>
        <v>66240000</v>
      </c>
      <c r="I31" s="29">
        <f>I27*I28*I29*I30</f>
        <v>138480000</v>
      </c>
      <c r="J31" s="29">
        <f t="shared" ref="J31" si="55">J27*J28*J29*J30</f>
        <v>180600000</v>
      </c>
      <c r="K31" s="29">
        <f t="shared" ref="K31" si="56">K27*K28*K29*K30</f>
        <v>188100000</v>
      </c>
      <c r="L31" s="29">
        <f t="shared" ref="L31" si="57">L27*L28*L29*L30</f>
        <v>195600000</v>
      </c>
      <c r="M31" s="29">
        <f t="shared" ref="M31" si="58">M27*M28*M29*M30</f>
        <v>203100000</v>
      </c>
      <c r="N31" s="29">
        <f t="shared" ref="N31" si="59">N27*N28*N29*N30</f>
        <v>210600000</v>
      </c>
      <c r="O31" s="29">
        <f>O27*O28*O29*O30</f>
        <v>218100000</v>
      </c>
      <c r="P31" s="29">
        <f t="shared" ref="P31" si="60">P27*P28*P29*P30</f>
        <v>225600000</v>
      </c>
      <c r="Q31" s="29">
        <f t="shared" ref="Q31" si="61">Q27*Q28*Q29*Q30</f>
        <v>233100000</v>
      </c>
      <c r="R31" s="29">
        <f t="shared" ref="R31" si="62">R27*R28*R29*R30</f>
        <v>240600000</v>
      </c>
      <c r="S31" s="65">
        <f t="shared" ref="S31" si="63">S27*S28*S29*S30</f>
        <v>248100000</v>
      </c>
      <c r="T31" s="29">
        <f t="shared" ref="T31" si="64">T27*T28*T29*T30</f>
        <v>250488000</v>
      </c>
    </row>
    <row r="33" spans="1:20" x14ac:dyDescent="0.45">
      <c r="A33" s="25" t="s">
        <v>131</v>
      </c>
    </row>
    <row r="34" spans="1:20" x14ac:dyDescent="0.45">
      <c r="A34" t="s">
        <v>119</v>
      </c>
      <c r="B34">
        <v>500</v>
      </c>
      <c r="C34">
        <v>500</v>
      </c>
      <c r="D34">
        <v>500</v>
      </c>
      <c r="E34">
        <v>500</v>
      </c>
      <c r="F34">
        <v>500</v>
      </c>
      <c r="G34">
        <v>500</v>
      </c>
      <c r="H34">
        <v>500</v>
      </c>
      <c r="I34">
        <v>500</v>
      </c>
      <c r="J34">
        <v>500</v>
      </c>
      <c r="K34">
        <v>500</v>
      </c>
      <c r="L34">
        <v>500</v>
      </c>
      <c r="M34">
        <v>500</v>
      </c>
      <c r="N34">
        <v>500</v>
      </c>
      <c r="O34">
        <v>500</v>
      </c>
      <c r="P34">
        <v>500</v>
      </c>
      <c r="Q34">
        <v>500</v>
      </c>
      <c r="R34">
        <v>500</v>
      </c>
      <c r="S34">
        <v>500</v>
      </c>
      <c r="T34">
        <v>500</v>
      </c>
    </row>
    <row r="35" spans="1:20" x14ac:dyDescent="0.45">
      <c r="A35" t="s">
        <v>123</v>
      </c>
      <c r="B35">
        <f>(4/10000)*(508000000)</f>
        <v>203200</v>
      </c>
      <c r="C35" s="14">
        <f t="shared" ref="C35:S35" si="65">(4/10000)*(508000000)</f>
        <v>203200</v>
      </c>
      <c r="D35" s="14">
        <f t="shared" si="65"/>
        <v>203200</v>
      </c>
      <c r="E35" s="14">
        <f t="shared" si="65"/>
        <v>203200</v>
      </c>
      <c r="F35" s="14">
        <f t="shared" si="65"/>
        <v>203200</v>
      </c>
      <c r="G35" s="14">
        <f t="shared" si="65"/>
        <v>203200</v>
      </c>
      <c r="H35" s="14">
        <f t="shared" si="65"/>
        <v>203200</v>
      </c>
      <c r="I35" s="14">
        <f>(4/10000)*(508000000)</f>
        <v>203200</v>
      </c>
      <c r="J35" s="14">
        <f t="shared" si="65"/>
        <v>203200</v>
      </c>
      <c r="K35" s="14">
        <f t="shared" si="65"/>
        <v>203200</v>
      </c>
      <c r="L35" s="14">
        <f t="shared" si="65"/>
        <v>203200</v>
      </c>
      <c r="M35" s="14">
        <f t="shared" si="65"/>
        <v>203200</v>
      </c>
      <c r="N35" s="14">
        <f>(4/10000)*(508000000)</f>
        <v>203200</v>
      </c>
      <c r="O35" s="14">
        <f t="shared" si="65"/>
        <v>203200</v>
      </c>
      <c r="P35" s="14">
        <f t="shared" si="65"/>
        <v>203200</v>
      </c>
      <c r="Q35" s="14">
        <f t="shared" si="65"/>
        <v>203200</v>
      </c>
      <c r="R35" s="14">
        <f t="shared" si="65"/>
        <v>203200</v>
      </c>
      <c r="S35" s="14">
        <f t="shared" si="65"/>
        <v>203200</v>
      </c>
      <c r="T35" s="14">
        <f>(4/10000)*(508000000)</f>
        <v>203200</v>
      </c>
    </row>
    <row r="36" spans="1:20" x14ac:dyDescent="0.45">
      <c r="A36" t="s">
        <v>125</v>
      </c>
      <c r="B36">
        <v>0.8</v>
      </c>
      <c r="C36" s="14">
        <v>0.8</v>
      </c>
      <c r="D36" s="14">
        <v>0.8</v>
      </c>
      <c r="E36" s="14">
        <v>0.8</v>
      </c>
      <c r="F36" s="14">
        <v>0.8</v>
      </c>
      <c r="G36" s="14">
        <v>0.8</v>
      </c>
      <c r="H36" s="14">
        <v>0.8</v>
      </c>
      <c r="I36" s="14">
        <v>0.8</v>
      </c>
      <c r="J36" s="14">
        <v>0.8</v>
      </c>
      <c r="K36" s="14">
        <v>0.8</v>
      </c>
      <c r="L36" s="14">
        <v>0.8</v>
      </c>
      <c r="M36" s="14">
        <v>0.8</v>
      </c>
      <c r="N36" s="14">
        <v>0.8</v>
      </c>
      <c r="O36" s="14">
        <v>0.8</v>
      </c>
      <c r="P36" s="14">
        <v>0.8</v>
      </c>
      <c r="Q36" s="14">
        <v>0.8</v>
      </c>
      <c r="R36" s="14">
        <v>0.8</v>
      </c>
      <c r="S36" s="14">
        <v>0.8</v>
      </c>
      <c r="T36" s="14">
        <v>0.8</v>
      </c>
    </row>
    <row r="37" spans="1:20" x14ac:dyDescent="0.45">
      <c r="A37" t="s">
        <v>124</v>
      </c>
      <c r="B37">
        <v>0</v>
      </c>
      <c r="C37">
        <v>0</v>
      </c>
      <c r="D37">
        <v>0</v>
      </c>
      <c r="E37">
        <v>0</v>
      </c>
      <c r="F37">
        <v>0.1</v>
      </c>
      <c r="G37">
        <v>0.2</v>
      </c>
      <c r="H37">
        <v>0.3</v>
      </c>
      <c r="I37">
        <v>0.4</v>
      </c>
      <c r="J37">
        <v>0.5</v>
      </c>
      <c r="K37">
        <v>0.6</v>
      </c>
      <c r="L37">
        <v>0.64</v>
      </c>
      <c r="M37">
        <v>0.68</v>
      </c>
      <c r="N37">
        <v>0.72</v>
      </c>
      <c r="O37">
        <v>0.76</v>
      </c>
      <c r="P37">
        <v>0.8</v>
      </c>
      <c r="Q37">
        <v>0.8</v>
      </c>
      <c r="R37">
        <v>0.8</v>
      </c>
      <c r="S37">
        <v>0.8</v>
      </c>
      <c r="T37">
        <v>0.78400000000000003</v>
      </c>
    </row>
    <row r="38" spans="1:20" s="1" customFormat="1" x14ac:dyDescent="0.45">
      <c r="A38" s="1" t="s">
        <v>137</v>
      </c>
      <c r="B38" s="1">
        <f>B34*B35*B36*B37</f>
        <v>0</v>
      </c>
      <c r="C38" s="1">
        <f t="shared" ref="C38:I38" si="66">C34*C35*C36*C37</f>
        <v>0</v>
      </c>
      <c r="D38" s="1">
        <f t="shared" si="66"/>
        <v>0</v>
      </c>
      <c r="E38" s="1">
        <f t="shared" si="66"/>
        <v>0</v>
      </c>
      <c r="F38" s="1">
        <f t="shared" si="66"/>
        <v>8128000</v>
      </c>
      <c r="G38" s="1">
        <f t="shared" si="66"/>
        <v>16256000</v>
      </c>
      <c r="H38" s="1">
        <f t="shared" si="66"/>
        <v>24384000</v>
      </c>
      <c r="I38" s="1">
        <f t="shared" si="66"/>
        <v>32512000</v>
      </c>
      <c r="J38" s="1">
        <f>J34*J35*J36*J37</f>
        <v>40640000</v>
      </c>
      <c r="K38" s="1">
        <f t="shared" ref="K38" si="67">K34*K35*K36*K37</f>
        <v>48768000</v>
      </c>
      <c r="L38" s="1">
        <f t="shared" ref="L38" si="68">L34*L35*L36*L37</f>
        <v>52019200</v>
      </c>
      <c r="M38" s="1">
        <f t="shared" ref="M38" si="69">M34*M35*M36*M37</f>
        <v>55270400.000000007</v>
      </c>
      <c r="N38" s="1">
        <f t="shared" ref="N38" si="70">N34*N35*N36*N37</f>
        <v>58521600</v>
      </c>
      <c r="O38" s="1">
        <f t="shared" ref="O38" si="71">O34*O35*O36*O37</f>
        <v>61772800</v>
      </c>
      <c r="P38" s="1">
        <f>P34*P35*P36*P37</f>
        <v>65024000</v>
      </c>
      <c r="Q38" s="1">
        <f t="shared" ref="Q38" si="72">Q34*Q35*Q36*Q37</f>
        <v>65024000</v>
      </c>
      <c r="R38" s="1">
        <f t="shared" ref="R38" si="73">R34*R35*R36*R37</f>
        <v>65024000</v>
      </c>
      <c r="S38" s="66">
        <f t="shared" ref="S38" si="74">S34*S35*S36*S37</f>
        <v>65024000</v>
      </c>
      <c r="T38" s="1">
        <f t="shared" ref="T38" si="75">T34*T35*T36*T37</f>
        <v>63723520</v>
      </c>
    </row>
    <row r="39" spans="1:20" s="1" customFormat="1" x14ac:dyDescent="0.45">
      <c r="A39" s="1" t="s">
        <v>122</v>
      </c>
      <c r="B39" s="1">
        <v>0</v>
      </c>
      <c r="C39" s="1">
        <v>0</v>
      </c>
      <c r="D39" s="1">
        <v>0</v>
      </c>
      <c r="E39" s="1">
        <v>0</v>
      </c>
      <c r="F39" s="1">
        <v>0.08</v>
      </c>
      <c r="G39" s="1">
        <v>0.1</v>
      </c>
      <c r="H39" s="1">
        <v>0.12</v>
      </c>
      <c r="I39" s="1">
        <v>0.14000000000000001</v>
      </c>
      <c r="J39" s="1">
        <v>0.16</v>
      </c>
      <c r="K39" s="1">
        <v>0.18</v>
      </c>
      <c r="L39" s="1">
        <v>0.18</v>
      </c>
      <c r="M39" s="1">
        <v>0.18</v>
      </c>
      <c r="N39" s="1">
        <v>0.18</v>
      </c>
      <c r="O39" s="1">
        <v>0.18</v>
      </c>
      <c r="P39" s="1">
        <v>0.18</v>
      </c>
      <c r="Q39" s="1">
        <v>0.18</v>
      </c>
      <c r="R39" s="1">
        <v>0.18</v>
      </c>
      <c r="S39" s="66">
        <v>0.18</v>
      </c>
      <c r="T39" s="1">
        <v>0.18</v>
      </c>
    </row>
    <row r="40" spans="1:20" s="29" customFormat="1" x14ac:dyDescent="0.45">
      <c r="A40" s="29" t="s">
        <v>138</v>
      </c>
      <c r="B40" s="29">
        <f>B38*B39</f>
        <v>0</v>
      </c>
      <c r="C40" s="29">
        <f t="shared" ref="C40:J40" si="76">C38*C39</f>
        <v>0</v>
      </c>
      <c r="D40" s="29">
        <f t="shared" si="76"/>
        <v>0</v>
      </c>
      <c r="E40" s="29">
        <f t="shared" si="76"/>
        <v>0</v>
      </c>
      <c r="F40" s="29">
        <f t="shared" si="76"/>
        <v>650240</v>
      </c>
      <c r="G40" s="29">
        <f t="shared" si="76"/>
        <v>1625600</v>
      </c>
      <c r="H40" s="29">
        <f t="shared" si="76"/>
        <v>2926080</v>
      </c>
      <c r="I40" s="29">
        <f t="shared" si="76"/>
        <v>4551680</v>
      </c>
      <c r="J40" s="29">
        <f t="shared" si="76"/>
        <v>6502400</v>
      </c>
      <c r="K40" s="29">
        <f>K38*K39</f>
        <v>8778240</v>
      </c>
      <c r="L40" s="29">
        <f t="shared" ref="L40" si="77">L38*L39</f>
        <v>9363456</v>
      </c>
      <c r="M40" s="29">
        <f t="shared" ref="M40" si="78">M38*M39</f>
        <v>9948672.0000000019</v>
      </c>
      <c r="N40" s="29">
        <f t="shared" ref="N40" si="79">N38*N39</f>
        <v>10533888</v>
      </c>
      <c r="O40" s="29">
        <f t="shared" ref="O40" si="80">O38*O39</f>
        <v>11119104</v>
      </c>
      <c r="P40" s="29">
        <f t="shared" ref="P40" si="81">P38*P39</f>
        <v>11704320</v>
      </c>
      <c r="Q40" s="29">
        <f>Q38*Q39</f>
        <v>11704320</v>
      </c>
      <c r="R40" s="29">
        <f t="shared" ref="R40" si="82">R38*R39</f>
        <v>11704320</v>
      </c>
      <c r="S40" s="65">
        <f t="shared" ref="S40" si="83">S38*S39</f>
        <v>11704320</v>
      </c>
      <c r="T40" s="67">
        <f t="shared" ref="T40" si="84">T38*T39</f>
        <v>11470233.6</v>
      </c>
    </row>
    <row r="42" spans="1:20" x14ac:dyDescent="0.45">
      <c r="A42" s="25" t="s">
        <v>134</v>
      </c>
    </row>
    <row r="43" spans="1:20" x14ac:dyDescent="0.45">
      <c r="A43" t="s">
        <v>129</v>
      </c>
      <c r="B43">
        <v>5000</v>
      </c>
      <c r="C43">
        <v>5000</v>
      </c>
      <c r="D43">
        <v>5000</v>
      </c>
      <c r="E43">
        <v>5000</v>
      </c>
      <c r="F43">
        <v>5000</v>
      </c>
      <c r="G43">
        <v>5000</v>
      </c>
      <c r="H43">
        <v>5000</v>
      </c>
      <c r="I43">
        <v>5000</v>
      </c>
      <c r="J43">
        <v>5000</v>
      </c>
      <c r="K43">
        <v>5000</v>
      </c>
      <c r="L43">
        <v>5000</v>
      </c>
      <c r="M43">
        <v>5000</v>
      </c>
      <c r="N43">
        <v>5000</v>
      </c>
      <c r="O43">
        <v>5000</v>
      </c>
      <c r="P43">
        <v>5000</v>
      </c>
      <c r="Q43">
        <v>5000</v>
      </c>
      <c r="R43">
        <v>5000</v>
      </c>
      <c r="S43">
        <v>5000</v>
      </c>
      <c r="T43">
        <v>5000</v>
      </c>
    </row>
    <row r="44" spans="1:20" x14ac:dyDescent="0.45">
      <c r="A44" t="s">
        <v>154</v>
      </c>
      <c r="B44" s="4">
        <f>(505/100000)*720000000</f>
        <v>3636000</v>
      </c>
      <c r="C44" s="4">
        <f>B44+173000</f>
        <v>3809000</v>
      </c>
      <c r="D44" s="4">
        <f t="shared" ref="D44:T44" si="85">C44+173000</f>
        <v>3982000</v>
      </c>
      <c r="E44" s="4">
        <f t="shared" si="85"/>
        <v>4155000</v>
      </c>
      <c r="F44" s="4">
        <f t="shared" si="85"/>
        <v>4328000</v>
      </c>
      <c r="G44" s="4">
        <f t="shared" si="85"/>
        <v>4501000</v>
      </c>
      <c r="H44" s="4">
        <f t="shared" si="85"/>
        <v>4674000</v>
      </c>
      <c r="I44" s="4">
        <f t="shared" si="85"/>
        <v>4847000</v>
      </c>
      <c r="J44" s="4">
        <f t="shared" si="85"/>
        <v>5020000</v>
      </c>
      <c r="K44" s="4">
        <f t="shared" si="85"/>
        <v>5193000</v>
      </c>
      <c r="L44" s="4">
        <f t="shared" si="85"/>
        <v>5366000</v>
      </c>
      <c r="M44" s="4">
        <f t="shared" si="85"/>
        <v>5539000</v>
      </c>
      <c r="N44" s="4">
        <f t="shared" si="85"/>
        <v>5712000</v>
      </c>
      <c r="O44" s="4">
        <f t="shared" si="85"/>
        <v>5885000</v>
      </c>
      <c r="P44" s="4">
        <f t="shared" si="85"/>
        <v>6058000</v>
      </c>
      <c r="Q44" s="4">
        <f t="shared" si="85"/>
        <v>6231000</v>
      </c>
      <c r="R44" s="4">
        <f t="shared" si="85"/>
        <v>6404000</v>
      </c>
      <c r="S44" s="4">
        <f t="shared" si="85"/>
        <v>6577000</v>
      </c>
      <c r="T44" s="4">
        <f t="shared" si="85"/>
        <v>6750000</v>
      </c>
    </row>
    <row r="45" spans="1:20" x14ac:dyDescent="0.45">
      <c r="A45" t="s">
        <v>158</v>
      </c>
      <c r="B45">
        <v>0.3</v>
      </c>
      <c r="C45" s="14">
        <v>0.3</v>
      </c>
      <c r="D45" s="14">
        <v>0.3</v>
      </c>
      <c r="E45" s="14">
        <v>0.3</v>
      </c>
      <c r="F45" s="14">
        <v>0.3</v>
      </c>
      <c r="G45" s="14">
        <v>0.3</v>
      </c>
      <c r="H45" s="14">
        <v>0.3</v>
      </c>
      <c r="I45" s="14">
        <v>0.3</v>
      </c>
      <c r="J45" s="14">
        <v>0.3</v>
      </c>
      <c r="K45" s="14">
        <v>0.3</v>
      </c>
      <c r="L45" s="14">
        <v>0.3</v>
      </c>
      <c r="M45" s="14">
        <v>0.3</v>
      </c>
      <c r="N45" s="14">
        <v>0.3</v>
      </c>
      <c r="O45" s="14">
        <v>0.3</v>
      </c>
      <c r="P45" s="14">
        <v>0.3</v>
      </c>
      <c r="Q45" s="14">
        <v>0.3</v>
      </c>
      <c r="R45" s="14">
        <v>0.3</v>
      </c>
      <c r="S45" s="14">
        <v>0.3</v>
      </c>
      <c r="T45" s="14">
        <v>0.3</v>
      </c>
    </row>
    <row r="46" spans="1:20" x14ac:dyDescent="0.45">
      <c r="A46" t="s">
        <v>155</v>
      </c>
      <c r="B46">
        <v>0</v>
      </c>
      <c r="C46">
        <v>0</v>
      </c>
      <c r="D46">
        <v>0</v>
      </c>
      <c r="E46">
        <v>0</v>
      </c>
      <c r="F46">
        <v>0.01</v>
      </c>
      <c r="G46">
        <v>0.02</v>
      </c>
      <c r="H46">
        <v>0.04</v>
      </c>
      <c r="I46">
        <v>0.08</v>
      </c>
      <c r="J46">
        <v>0.1</v>
      </c>
      <c r="K46" s="14">
        <v>0.1</v>
      </c>
      <c r="L46" s="14">
        <v>0.1</v>
      </c>
      <c r="M46" s="14">
        <v>0.1</v>
      </c>
      <c r="N46" s="14">
        <v>0.1</v>
      </c>
      <c r="O46" s="14">
        <v>0.1</v>
      </c>
      <c r="P46" s="14">
        <v>0.1</v>
      </c>
      <c r="Q46" s="14">
        <v>0.1</v>
      </c>
      <c r="R46" s="14">
        <v>0.1</v>
      </c>
      <c r="S46" s="14">
        <v>0.1</v>
      </c>
      <c r="T46" s="14">
        <f>S46*0.97</f>
        <v>9.7000000000000003E-2</v>
      </c>
    </row>
    <row r="47" spans="1:20" x14ac:dyDescent="0.45">
      <c r="A47" t="s">
        <v>143</v>
      </c>
      <c r="B47">
        <f>B43*B44*B45*B46</f>
        <v>0</v>
      </c>
      <c r="C47" s="14">
        <f t="shared" ref="C47:I47" si="86">C43*C44*C45*C46</f>
        <v>0</v>
      </c>
      <c r="D47" s="14">
        <f t="shared" si="86"/>
        <v>0</v>
      </c>
      <c r="E47" s="14">
        <f t="shared" si="86"/>
        <v>0</v>
      </c>
      <c r="F47" s="14">
        <f t="shared" si="86"/>
        <v>64920000</v>
      </c>
      <c r="G47" s="14">
        <f t="shared" si="86"/>
        <v>135030000</v>
      </c>
      <c r="H47" s="14">
        <f t="shared" si="86"/>
        <v>280440000</v>
      </c>
      <c r="I47" s="14">
        <f t="shared" si="86"/>
        <v>581640000</v>
      </c>
      <c r="J47" s="14">
        <f t="shared" ref="J47" si="87">J43*J44*J45*J46</f>
        <v>753000000</v>
      </c>
      <c r="K47" s="14">
        <f t="shared" ref="K47" si="88">K43*K44*K45*K46</f>
        <v>778950000</v>
      </c>
      <c r="L47" s="14">
        <f t="shared" ref="L47" si="89">L43*L44*L45*L46</f>
        <v>804900000</v>
      </c>
      <c r="M47" s="14">
        <f t="shared" ref="M47" si="90">M43*M44*M45*M46</f>
        <v>830850000</v>
      </c>
      <c r="N47" s="14">
        <f t="shared" ref="N47" si="91">N43*N44*N45*N46</f>
        <v>856800000</v>
      </c>
      <c r="O47" s="14">
        <f t="shared" ref="O47" si="92">O43*O44*O45*O46</f>
        <v>882750000</v>
      </c>
      <c r="P47" s="14">
        <f t="shared" ref="P47" si="93">P43*P44*P45*P46</f>
        <v>908700000</v>
      </c>
      <c r="Q47" s="14">
        <f t="shared" ref="Q47" si="94">Q43*Q44*Q45*Q46</f>
        <v>934650000</v>
      </c>
      <c r="R47" s="14">
        <f t="shared" ref="R47" si="95">R43*R44*R45*R46</f>
        <v>960600000</v>
      </c>
      <c r="S47" s="14">
        <f t="shared" ref="S47" si="96">S43*S44*S45*S46</f>
        <v>986550000</v>
      </c>
      <c r="T47" s="14">
        <f t="shared" ref="T47" si="97">T43*T44*T45*T46</f>
        <v>982125000</v>
      </c>
    </row>
    <row r="48" spans="1:20" x14ac:dyDescent="0.45">
      <c r="A48" t="s">
        <v>142</v>
      </c>
      <c r="B48">
        <v>0</v>
      </c>
      <c r="C48">
        <v>0</v>
      </c>
      <c r="D48">
        <v>0</v>
      </c>
      <c r="E48">
        <v>0</v>
      </c>
      <c r="F48">
        <v>0.08</v>
      </c>
      <c r="G48">
        <v>0.1</v>
      </c>
      <c r="H48">
        <v>0.12</v>
      </c>
      <c r="I48">
        <v>0.14000000000000001</v>
      </c>
      <c r="J48">
        <v>0.16</v>
      </c>
      <c r="K48">
        <v>0.18</v>
      </c>
      <c r="L48" s="14">
        <v>0.18</v>
      </c>
      <c r="M48" s="14">
        <v>0.18</v>
      </c>
      <c r="N48" s="14">
        <v>0.18</v>
      </c>
      <c r="O48" s="14">
        <v>0.18</v>
      </c>
      <c r="P48" s="14">
        <v>0.18</v>
      </c>
      <c r="Q48" s="14">
        <v>0.18</v>
      </c>
      <c r="R48" s="14">
        <v>0.18</v>
      </c>
      <c r="S48" s="14">
        <v>0.18</v>
      </c>
      <c r="T48">
        <v>0.18</v>
      </c>
    </row>
    <row r="49" spans="1:20" s="29" customFormat="1" x14ac:dyDescent="0.45">
      <c r="A49" s="29" t="s">
        <v>139</v>
      </c>
      <c r="B49" s="29">
        <f>B47*B48</f>
        <v>0</v>
      </c>
      <c r="C49" s="29">
        <f t="shared" ref="C49:J49" si="98">C47*C48</f>
        <v>0</v>
      </c>
      <c r="D49" s="29">
        <f t="shared" si="98"/>
        <v>0</v>
      </c>
      <c r="E49" s="29">
        <f t="shared" si="98"/>
        <v>0</v>
      </c>
      <c r="F49" s="29">
        <f t="shared" si="98"/>
        <v>5193600</v>
      </c>
      <c r="G49" s="29">
        <f t="shared" si="98"/>
        <v>13503000</v>
      </c>
      <c r="H49" s="29">
        <f t="shared" si="98"/>
        <v>33652800</v>
      </c>
      <c r="I49" s="29">
        <f t="shared" si="98"/>
        <v>81429600.000000015</v>
      </c>
      <c r="J49" s="29">
        <f t="shared" si="98"/>
        <v>120480000</v>
      </c>
      <c r="K49" s="29">
        <f>K47*K48</f>
        <v>140211000</v>
      </c>
      <c r="L49" s="29">
        <f t="shared" ref="L49" si="99">L47*L48</f>
        <v>144882000</v>
      </c>
      <c r="M49" s="29">
        <f t="shared" ref="M49" si="100">M47*M48</f>
        <v>149553000</v>
      </c>
      <c r="N49" s="29">
        <f t="shared" ref="N49" si="101">N47*N48</f>
        <v>154224000</v>
      </c>
      <c r="O49" s="29">
        <f t="shared" ref="O49" si="102">O47*O48</f>
        <v>158895000</v>
      </c>
      <c r="P49" s="29">
        <f t="shared" ref="P49" si="103">P47*P48</f>
        <v>163566000</v>
      </c>
      <c r="Q49" s="29">
        <f t="shared" ref="Q49" si="104">Q47*Q48</f>
        <v>168237000</v>
      </c>
      <c r="R49" s="29">
        <f>R47*R48</f>
        <v>172908000</v>
      </c>
      <c r="S49" s="65">
        <f t="shared" ref="S49" si="105">S47*S48</f>
        <v>177579000</v>
      </c>
      <c r="T49" s="29">
        <f t="shared" ref="T49" si="106">T47*T48</f>
        <v>176782500</v>
      </c>
    </row>
    <row r="51" spans="1:20" s="14" customFormat="1" x14ac:dyDescent="0.45">
      <c r="A51" s="25" t="s">
        <v>152</v>
      </c>
    </row>
    <row r="52" spans="1:20" s="14" customFormat="1" x14ac:dyDescent="0.45">
      <c r="A52" s="14" t="s">
        <v>129</v>
      </c>
      <c r="B52" s="14">
        <v>5000</v>
      </c>
      <c r="C52" s="14">
        <v>5000</v>
      </c>
      <c r="D52" s="14">
        <v>5000</v>
      </c>
      <c r="E52" s="14">
        <v>5000</v>
      </c>
      <c r="F52" s="14">
        <v>5000</v>
      </c>
      <c r="G52" s="14">
        <v>5000</v>
      </c>
      <c r="H52" s="14">
        <v>5000</v>
      </c>
      <c r="I52" s="14">
        <v>5000</v>
      </c>
      <c r="J52" s="14">
        <v>5000</v>
      </c>
      <c r="K52" s="14">
        <v>5000</v>
      </c>
      <c r="L52" s="14">
        <v>5000</v>
      </c>
      <c r="M52" s="14">
        <v>5000</v>
      </c>
      <c r="N52" s="14">
        <v>5000</v>
      </c>
      <c r="O52" s="14">
        <v>5000</v>
      </c>
      <c r="P52" s="14">
        <v>5000</v>
      </c>
      <c r="Q52" s="14">
        <v>5000</v>
      </c>
      <c r="R52" s="14">
        <v>5000</v>
      </c>
      <c r="S52" s="14">
        <v>5000</v>
      </c>
      <c r="T52" s="14">
        <v>5000</v>
      </c>
    </row>
    <row r="53" spans="1:20" s="14" customFormat="1" x14ac:dyDescent="0.45">
      <c r="A53" s="14" t="s">
        <v>153</v>
      </c>
      <c r="B53" s="4">
        <f>(827/100000)*720000000</f>
        <v>5954400</v>
      </c>
      <c r="C53" s="4">
        <f>B53+266400</f>
        <v>6220800</v>
      </c>
      <c r="D53" s="4">
        <f t="shared" ref="D53:S53" si="107">C53+266400</f>
        <v>6487200</v>
      </c>
      <c r="E53" s="4">
        <f t="shared" si="107"/>
        <v>6753600</v>
      </c>
      <c r="F53" s="4">
        <f t="shared" si="107"/>
        <v>7020000</v>
      </c>
      <c r="G53" s="4">
        <f t="shared" si="107"/>
        <v>7286400</v>
      </c>
      <c r="H53" s="4">
        <f t="shared" si="107"/>
        <v>7552800</v>
      </c>
      <c r="I53" s="4">
        <f t="shared" si="107"/>
        <v>7819200</v>
      </c>
      <c r="J53" s="4">
        <f>I53+266400</f>
        <v>8085600</v>
      </c>
      <c r="K53" s="4">
        <f t="shared" si="107"/>
        <v>8352000</v>
      </c>
      <c r="L53" s="4">
        <f t="shared" si="107"/>
        <v>8618400</v>
      </c>
      <c r="M53" s="4">
        <f t="shared" si="107"/>
        <v>8884800</v>
      </c>
      <c r="N53" s="4">
        <f t="shared" si="107"/>
        <v>9151200</v>
      </c>
      <c r="O53" s="4">
        <f t="shared" si="107"/>
        <v>9417600</v>
      </c>
      <c r="P53" s="4">
        <f>O53+266400</f>
        <v>9684000</v>
      </c>
      <c r="Q53" s="4">
        <f t="shared" si="107"/>
        <v>9950400</v>
      </c>
      <c r="R53" s="4">
        <f t="shared" si="107"/>
        <v>10216800</v>
      </c>
      <c r="S53" s="4">
        <f t="shared" si="107"/>
        <v>10483200</v>
      </c>
      <c r="T53" s="4">
        <f>S53+266400</f>
        <v>10749600</v>
      </c>
    </row>
    <row r="54" spans="1:20" s="14" customFormat="1" x14ac:dyDescent="0.45">
      <c r="A54" s="14" t="s">
        <v>128</v>
      </c>
      <c r="B54" s="14">
        <v>0.1</v>
      </c>
      <c r="C54" s="14">
        <v>0.1</v>
      </c>
      <c r="D54" s="14">
        <v>0.1</v>
      </c>
      <c r="E54" s="14">
        <v>0.1</v>
      </c>
      <c r="F54" s="14">
        <v>0.1</v>
      </c>
      <c r="G54" s="14">
        <v>0.1</v>
      </c>
      <c r="H54" s="14">
        <v>0.1</v>
      </c>
      <c r="I54" s="14">
        <v>0.1</v>
      </c>
      <c r="J54" s="14">
        <v>0.1</v>
      </c>
      <c r="K54" s="14">
        <v>0.1</v>
      </c>
      <c r="L54" s="14">
        <v>0.1</v>
      </c>
      <c r="M54" s="14">
        <v>0.1</v>
      </c>
      <c r="N54" s="14">
        <v>0.1</v>
      </c>
      <c r="O54" s="14">
        <v>0.1</v>
      </c>
      <c r="P54" s="14">
        <v>0.1</v>
      </c>
      <c r="Q54" s="14">
        <v>0.1</v>
      </c>
      <c r="R54" s="14">
        <v>0.1</v>
      </c>
      <c r="S54" s="14">
        <v>0.1</v>
      </c>
      <c r="T54" s="14">
        <v>0.1</v>
      </c>
    </row>
    <row r="55" spans="1:20" s="14" customFormat="1" x14ac:dyDescent="0.45">
      <c r="A55" s="14" t="s">
        <v>156</v>
      </c>
      <c r="B55" s="14">
        <v>0</v>
      </c>
      <c r="C55" s="14">
        <v>0</v>
      </c>
      <c r="D55" s="14">
        <v>0</v>
      </c>
      <c r="E55" s="14">
        <v>0</v>
      </c>
      <c r="F55" s="14">
        <v>5.0000000000000001E-3</v>
      </c>
      <c r="G55" s="14">
        <v>0.01</v>
      </c>
      <c r="H55" s="14">
        <v>0.02</v>
      </c>
      <c r="I55" s="14">
        <v>0.04</v>
      </c>
      <c r="J55" s="14">
        <v>0.05</v>
      </c>
      <c r="K55" s="14">
        <v>0.05</v>
      </c>
      <c r="L55" s="14">
        <v>0.05</v>
      </c>
      <c r="M55" s="14">
        <v>0.05</v>
      </c>
      <c r="N55" s="14">
        <v>0.05</v>
      </c>
      <c r="O55" s="14">
        <v>0.05</v>
      </c>
      <c r="P55" s="14">
        <v>0.05</v>
      </c>
      <c r="Q55" s="14">
        <v>0.05</v>
      </c>
      <c r="R55" s="14">
        <v>0.05</v>
      </c>
      <c r="S55" s="14">
        <v>0.05</v>
      </c>
      <c r="T55" s="14">
        <f>S55*0.98</f>
        <v>4.9000000000000002E-2</v>
      </c>
    </row>
    <row r="56" spans="1:20" s="14" customFormat="1" x14ac:dyDescent="0.45">
      <c r="A56" s="14" t="s">
        <v>143</v>
      </c>
      <c r="B56" s="14">
        <f>B52*B53*B54*B55</f>
        <v>0</v>
      </c>
      <c r="C56" s="14">
        <f t="shared" ref="C56:T56" si="108">C52*C53*C54*C55</f>
        <v>0</v>
      </c>
      <c r="D56" s="14">
        <f t="shared" si="108"/>
        <v>0</v>
      </c>
      <c r="E56" s="14">
        <f t="shared" si="108"/>
        <v>0</v>
      </c>
      <c r="F56" s="14">
        <f t="shared" si="108"/>
        <v>17550000</v>
      </c>
      <c r="G56" s="14">
        <f t="shared" si="108"/>
        <v>36432000</v>
      </c>
      <c r="H56" s="14">
        <f t="shared" si="108"/>
        <v>75528000</v>
      </c>
      <c r="I56" s="14">
        <f t="shared" si="108"/>
        <v>156384000</v>
      </c>
      <c r="J56" s="14">
        <f t="shared" si="108"/>
        <v>202140000</v>
      </c>
      <c r="K56" s="14">
        <f t="shared" si="108"/>
        <v>208800000</v>
      </c>
      <c r="L56" s="14">
        <f t="shared" si="108"/>
        <v>215460000</v>
      </c>
      <c r="M56" s="14">
        <f t="shared" si="108"/>
        <v>222120000</v>
      </c>
      <c r="N56" s="14">
        <f t="shared" si="108"/>
        <v>228780000</v>
      </c>
      <c r="O56" s="14">
        <f t="shared" si="108"/>
        <v>235440000</v>
      </c>
      <c r="P56" s="14">
        <f t="shared" si="108"/>
        <v>242100000</v>
      </c>
      <c r="Q56" s="14">
        <f t="shared" si="108"/>
        <v>248760000</v>
      </c>
      <c r="R56" s="14">
        <f t="shared" si="108"/>
        <v>255420000</v>
      </c>
      <c r="S56" s="14">
        <f t="shared" si="108"/>
        <v>262080000</v>
      </c>
      <c r="T56" s="14">
        <f t="shared" si="108"/>
        <v>263365200</v>
      </c>
    </row>
    <row r="57" spans="1:20" s="14" customFormat="1" x14ac:dyDescent="0.45">
      <c r="A57" s="14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0.08</v>
      </c>
      <c r="G57" s="14">
        <v>0.1</v>
      </c>
      <c r="H57" s="14">
        <v>0.12</v>
      </c>
      <c r="I57" s="14">
        <v>0.14000000000000001</v>
      </c>
      <c r="J57" s="14">
        <v>0.16</v>
      </c>
      <c r="K57" s="14">
        <v>0.18</v>
      </c>
      <c r="L57" s="14">
        <v>0.18</v>
      </c>
      <c r="M57" s="14">
        <v>0.18</v>
      </c>
      <c r="N57" s="14">
        <v>0.18</v>
      </c>
      <c r="O57" s="14">
        <v>0.18</v>
      </c>
      <c r="P57" s="14">
        <v>0.18</v>
      </c>
      <c r="Q57" s="14">
        <v>0.18</v>
      </c>
      <c r="R57" s="14">
        <v>0.18</v>
      </c>
      <c r="S57" s="14">
        <v>0.18</v>
      </c>
      <c r="T57" s="14">
        <v>0.18</v>
      </c>
    </row>
    <row r="58" spans="1:20" s="29" customFormat="1" x14ac:dyDescent="0.45">
      <c r="A58" s="29" t="s">
        <v>161</v>
      </c>
      <c r="B58" s="29">
        <f>B56*B57</f>
        <v>0</v>
      </c>
      <c r="C58" s="29">
        <f t="shared" ref="C58:J58" si="109">C56*C57</f>
        <v>0</v>
      </c>
      <c r="D58" s="29">
        <f t="shared" si="109"/>
        <v>0</v>
      </c>
      <c r="E58" s="29">
        <f t="shared" si="109"/>
        <v>0</v>
      </c>
      <c r="F58" s="29">
        <f t="shared" si="109"/>
        <v>1404000</v>
      </c>
      <c r="G58" s="29">
        <f t="shared" si="109"/>
        <v>3643200</v>
      </c>
      <c r="H58" s="29">
        <f t="shared" si="109"/>
        <v>9063360</v>
      </c>
      <c r="I58" s="29">
        <f t="shared" si="109"/>
        <v>21893760.000000004</v>
      </c>
      <c r="J58" s="29">
        <f t="shared" si="109"/>
        <v>32342400</v>
      </c>
      <c r="K58" s="29">
        <f>K56*K57</f>
        <v>37584000</v>
      </c>
      <c r="L58" s="29">
        <f t="shared" ref="L58:Q58" si="110">L56*L57</f>
        <v>38782800</v>
      </c>
      <c r="M58" s="29">
        <f t="shared" si="110"/>
        <v>39981600</v>
      </c>
      <c r="N58" s="29">
        <f t="shared" si="110"/>
        <v>41180400</v>
      </c>
      <c r="O58" s="29">
        <f t="shared" si="110"/>
        <v>42379200</v>
      </c>
      <c r="P58" s="29">
        <f t="shared" si="110"/>
        <v>43578000</v>
      </c>
      <c r="Q58" s="29">
        <f t="shared" si="110"/>
        <v>44776800</v>
      </c>
      <c r="R58" s="29">
        <f>R56*R57</f>
        <v>45975600</v>
      </c>
      <c r="S58" s="65">
        <f t="shared" ref="S58:T58" si="111">S56*S57</f>
        <v>47174400</v>
      </c>
      <c r="T58" s="29">
        <f t="shared" si="111"/>
        <v>47405736</v>
      </c>
    </row>
    <row r="59" spans="1:20" s="29" customFormat="1" x14ac:dyDescent="0.45">
      <c r="S59" s="65"/>
    </row>
    <row r="60" spans="1:20" s="14" customFormat="1" x14ac:dyDescent="0.45">
      <c r="A60" s="25" t="s">
        <v>159</v>
      </c>
    </row>
    <row r="61" spans="1:20" s="14" customFormat="1" x14ac:dyDescent="0.45">
      <c r="A61" s="14" t="s">
        <v>129</v>
      </c>
      <c r="B61" s="14">
        <v>5000</v>
      </c>
      <c r="C61" s="14">
        <v>5000</v>
      </c>
      <c r="D61" s="14">
        <v>5000</v>
      </c>
      <c r="E61" s="14">
        <v>5000</v>
      </c>
      <c r="F61" s="14">
        <v>5000</v>
      </c>
      <c r="G61" s="14">
        <v>5000</v>
      </c>
      <c r="H61" s="14">
        <v>5000</v>
      </c>
      <c r="I61" s="14">
        <v>5000</v>
      </c>
      <c r="J61" s="14">
        <v>5000</v>
      </c>
      <c r="K61" s="14">
        <v>5000</v>
      </c>
      <c r="L61" s="14">
        <v>5000</v>
      </c>
      <c r="M61" s="14">
        <v>5000</v>
      </c>
      <c r="N61" s="14">
        <v>5000</v>
      </c>
      <c r="O61" s="14">
        <v>5000</v>
      </c>
      <c r="P61" s="14">
        <v>5000</v>
      </c>
      <c r="Q61" s="14">
        <v>5000</v>
      </c>
      <c r="R61" s="14">
        <v>5000</v>
      </c>
      <c r="S61" s="14">
        <v>5000</v>
      </c>
      <c r="T61" s="14">
        <v>5000</v>
      </c>
    </row>
    <row r="62" spans="1:20" s="14" customFormat="1" x14ac:dyDescent="0.45">
      <c r="A62" s="14" t="s">
        <v>160</v>
      </c>
      <c r="B62" s="4">
        <f>(568/100000)*320000000</f>
        <v>1817600</v>
      </c>
      <c r="C62" s="4">
        <f>B62+128000</f>
        <v>1945600</v>
      </c>
      <c r="D62" s="4">
        <f t="shared" ref="D62:T62" si="112">C62+128000</f>
        <v>2073600</v>
      </c>
      <c r="E62" s="4">
        <f t="shared" si="112"/>
        <v>2201600</v>
      </c>
      <c r="F62" s="4">
        <f t="shared" si="112"/>
        <v>2329600</v>
      </c>
      <c r="G62" s="4">
        <f t="shared" si="112"/>
        <v>2457600</v>
      </c>
      <c r="H62" s="4">
        <f t="shared" si="112"/>
        <v>2585600</v>
      </c>
      <c r="I62" s="4">
        <f t="shared" si="112"/>
        <v>2713600</v>
      </c>
      <c r="J62" s="4">
        <f>I62+128000</f>
        <v>2841600</v>
      </c>
      <c r="K62" s="4">
        <f t="shared" si="112"/>
        <v>2969600</v>
      </c>
      <c r="L62" s="4">
        <f t="shared" si="112"/>
        <v>3097600</v>
      </c>
      <c r="M62" s="4">
        <f t="shared" si="112"/>
        <v>3225600</v>
      </c>
      <c r="N62" s="4">
        <f>M62+128000</f>
        <v>3353600</v>
      </c>
      <c r="O62" s="4">
        <f t="shared" si="112"/>
        <v>3481600</v>
      </c>
      <c r="P62" s="4">
        <f t="shared" si="112"/>
        <v>3609600</v>
      </c>
      <c r="Q62" s="4">
        <f t="shared" si="112"/>
        <v>3737600</v>
      </c>
      <c r="R62" s="4">
        <f>Q62+128000</f>
        <v>3865600</v>
      </c>
      <c r="S62" s="4">
        <f t="shared" si="112"/>
        <v>3993600</v>
      </c>
      <c r="T62" s="4">
        <f t="shared" si="112"/>
        <v>4121600</v>
      </c>
    </row>
    <row r="63" spans="1:20" s="14" customFormat="1" x14ac:dyDescent="0.45">
      <c r="A63" s="14" t="s">
        <v>128</v>
      </c>
      <c r="B63" s="14">
        <v>0.1</v>
      </c>
      <c r="C63" s="14">
        <v>0.1</v>
      </c>
      <c r="D63" s="14">
        <v>0.1</v>
      </c>
      <c r="E63" s="14">
        <v>0.1</v>
      </c>
      <c r="F63" s="14">
        <v>0.1</v>
      </c>
      <c r="G63" s="14">
        <v>0.1</v>
      </c>
      <c r="H63" s="14">
        <v>0.1</v>
      </c>
      <c r="I63" s="14">
        <v>0.1</v>
      </c>
      <c r="J63" s="14">
        <v>0.1</v>
      </c>
      <c r="K63" s="14">
        <v>0.1</v>
      </c>
      <c r="L63" s="14">
        <v>0.1</v>
      </c>
      <c r="M63" s="14">
        <v>0.1</v>
      </c>
      <c r="N63" s="14">
        <v>0.1</v>
      </c>
      <c r="O63" s="14">
        <v>0.1</v>
      </c>
      <c r="P63" s="14">
        <v>0.1</v>
      </c>
      <c r="Q63" s="14">
        <v>0.1</v>
      </c>
      <c r="R63" s="14">
        <v>0.1</v>
      </c>
      <c r="S63" s="14">
        <v>0.1</v>
      </c>
      <c r="T63" s="14">
        <v>0.1</v>
      </c>
    </row>
    <row r="64" spans="1:20" s="14" customFormat="1" x14ac:dyDescent="0.45">
      <c r="A64" s="14" t="s">
        <v>156</v>
      </c>
      <c r="B64" s="14">
        <v>0</v>
      </c>
      <c r="C64" s="14">
        <v>0</v>
      </c>
      <c r="D64" s="14">
        <v>0</v>
      </c>
      <c r="E64" s="14">
        <v>0</v>
      </c>
      <c r="F64" s="14">
        <v>5.0000000000000001E-3</v>
      </c>
      <c r="G64" s="14">
        <v>0.01</v>
      </c>
      <c r="H64" s="14">
        <v>0.02</v>
      </c>
      <c r="I64" s="14">
        <v>0.04</v>
      </c>
      <c r="J64" s="14">
        <v>0.05</v>
      </c>
      <c r="K64" s="14">
        <v>0.05</v>
      </c>
      <c r="L64" s="14">
        <v>0.05</v>
      </c>
      <c r="M64" s="14">
        <v>0.05</v>
      </c>
      <c r="N64" s="14">
        <v>0.05</v>
      </c>
      <c r="O64" s="14">
        <v>0.05</v>
      </c>
      <c r="P64" s="14">
        <v>0.05</v>
      </c>
      <c r="Q64" s="14">
        <v>0.05</v>
      </c>
      <c r="R64" s="14">
        <v>0.05</v>
      </c>
      <c r="S64" s="14">
        <v>0.05</v>
      </c>
      <c r="T64" s="14">
        <v>4.9000000000000002E-2</v>
      </c>
    </row>
    <row r="65" spans="1:20" s="29" customFormat="1" x14ac:dyDescent="0.45">
      <c r="A65" s="29" t="s">
        <v>162</v>
      </c>
      <c r="B65" s="29">
        <f>B61*B62*B63*B64</f>
        <v>0</v>
      </c>
      <c r="C65" s="29">
        <f t="shared" ref="C65:T65" si="113">C61*C62*C63*C64</f>
        <v>0</v>
      </c>
      <c r="D65" s="29">
        <f t="shared" si="113"/>
        <v>0</v>
      </c>
      <c r="E65" s="29">
        <f t="shared" si="113"/>
        <v>0</v>
      </c>
      <c r="F65" s="29">
        <f t="shared" si="113"/>
        <v>5824000</v>
      </c>
      <c r="G65" s="29">
        <f t="shared" si="113"/>
        <v>12288000</v>
      </c>
      <c r="H65" s="29">
        <f t="shared" si="113"/>
        <v>25856000</v>
      </c>
      <c r="I65" s="29">
        <f t="shared" si="113"/>
        <v>54272000</v>
      </c>
      <c r="J65" s="29">
        <f t="shared" si="113"/>
        <v>71040000</v>
      </c>
      <c r="K65" s="29">
        <f t="shared" si="113"/>
        <v>74240000</v>
      </c>
      <c r="L65" s="29">
        <f t="shared" si="113"/>
        <v>77440000</v>
      </c>
      <c r="M65" s="29">
        <f t="shared" si="113"/>
        <v>80640000</v>
      </c>
      <c r="N65" s="29">
        <f t="shared" si="113"/>
        <v>83840000</v>
      </c>
      <c r="O65" s="29">
        <f t="shared" si="113"/>
        <v>87040000</v>
      </c>
      <c r="P65" s="29">
        <f t="shared" si="113"/>
        <v>90240000</v>
      </c>
      <c r="Q65" s="29">
        <f t="shared" si="113"/>
        <v>93440000</v>
      </c>
      <c r="R65" s="29">
        <f t="shared" si="113"/>
        <v>96640000</v>
      </c>
      <c r="S65" s="29">
        <f t="shared" si="113"/>
        <v>99840000</v>
      </c>
      <c r="T65" s="29">
        <f t="shared" si="113"/>
        <v>100979200</v>
      </c>
    </row>
    <row r="67" spans="1:20" x14ac:dyDescent="0.45">
      <c r="A67" s="69" t="s">
        <v>144</v>
      </c>
      <c r="B67" s="70">
        <f>B8+B17+B24+B31+B40+B49+B58+B65</f>
        <v>0</v>
      </c>
      <c r="C67" s="70">
        <f t="shared" ref="C67:T67" si="114">C8+C17+C24+C31+C40+C49+C58+C65</f>
        <v>0</v>
      </c>
      <c r="D67" s="70">
        <f t="shared" si="114"/>
        <v>18000000</v>
      </c>
      <c r="E67" s="70">
        <f t="shared" si="114"/>
        <v>36332800</v>
      </c>
      <c r="F67" s="70">
        <f t="shared" si="114"/>
        <v>114755840</v>
      </c>
      <c r="G67" s="70">
        <f t="shared" si="114"/>
        <v>190553400</v>
      </c>
      <c r="H67" s="70">
        <f t="shared" si="114"/>
        <v>306903040</v>
      </c>
      <c r="I67" s="70">
        <f t="shared" si="114"/>
        <v>501958240</v>
      </c>
      <c r="J67" s="70">
        <f>J8+J17+J24+J31+J40+J49+J58+J65</f>
        <v>644462400</v>
      </c>
      <c r="K67" s="70">
        <f t="shared" si="114"/>
        <v>714410840</v>
      </c>
      <c r="L67" s="70">
        <f t="shared" si="114"/>
        <v>744365856</v>
      </c>
      <c r="M67" s="70">
        <f t="shared" si="114"/>
        <v>774320872</v>
      </c>
      <c r="N67" s="70">
        <f t="shared" si="114"/>
        <v>804275888</v>
      </c>
      <c r="O67" s="70">
        <f t="shared" si="114"/>
        <v>834230904</v>
      </c>
      <c r="P67" s="70">
        <f>P8+P17+P24+P31+P40+P49+P58+P65</f>
        <v>864185920</v>
      </c>
      <c r="Q67" s="70">
        <f t="shared" si="114"/>
        <v>880755720</v>
      </c>
      <c r="R67" s="70">
        <f t="shared" si="114"/>
        <v>897325520</v>
      </c>
      <c r="S67" s="70">
        <f t="shared" si="114"/>
        <v>913895320</v>
      </c>
      <c r="T67" s="70">
        <f t="shared" si="114"/>
        <v>910033317.60000002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opLeftCell="A41" workbookViewId="0">
      <selection activeCell="C73" sqref="C73"/>
    </sheetView>
  </sheetViews>
  <sheetFormatPr defaultColWidth="8.86328125" defaultRowHeight="14.25" x14ac:dyDescent="0.45"/>
  <cols>
    <col min="1" max="1" width="86.3984375" customWidth="1"/>
    <col min="2" max="2" width="14.1328125" customWidth="1"/>
    <col min="3" max="3" width="12" customWidth="1"/>
    <col min="4" max="4" width="14.3984375" customWidth="1"/>
    <col min="5" max="5" width="15" customWidth="1"/>
    <col min="6" max="6" width="16.3984375" customWidth="1"/>
    <col min="7" max="7" width="16" customWidth="1"/>
    <col min="8" max="8" width="17" customWidth="1"/>
    <col min="9" max="9" width="15.265625" customWidth="1"/>
    <col min="10" max="10" width="13.3984375" customWidth="1"/>
    <col min="11" max="11" width="14.1328125" customWidth="1"/>
    <col min="12" max="12" width="14.265625" customWidth="1"/>
    <col min="13" max="13" width="13.1328125" customWidth="1"/>
    <col min="14" max="14" width="13.265625" customWidth="1"/>
    <col min="15" max="15" width="15.3984375" customWidth="1"/>
    <col min="16" max="16" width="14.86328125" customWidth="1"/>
    <col min="17" max="17" width="14.265625" customWidth="1"/>
    <col min="18" max="18" width="14.3984375" customWidth="1"/>
    <col min="19" max="19" width="13.265625" customWidth="1"/>
    <col min="20" max="20" width="13.3984375" customWidth="1"/>
    <col min="21" max="21" width="17" customWidth="1"/>
    <col min="22" max="22" width="16.86328125" customWidth="1"/>
  </cols>
  <sheetData>
    <row r="1" spans="1:20" s="16" customFormat="1" ht="26.85" customHeight="1" x14ac:dyDescent="0.4">
      <c r="A1" s="15" t="s">
        <v>90</v>
      </c>
    </row>
    <row r="2" spans="1:20" s="17" customFormat="1" ht="13.15" x14ac:dyDescent="0.4">
      <c r="A2" s="17" t="s">
        <v>58</v>
      </c>
      <c r="B2" s="17">
        <v>2016</v>
      </c>
      <c r="C2" s="17">
        <v>2017</v>
      </c>
      <c r="D2" s="17">
        <v>2018</v>
      </c>
      <c r="E2" s="17">
        <v>2019</v>
      </c>
      <c r="F2" s="17">
        <v>2020</v>
      </c>
      <c r="G2" s="17">
        <v>2021</v>
      </c>
      <c r="H2" s="17">
        <v>2022</v>
      </c>
      <c r="I2" s="17">
        <v>2023</v>
      </c>
      <c r="J2" s="17">
        <v>2024</v>
      </c>
      <c r="K2" s="17">
        <v>2025</v>
      </c>
      <c r="L2" s="17">
        <v>2026</v>
      </c>
      <c r="M2" s="17">
        <v>2027</v>
      </c>
      <c r="N2" s="17">
        <v>2028</v>
      </c>
      <c r="O2" s="17">
        <v>2029</v>
      </c>
      <c r="P2" s="17">
        <v>2030</v>
      </c>
      <c r="Q2" s="17">
        <v>2031</v>
      </c>
      <c r="R2" s="17">
        <v>2032</v>
      </c>
      <c r="S2" s="17">
        <v>2033</v>
      </c>
      <c r="T2" s="17">
        <v>2034</v>
      </c>
    </row>
    <row r="3" spans="1:20" s="17" customFormat="1" ht="13.15" x14ac:dyDescent="0.4"/>
    <row r="4" spans="1:20" s="38" customFormat="1" ht="29.1" customHeight="1" x14ac:dyDescent="0.4">
      <c r="A4" s="24" t="s">
        <v>144</v>
      </c>
      <c r="B4" s="39">
        <v>0</v>
      </c>
      <c r="C4" s="39">
        <v>0</v>
      </c>
      <c r="D4" s="39">
        <v>18000000</v>
      </c>
      <c r="E4" s="39">
        <v>36332800</v>
      </c>
      <c r="F4" s="39">
        <v>114755840</v>
      </c>
      <c r="G4" s="39">
        <v>190553400</v>
      </c>
      <c r="H4" s="39">
        <v>306903040</v>
      </c>
      <c r="I4" s="39">
        <v>501958240</v>
      </c>
      <c r="J4" s="39">
        <v>644462400</v>
      </c>
      <c r="K4" s="39">
        <v>714410840</v>
      </c>
      <c r="L4" s="39">
        <v>744365856</v>
      </c>
      <c r="M4" s="39">
        <v>774320872</v>
      </c>
      <c r="N4" s="39">
        <v>804275888</v>
      </c>
      <c r="O4" s="39">
        <v>834230904</v>
      </c>
      <c r="P4" s="39">
        <v>864185920</v>
      </c>
      <c r="Q4" s="39">
        <v>880755720</v>
      </c>
      <c r="R4" s="39">
        <v>897325520</v>
      </c>
      <c r="S4" s="39">
        <v>913895320</v>
      </c>
      <c r="T4" s="39">
        <v>910033317.60000002</v>
      </c>
    </row>
    <row r="5" spans="1:20" s="16" customFormat="1" ht="12.75" x14ac:dyDescent="0.35">
      <c r="A5" s="16" t="s">
        <v>4</v>
      </c>
    </row>
    <row r="6" spans="1:20" s="16" customFormat="1" ht="12.75" x14ac:dyDescent="0.35">
      <c r="A6" s="16" t="s">
        <v>145</v>
      </c>
      <c r="B6" s="21">
        <v>60000000</v>
      </c>
      <c r="C6" s="21">
        <v>60000000</v>
      </c>
      <c r="D6" s="22">
        <f>D4*0.1769*0.5</f>
        <v>1592100</v>
      </c>
      <c r="E6" s="22">
        <f t="shared" ref="E6:T6" si="0">E4*0.1769*0.5</f>
        <v>3213636.16</v>
      </c>
      <c r="F6" s="22">
        <f t="shared" si="0"/>
        <v>10150154.048</v>
      </c>
      <c r="G6" s="22">
        <f t="shared" si="0"/>
        <v>16854448.23</v>
      </c>
      <c r="H6" s="22">
        <f t="shared" si="0"/>
        <v>27145573.888</v>
      </c>
      <c r="I6" s="22">
        <f t="shared" si="0"/>
        <v>44398206.328000002</v>
      </c>
      <c r="J6" s="22">
        <f t="shared" si="0"/>
        <v>57002699.280000001</v>
      </c>
      <c r="K6" s="22">
        <f t="shared" si="0"/>
        <v>63189638.798</v>
      </c>
      <c r="L6" s="22">
        <f t="shared" si="0"/>
        <v>65839159.963200003</v>
      </c>
      <c r="M6" s="22">
        <f t="shared" si="0"/>
        <v>68488681.128399998</v>
      </c>
      <c r="N6" s="22">
        <f>N4*0.1769*0.5</f>
        <v>71138202.293600008</v>
      </c>
      <c r="O6" s="22">
        <f t="shared" si="0"/>
        <v>73787723.458800003</v>
      </c>
      <c r="P6" s="22">
        <f t="shared" si="0"/>
        <v>76437244.623999998</v>
      </c>
      <c r="Q6" s="22">
        <f>Q4*0.1769*0.5</f>
        <v>77902843.434</v>
      </c>
      <c r="R6" s="22">
        <f t="shared" si="0"/>
        <v>79368442.244000003</v>
      </c>
      <c r="S6" s="22">
        <f t="shared" si="0"/>
        <v>80834041.054000005</v>
      </c>
      <c r="T6" s="22">
        <f t="shared" si="0"/>
        <v>80492446.941720009</v>
      </c>
    </row>
    <row r="7" spans="1:20" s="16" customFormat="1" ht="12.75" x14ac:dyDescent="0.35">
      <c r="A7" s="16" t="s">
        <v>59</v>
      </c>
      <c r="B7" s="18">
        <v>22000000</v>
      </c>
      <c r="C7" s="18">
        <v>22000000</v>
      </c>
    </row>
    <row r="8" spans="1:20" s="16" customFormat="1" ht="12.75" x14ac:dyDescent="0.35">
      <c r="A8" s="16" t="s">
        <v>9</v>
      </c>
    </row>
    <row r="9" spans="1:20" s="16" customFormat="1" ht="32.85" customHeight="1" x14ac:dyDescent="0.4">
      <c r="A9" s="24" t="s">
        <v>60</v>
      </c>
      <c r="B9" s="21">
        <f>B4-B5-B6-B7-B8</f>
        <v>-82000000</v>
      </c>
      <c r="C9" s="21">
        <f t="shared" ref="C9:K9" si="1">C4-C5-C6-C7-C8</f>
        <v>-82000000</v>
      </c>
      <c r="D9" s="21">
        <f t="shared" si="1"/>
        <v>16407900</v>
      </c>
      <c r="E9" s="21">
        <f t="shared" si="1"/>
        <v>33119163.84</v>
      </c>
      <c r="F9" s="21">
        <f t="shared" si="1"/>
        <v>104605685.95199999</v>
      </c>
      <c r="G9" s="21">
        <f t="shared" si="1"/>
        <v>173698951.77000001</v>
      </c>
      <c r="H9" s="21">
        <f t="shared" si="1"/>
        <v>279757466.11199999</v>
      </c>
      <c r="I9" s="21">
        <f t="shared" si="1"/>
        <v>457560033.67199999</v>
      </c>
      <c r="J9" s="21">
        <f t="shared" si="1"/>
        <v>587459700.72000003</v>
      </c>
      <c r="K9" s="21">
        <f t="shared" si="1"/>
        <v>651221201.20200002</v>
      </c>
      <c r="L9" s="21">
        <f>L4-L5-L6-L7-L8</f>
        <v>678526696.03680003</v>
      </c>
      <c r="M9" s="21">
        <f t="shared" ref="M9" si="2">M4-M5-M6-M7-M8</f>
        <v>705832190.87160003</v>
      </c>
      <c r="N9" s="21">
        <f t="shared" ref="N9" si="3">N4-N5-N6-N7-N8</f>
        <v>733137685.70640004</v>
      </c>
      <c r="O9" s="21">
        <f t="shared" ref="O9" si="4">O4-O5-O6-O7-O8</f>
        <v>760443180.54120004</v>
      </c>
      <c r="P9" s="21">
        <f t="shared" ref="P9" si="5">P4-P5-P6-P7-P8</f>
        <v>787748675.37600005</v>
      </c>
      <c r="Q9" s="21">
        <f t="shared" ref="Q9" si="6">Q4-Q5-Q6-Q7-Q8</f>
        <v>802852876.56599998</v>
      </c>
      <c r="R9" s="21">
        <f t="shared" ref="R9" si="7">R4-R5-R6-R7-R8</f>
        <v>817957077.75600004</v>
      </c>
      <c r="S9" s="21">
        <f t="shared" ref="S9" si="8">S4-S5-S6-S7-S8</f>
        <v>833061278.94599998</v>
      </c>
      <c r="T9" s="21">
        <f t="shared" ref="T9" si="9">T4-T5-T6-T7-T8</f>
        <v>829540870.65828001</v>
      </c>
    </row>
    <row r="10" spans="1:20" s="16" customFormat="1" ht="12.75" x14ac:dyDescent="0.35">
      <c r="A10" s="16" t="s">
        <v>88</v>
      </c>
      <c r="B10" s="16">
        <v>1200000</v>
      </c>
      <c r="C10" s="18">
        <v>1200000</v>
      </c>
      <c r="D10" s="18">
        <f>D4*0.073</f>
        <v>1314000</v>
      </c>
      <c r="E10" s="18">
        <f t="shared" ref="E10:T10" si="10">E4*0.073</f>
        <v>2652294.4</v>
      </c>
      <c r="F10" s="18">
        <f t="shared" si="10"/>
        <v>8377176.3199999994</v>
      </c>
      <c r="G10" s="18">
        <f t="shared" si="10"/>
        <v>13910398.199999999</v>
      </c>
      <c r="H10" s="18">
        <f t="shared" si="10"/>
        <v>22403921.919999998</v>
      </c>
      <c r="I10" s="18">
        <f t="shared" si="10"/>
        <v>36642951.519999996</v>
      </c>
      <c r="J10" s="18">
        <f t="shared" si="10"/>
        <v>47045755.199999996</v>
      </c>
      <c r="K10" s="18">
        <f t="shared" si="10"/>
        <v>52151991.32</v>
      </c>
      <c r="L10" s="18">
        <f t="shared" si="10"/>
        <v>54338707.487999998</v>
      </c>
      <c r="M10" s="18">
        <f t="shared" si="10"/>
        <v>56525423.655999996</v>
      </c>
      <c r="N10" s="18">
        <f t="shared" si="10"/>
        <v>58712139.823999994</v>
      </c>
      <c r="O10" s="18">
        <f t="shared" si="10"/>
        <v>60898855.991999999</v>
      </c>
      <c r="P10" s="18">
        <f t="shared" si="10"/>
        <v>63085572.159999996</v>
      </c>
      <c r="Q10" s="18">
        <f t="shared" si="10"/>
        <v>64295167.559999995</v>
      </c>
      <c r="R10" s="18">
        <f t="shared" si="10"/>
        <v>65504762.959999993</v>
      </c>
      <c r="S10" s="18">
        <f>S4*0.073</f>
        <v>66714358.359999999</v>
      </c>
      <c r="T10" s="18">
        <f t="shared" si="10"/>
        <v>66432432.184799999</v>
      </c>
    </row>
    <row r="11" spans="1:20" s="16" customFormat="1" ht="33.6" customHeight="1" x14ac:dyDescent="0.4">
      <c r="A11" s="19" t="s">
        <v>61</v>
      </c>
      <c r="B11" s="21">
        <f>B9-B10</f>
        <v>-83200000</v>
      </c>
      <c r="C11" s="21">
        <f t="shared" ref="C11:I11" si="11">C9-C10</f>
        <v>-83200000</v>
      </c>
      <c r="D11" s="21">
        <f t="shared" si="11"/>
        <v>15093900</v>
      </c>
      <c r="E11" s="21">
        <f t="shared" si="11"/>
        <v>30466869.440000001</v>
      </c>
      <c r="F11" s="21">
        <f t="shared" si="11"/>
        <v>96228509.631999999</v>
      </c>
      <c r="G11" s="21">
        <f t="shared" si="11"/>
        <v>159788553.57000002</v>
      </c>
      <c r="H11" s="21">
        <f t="shared" si="11"/>
        <v>257353544.192</v>
      </c>
      <c r="I11" s="21">
        <f t="shared" si="11"/>
        <v>420917082.15200001</v>
      </c>
      <c r="J11" s="21">
        <f t="shared" ref="J11" si="12">J9-J10</f>
        <v>540413945.51999998</v>
      </c>
      <c r="K11" s="21">
        <f t="shared" ref="K11" si="13">K9-K10</f>
        <v>599069209.88199997</v>
      </c>
      <c r="L11" s="21">
        <f t="shared" ref="L11" si="14">L9-L10</f>
        <v>624187988.54879999</v>
      </c>
      <c r="M11" s="21">
        <f t="shared" ref="M11" si="15">M9-M10</f>
        <v>649306767.21560001</v>
      </c>
      <c r="N11" s="21">
        <f t="shared" ref="N11" si="16">N9-N10</f>
        <v>674425545.88240004</v>
      </c>
      <c r="O11" s="21">
        <f t="shared" ref="O11:P11" si="17">O9-O10</f>
        <v>699544324.54920006</v>
      </c>
      <c r="P11" s="21">
        <f t="shared" si="17"/>
        <v>724663103.21600008</v>
      </c>
      <c r="Q11" s="21">
        <f>Q9-Q10</f>
        <v>738557709.00600004</v>
      </c>
      <c r="R11" s="21">
        <f t="shared" ref="R11" si="18">R9-R10</f>
        <v>752452314.796</v>
      </c>
      <c r="S11" s="21">
        <f t="shared" ref="S11" si="19">S9-S10</f>
        <v>766346920.58599997</v>
      </c>
      <c r="T11" s="21">
        <f t="shared" ref="T11" si="20">T9-T10</f>
        <v>763108438.47347999</v>
      </c>
    </row>
    <row r="12" spans="1:20" s="16" customFormat="1" ht="12.75" x14ac:dyDescent="0.35">
      <c r="A12" s="16" t="s">
        <v>62</v>
      </c>
    </row>
    <row r="13" spans="1:20" s="16" customFormat="1" ht="12.75" x14ac:dyDescent="0.35">
      <c r="A13" s="16" t="s">
        <v>63</v>
      </c>
    </row>
    <row r="14" spans="1:20" s="16" customFormat="1" ht="12.75" x14ac:dyDescent="0.35">
      <c r="A14" s="16" t="s">
        <v>87</v>
      </c>
      <c r="B14" s="21"/>
      <c r="C14" s="21"/>
    </row>
    <row r="15" spans="1:20" s="16" customFormat="1" ht="12.75" x14ac:dyDescent="0.35">
      <c r="A15" s="16" t="s">
        <v>64</v>
      </c>
      <c r="B15" s="16">
        <f>268000*4</f>
        <v>1072000</v>
      </c>
    </row>
    <row r="16" spans="1:20" s="16" customFormat="1" ht="12.75" x14ac:dyDescent="0.35">
      <c r="A16" s="16" t="s">
        <v>65</v>
      </c>
      <c r="B16" s="16">
        <f>56000*4</f>
        <v>224000</v>
      </c>
    </row>
    <row r="17" spans="1:20" s="16" customFormat="1" ht="12.75" x14ac:dyDescent="0.35">
      <c r="A17" s="16" t="s">
        <v>66</v>
      </c>
    </row>
    <row r="18" spans="1:20" s="16" customFormat="1" ht="12.75" x14ac:dyDescent="0.35">
      <c r="A18" s="16" t="s">
        <v>146</v>
      </c>
      <c r="B18" s="21">
        <v>1000000</v>
      </c>
    </row>
    <row r="19" spans="1:20" s="16" customFormat="1" ht="31.35" customHeight="1" x14ac:dyDescent="0.4">
      <c r="A19" s="24" t="s">
        <v>67</v>
      </c>
      <c r="B19" s="21"/>
      <c r="C19" s="21"/>
    </row>
    <row r="20" spans="1:20" s="16" customFormat="1" ht="12.75" x14ac:dyDescent="0.35">
      <c r="A20" s="16" t="s">
        <v>68</v>
      </c>
    </row>
    <row r="21" spans="1:20" s="16" customFormat="1" ht="12.75" x14ac:dyDescent="0.35">
      <c r="A21" s="16" t="s">
        <v>69</v>
      </c>
    </row>
    <row r="22" spans="1:20" s="16" customFormat="1" ht="29.85" customHeight="1" x14ac:dyDescent="0.4">
      <c r="A22" s="19" t="s">
        <v>70</v>
      </c>
      <c r="B22" s="21"/>
      <c r="C22" s="21"/>
    </row>
    <row r="23" spans="1:20" s="16" customFormat="1" ht="12.75" x14ac:dyDescent="0.35">
      <c r="A23" s="16" t="s">
        <v>71</v>
      </c>
    </row>
    <row r="24" spans="1:20" s="16" customFormat="1" ht="32.1" customHeight="1" x14ac:dyDescent="0.4">
      <c r="A24" s="24" t="s">
        <v>114</v>
      </c>
      <c r="B24" s="21">
        <f>B11</f>
        <v>-83200000</v>
      </c>
      <c r="C24" s="21">
        <f>C11</f>
        <v>-83200000</v>
      </c>
      <c r="D24" s="18">
        <f>D4*0.175</f>
        <v>3150000</v>
      </c>
      <c r="E24" s="18">
        <f t="shared" ref="E24:T24" si="21">E4*0.175</f>
        <v>6358240</v>
      </c>
      <c r="F24" s="18">
        <f t="shared" si="21"/>
        <v>20082272</v>
      </c>
      <c r="G24" s="18">
        <f t="shared" si="21"/>
        <v>33346844.999999996</v>
      </c>
      <c r="H24" s="18">
        <f t="shared" si="21"/>
        <v>53708032</v>
      </c>
      <c r="I24" s="18">
        <f t="shared" si="21"/>
        <v>87842692</v>
      </c>
      <c r="J24" s="18">
        <f t="shared" si="21"/>
        <v>112780920</v>
      </c>
      <c r="K24" s="18">
        <f t="shared" si="21"/>
        <v>125021896.99999999</v>
      </c>
      <c r="L24" s="18">
        <f t="shared" si="21"/>
        <v>130264024.8</v>
      </c>
      <c r="M24" s="18">
        <f t="shared" si="21"/>
        <v>135506152.59999999</v>
      </c>
      <c r="N24" s="18">
        <f t="shared" si="21"/>
        <v>140748280.40000001</v>
      </c>
      <c r="O24" s="18">
        <f t="shared" si="21"/>
        <v>145990408.19999999</v>
      </c>
      <c r="P24" s="18">
        <f>P4*0.175</f>
        <v>151232536</v>
      </c>
      <c r="Q24" s="18">
        <f t="shared" si="21"/>
        <v>154132251</v>
      </c>
      <c r="R24" s="18">
        <f t="shared" si="21"/>
        <v>157031966</v>
      </c>
      <c r="S24" s="18">
        <f t="shared" si="21"/>
        <v>159931681</v>
      </c>
      <c r="T24" s="18">
        <f t="shared" si="21"/>
        <v>159255830.57999998</v>
      </c>
    </row>
    <row r="25" spans="1:20" s="16" customFormat="1" ht="12.75" x14ac:dyDescent="0.35">
      <c r="A25" s="16" t="s">
        <v>72</v>
      </c>
    </row>
    <row r="26" spans="1:20" s="16" customFormat="1" ht="29.1" customHeight="1" x14ac:dyDescent="0.4">
      <c r="A26" s="19" t="s">
        <v>73</v>
      </c>
      <c r="B26" s="21">
        <f>B24-B25</f>
        <v>-83200000</v>
      </c>
      <c r="C26" s="21">
        <f>C24-C25</f>
        <v>-83200000</v>
      </c>
      <c r="D26" s="21">
        <f t="shared" ref="D26:P26" si="22">D24-D25</f>
        <v>3150000</v>
      </c>
      <c r="E26" s="21">
        <f t="shared" si="22"/>
        <v>6358240</v>
      </c>
      <c r="F26" s="21">
        <f t="shared" si="22"/>
        <v>20082272</v>
      </c>
      <c r="G26" s="21">
        <f t="shared" si="22"/>
        <v>33346844.999999996</v>
      </c>
      <c r="H26" s="21">
        <f t="shared" si="22"/>
        <v>53708032</v>
      </c>
      <c r="I26" s="21">
        <f t="shared" si="22"/>
        <v>87842692</v>
      </c>
      <c r="J26" s="21">
        <f t="shared" si="22"/>
        <v>112780920</v>
      </c>
      <c r="K26" s="21">
        <f t="shared" si="22"/>
        <v>125021896.99999999</v>
      </c>
      <c r="L26" s="21">
        <f t="shared" si="22"/>
        <v>130264024.8</v>
      </c>
      <c r="M26" s="21">
        <f t="shared" si="22"/>
        <v>135506152.59999999</v>
      </c>
      <c r="N26" s="21">
        <f t="shared" si="22"/>
        <v>140748280.40000001</v>
      </c>
      <c r="O26" s="21">
        <f t="shared" si="22"/>
        <v>145990408.19999999</v>
      </c>
      <c r="P26" s="21">
        <f t="shared" si="22"/>
        <v>151232536</v>
      </c>
      <c r="Q26" s="21">
        <f>Q24-Q25</f>
        <v>154132251</v>
      </c>
      <c r="R26" s="21">
        <f t="shared" ref="R26" si="23">R24-R25</f>
        <v>157031966</v>
      </c>
      <c r="S26" s="21">
        <f t="shared" ref="S26" si="24">S24-S25</f>
        <v>159931681</v>
      </c>
      <c r="T26" s="21">
        <f t="shared" ref="T26" si="25">T24-T25</f>
        <v>159255830.57999998</v>
      </c>
    </row>
    <row r="27" spans="1:20" s="16" customFormat="1" ht="12.75" x14ac:dyDescent="0.35">
      <c r="A27" s="16" t="s">
        <v>74</v>
      </c>
    </row>
    <row r="28" spans="1:20" s="16" customFormat="1" ht="35.1" customHeight="1" x14ac:dyDescent="0.4">
      <c r="A28" s="24" t="s">
        <v>75</v>
      </c>
      <c r="B28" s="21">
        <f>B26-B27</f>
        <v>-83200000</v>
      </c>
      <c r="C28" s="21">
        <f>C26-C27</f>
        <v>-83200000</v>
      </c>
      <c r="D28" s="21">
        <f t="shared" ref="D28:J28" si="26">D26-D27</f>
        <v>3150000</v>
      </c>
      <c r="E28" s="21">
        <f t="shared" si="26"/>
        <v>6358240</v>
      </c>
      <c r="F28" s="21">
        <f t="shared" si="26"/>
        <v>20082272</v>
      </c>
      <c r="G28" s="21">
        <f t="shared" si="26"/>
        <v>33346844.999999996</v>
      </c>
      <c r="H28" s="21">
        <f t="shared" si="26"/>
        <v>53708032</v>
      </c>
      <c r="I28" s="21">
        <f t="shared" si="26"/>
        <v>87842692</v>
      </c>
      <c r="J28" s="21">
        <f t="shared" si="26"/>
        <v>112780920</v>
      </c>
      <c r="K28" s="21">
        <f>K26-K27</f>
        <v>125021896.99999999</v>
      </c>
      <c r="L28" s="21">
        <f t="shared" ref="L28" si="27">L26-L27</f>
        <v>130264024.8</v>
      </c>
      <c r="M28" s="21">
        <f t="shared" ref="M28" si="28">M26-M27</f>
        <v>135506152.59999999</v>
      </c>
      <c r="N28" s="21">
        <f t="shared" ref="N28" si="29">N26-N27</f>
        <v>140748280.40000001</v>
      </c>
      <c r="O28" s="21">
        <f>O26-O27</f>
        <v>145990408.19999999</v>
      </c>
      <c r="P28" s="21">
        <f t="shared" ref="P28" si="30">P26-P27</f>
        <v>151232536</v>
      </c>
      <c r="Q28" s="21">
        <f t="shared" ref="Q28" si="31">Q26-Q27</f>
        <v>154132251</v>
      </c>
      <c r="R28" s="21">
        <f t="shared" ref="R28" si="32">R26-R27</f>
        <v>157031966</v>
      </c>
      <c r="S28" s="21">
        <f t="shared" ref="S28" si="33">S26-S27</f>
        <v>159931681</v>
      </c>
      <c r="T28" s="21">
        <f>T26-T27</f>
        <v>159255830.57999998</v>
      </c>
    </row>
    <row r="29" spans="1:20" s="20" customFormat="1" ht="12.75" x14ac:dyDescent="0.35"/>
    <row r="30" spans="1:20" s="16" customFormat="1" ht="26.1" customHeight="1" x14ac:dyDescent="0.4">
      <c r="A30" s="15" t="s">
        <v>91</v>
      </c>
      <c r="B30" s="23"/>
    </row>
    <row r="31" spans="1:20" s="16" customFormat="1" ht="24.75" customHeight="1" x14ac:dyDescent="0.4">
      <c r="A31" s="24" t="s">
        <v>76</v>
      </c>
      <c r="B31" s="21">
        <f>B24</f>
        <v>-83200000</v>
      </c>
      <c r="C31" s="21">
        <f t="shared" ref="C31:T31" si="34">C24</f>
        <v>-83200000</v>
      </c>
      <c r="D31" s="21">
        <f t="shared" si="34"/>
        <v>3150000</v>
      </c>
      <c r="E31" s="21">
        <f t="shared" si="34"/>
        <v>6358240</v>
      </c>
      <c r="F31" s="21">
        <f t="shared" si="34"/>
        <v>20082272</v>
      </c>
      <c r="G31" s="21">
        <f t="shared" si="34"/>
        <v>33346844.999999996</v>
      </c>
      <c r="H31" s="21">
        <f t="shared" si="34"/>
        <v>53708032</v>
      </c>
      <c r="I31" s="21">
        <f t="shared" si="34"/>
        <v>87842692</v>
      </c>
      <c r="J31" s="21">
        <f t="shared" si="34"/>
        <v>112780920</v>
      </c>
      <c r="K31" s="21">
        <f t="shared" si="34"/>
        <v>125021896.99999999</v>
      </c>
      <c r="L31" s="21">
        <f t="shared" si="34"/>
        <v>130264024.8</v>
      </c>
      <c r="M31" s="21">
        <f t="shared" si="34"/>
        <v>135506152.59999999</v>
      </c>
      <c r="N31" s="21">
        <f t="shared" si="34"/>
        <v>140748280.40000001</v>
      </c>
      <c r="O31" s="21">
        <f t="shared" si="34"/>
        <v>145990408.19999999</v>
      </c>
      <c r="P31" s="21">
        <f t="shared" si="34"/>
        <v>151232536</v>
      </c>
      <c r="Q31" s="21">
        <f t="shared" si="34"/>
        <v>154132251</v>
      </c>
      <c r="R31" s="21">
        <f t="shared" si="34"/>
        <v>157031966</v>
      </c>
      <c r="S31" s="21">
        <f t="shared" si="34"/>
        <v>159931681</v>
      </c>
      <c r="T31" s="21">
        <f t="shared" si="34"/>
        <v>159255830.57999998</v>
      </c>
    </row>
    <row r="32" spans="1:20" s="16" customFormat="1" ht="12.75" x14ac:dyDescent="0.35">
      <c r="A32" s="16" t="s">
        <v>77</v>
      </c>
    </row>
    <row r="33" spans="1:20" s="16" customFormat="1" ht="33.6" customHeight="1" x14ac:dyDescent="0.4">
      <c r="A33" s="19" t="s">
        <v>78</v>
      </c>
      <c r="B33" s="21">
        <f>B31-B32</f>
        <v>-83200000</v>
      </c>
      <c r="C33" s="21">
        <f t="shared" ref="C33:N33" si="35">C31-C32</f>
        <v>-83200000</v>
      </c>
      <c r="D33" s="21">
        <f t="shared" si="35"/>
        <v>3150000</v>
      </c>
      <c r="E33" s="21">
        <f t="shared" si="35"/>
        <v>6358240</v>
      </c>
      <c r="F33" s="21">
        <f t="shared" si="35"/>
        <v>20082272</v>
      </c>
      <c r="G33" s="21">
        <f t="shared" si="35"/>
        <v>33346844.999999996</v>
      </c>
      <c r="H33" s="21">
        <f t="shared" si="35"/>
        <v>53708032</v>
      </c>
      <c r="I33" s="21">
        <f t="shared" si="35"/>
        <v>87842692</v>
      </c>
      <c r="J33" s="21">
        <f t="shared" si="35"/>
        <v>112780920</v>
      </c>
      <c r="K33" s="21">
        <f t="shared" si="35"/>
        <v>125021896.99999999</v>
      </c>
      <c r="L33" s="21">
        <f t="shared" si="35"/>
        <v>130264024.8</v>
      </c>
      <c r="M33" s="21">
        <f t="shared" si="35"/>
        <v>135506152.59999999</v>
      </c>
      <c r="N33" s="21">
        <f t="shared" si="35"/>
        <v>140748280.40000001</v>
      </c>
      <c r="O33" s="21">
        <f>O31-O32</f>
        <v>145990408.19999999</v>
      </c>
      <c r="P33" s="21">
        <f t="shared" ref="P33" si="36">P31-P32</f>
        <v>151232536</v>
      </c>
      <c r="Q33" s="21">
        <f>Q31-Q32</f>
        <v>154132251</v>
      </c>
      <c r="R33" s="21">
        <f t="shared" ref="R33" si="37">R31-R32</f>
        <v>157031966</v>
      </c>
      <c r="S33" s="21">
        <f t="shared" ref="S33" si="38">S31-S32</f>
        <v>159931681</v>
      </c>
      <c r="T33" s="21">
        <f t="shared" ref="T33" si="39">T31-T32</f>
        <v>159255830.57999998</v>
      </c>
    </row>
    <row r="34" spans="1:20" s="16" customFormat="1" ht="12.75" x14ac:dyDescent="0.35">
      <c r="A34" s="16" t="s">
        <v>79</v>
      </c>
    </row>
    <row r="35" spans="1:20" s="16" customFormat="1" ht="12.75" x14ac:dyDescent="0.35">
      <c r="A35" s="16" t="s">
        <v>80</v>
      </c>
    </row>
    <row r="36" spans="1:20" s="16" customFormat="1" ht="12.75" x14ac:dyDescent="0.35">
      <c r="A36" s="16" t="s">
        <v>81</v>
      </c>
    </row>
    <row r="37" spans="1:20" s="16" customFormat="1" ht="12.75" x14ac:dyDescent="0.35">
      <c r="A37" s="16" t="s">
        <v>82</v>
      </c>
    </row>
    <row r="38" spans="1:20" s="16" customFormat="1" ht="12.75" x14ac:dyDescent="0.35">
      <c r="A38" s="16" t="s">
        <v>83</v>
      </c>
    </row>
    <row r="39" spans="1:20" s="16" customFormat="1" ht="12.75" x14ac:dyDescent="0.35">
      <c r="A39" s="16" t="s">
        <v>84</v>
      </c>
    </row>
    <row r="40" spans="1:20" s="16" customFormat="1" ht="12.75" x14ac:dyDescent="0.35">
      <c r="A40" s="16" t="s">
        <v>65</v>
      </c>
      <c r="B40" s="16">
        <f>B15</f>
        <v>1072000</v>
      </c>
    </row>
    <row r="41" spans="1:20" s="16" customFormat="1" ht="12.75" x14ac:dyDescent="0.35">
      <c r="A41" s="16" t="s">
        <v>85</v>
      </c>
      <c r="B41" s="16">
        <f>78000*4</f>
        <v>312000</v>
      </c>
    </row>
    <row r="42" spans="1:20" s="16" customFormat="1" ht="12.75" x14ac:dyDescent="0.35">
      <c r="A42" s="16" t="s">
        <v>89</v>
      </c>
      <c r="B42" s="21"/>
      <c r="C42" s="21"/>
    </row>
    <row r="43" spans="1:20" s="16" customFormat="1" ht="12.75" x14ac:dyDescent="0.35">
      <c r="A43" s="16" t="s">
        <v>86</v>
      </c>
    </row>
    <row r="44" spans="1:20" s="16" customFormat="1" ht="32.85" customHeight="1" x14ac:dyDescent="0.4">
      <c r="A44" s="24" t="s">
        <v>147</v>
      </c>
      <c r="B44" s="21">
        <f>B33+B40-B41</f>
        <v>-82440000</v>
      </c>
      <c r="C44" s="21">
        <f>C33</f>
        <v>-83200000</v>
      </c>
      <c r="D44" s="21">
        <f>D33</f>
        <v>3150000</v>
      </c>
      <c r="E44" s="21">
        <f t="shared" ref="E44:T44" si="40">E33</f>
        <v>6358240</v>
      </c>
      <c r="F44" s="21">
        <f t="shared" si="40"/>
        <v>20082272</v>
      </c>
      <c r="G44" s="21">
        <f t="shared" si="40"/>
        <v>33346844.999999996</v>
      </c>
      <c r="H44" s="21">
        <f t="shared" si="40"/>
        <v>53708032</v>
      </c>
      <c r="I44" s="21">
        <f t="shared" si="40"/>
        <v>87842692</v>
      </c>
      <c r="J44" s="21">
        <f t="shared" si="40"/>
        <v>112780920</v>
      </c>
      <c r="K44" s="21">
        <f t="shared" si="40"/>
        <v>125021896.99999999</v>
      </c>
      <c r="L44" s="21">
        <f>L33</f>
        <v>130264024.8</v>
      </c>
      <c r="M44" s="21">
        <f t="shared" si="40"/>
        <v>135506152.59999999</v>
      </c>
      <c r="N44" s="21">
        <f t="shared" si="40"/>
        <v>140748280.40000001</v>
      </c>
      <c r="O44" s="21">
        <f t="shared" si="40"/>
        <v>145990408.19999999</v>
      </c>
      <c r="P44" s="21">
        <f>P33</f>
        <v>151232536</v>
      </c>
      <c r="Q44" s="21">
        <f t="shared" si="40"/>
        <v>154132251</v>
      </c>
      <c r="R44" s="21">
        <f t="shared" si="40"/>
        <v>157031966</v>
      </c>
      <c r="S44" s="21">
        <f t="shared" si="40"/>
        <v>159931681</v>
      </c>
      <c r="T44" s="21">
        <f t="shared" si="40"/>
        <v>159255830.57999998</v>
      </c>
    </row>
    <row r="45" spans="1:20" s="27" customFormat="1" x14ac:dyDescent="0.45"/>
    <row r="46" spans="1:20" x14ac:dyDescent="0.45">
      <c r="A46" s="28" t="s">
        <v>92</v>
      </c>
      <c r="B46" s="34"/>
    </row>
    <row r="47" spans="1:20" x14ac:dyDescent="0.45">
      <c r="A47" s="37" t="s">
        <v>54</v>
      </c>
      <c r="B47" s="4">
        <f>B44</f>
        <v>-82440000</v>
      </c>
      <c r="C47" s="4">
        <f t="shared" ref="C47:T47" si="41">C44</f>
        <v>-83200000</v>
      </c>
      <c r="D47" s="4">
        <f t="shared" si="41"/>
        <v>3150000</v>
      </c>
      <c r="E47" s="4">
        <f t="shared" si="41"/>
        <v>6358240</v>
      </c>
      <c r="F47" s="4">
        <f t="shared" si="41"/>
        <v>20082272</v>
      </c>
      <c r="G47" s="4">
        <f t="shared" si="41"/>
        <v>33346844.999999996</v>
      </c>
      <c r="H47" s="4">
        <f t="shared" si="41"/>
        <v>53708032</v>
      </c>
      <c r="I47" s="4">
        <f t="shared" si="41"/>
        <v>87842692</v>
      </c>
      <c r="J47" s="4">
        <f t="shared" si="41"/>
        <v>112780920</v>
      </c>
      <c r="K47" s="4">
        <f t="shared" si="41"/>
        <v>125021896.99999999</v>
      </c>
      <c r="L47" s="4">
        <f>L44</f>
        <v>130264024.8</v>
      </c>
      <c r="M47" s="4">
        <f t="shared" si="41"/>
        <v>135506152.59999999</v>
      </c>
      <c r="N47" s="4">
        <f t="shared" si="41"/>
        <v>140748280.40000001</v>
      </c>
      <c r="O47" s="4">
        <f t="shared" si="41"/>
        <v>145990408.19999999</v>
      </c>
      <c r="P47" s="4">
        <f t="shared" si="41"/>
        <v>151232536</v>
      </c>
      <c r="Q47" s="4">
        <f t="shared" si="41"/>
        <v>154132251</v>
      </c>
      <c r="R47" s="4">
        <f t="shared" si="41"/>
        <v>157031966</v>
      </c>
      <c r="S47" s="4">
        <f>S44</f>
        <v>159931681</v>
      </c>
      <c r="T47" s="4">
        <f t="shared" si="41"/>
        <v>159255830.57999998</v>
      </c>
    </row>
    <row r="48" spans="1:20" s="14" customFormat="1" x14ac:dyDescent="0.45">
      <c r="A48" s="36" t="s">
        <v>115</v>
      </c>
      <c r="B48" s="4">
        <f>B6</f>
        <v>60000000</v>
      </c>
      <c r="C48" s="4">
        <f t="shared" ref="C48:S48" si="42">C6</f>
        <v>60000000</v>
      </c>
      <c r="D48" s="4">
        <f t="shared" si="42"/>
        <v>1592100</v>
      </c>
      <c r="E48" s="4">
        <f t="shared" si="42"/>
        <v>3213636.16</v>
      </c>
      <c r="F48" s="4">
        <f t="shared" si="42"/>
        <v>10150154.048</v>
      </c>
      <c r="G48" s="4">
        <f t="shared" si="42"/>
        <v>16854448.23</v>
      </c>
      <c r="H48" s="4">
        <f t="shared" si="42"/>
        <v>27145573.888</v>
      </c>
      <c r="I48" s="4">
        <f t="shared" si="42"/>
        <v>44398206.328000002</v>
      </c>
      <c r="J48" s="4">
        <f t="shared" si="42"/>
        <v>57002699.280000001</v>
      </c>
      <c r="K48" s="4">
        <f>K6</f>
        <v>63189638.798</v>
      </c>
      <c r="L48" s="4">
        <f t="shared" si="42"/>
        <v>65839159.963200003</v>
      </c>
      <c r="M48" s="4">
        <f t="shared" si="42"/>
        <v>68488681.128399998</v>
      </c>
      <c r="N48" s="4">
        <f t="shared" si="42"/>
        <v>71138202.293600008</v>
      </c>
      <c r="O48" s="4">
        <f t="shared" si="42"/>
        <v>73787723.458800003</v>
      </c>
      <c r="P48" s="4">
        <f t="shared" si="42"/>
        <v>76437244.623999998</v>
      </c>
      <c r="Q48" s="4">
        <f t="shared" si="42"/>
        <v>77902843.434</v>
      </c>
      <c r="R48" s="4">
        <f t="shared" si="42"/>
        <v>79368442.244000003</v>
      </c>
      <c r="S48" s="4">
        <f t="shared" si="42"/>
        <v>80834041.054000005</v>
      </c>
      <c r="T48" s="4">
        <f>T6</f>
        <v>80492446.941720009</v>
      </c>
    </row>
    <row r="49" spans="1:20" x14ac:dyDescent="0.45">
      <c r="A49" s="36" t="s">
        <v>97</v>
      </c>
    </row>
    <row r="50" spans="1:20" x14ac:dyDescent="0.45">
      <c r="A50" s="35" t="s">
        <v>116</v>
      </c>
      <c r="B50">
        <f>B10</f>
        <v>1200000</v>
      </c>
      <c r="C50" s="14">
        <f>C10</f>
        <v>1200000</v>
      </c>
      <c r="D50" s="3">
        <f t="shared" ref="D50:T50" si="43">D10</f>
        <v>1314000</v>
      </c>
      <c r="E50" s="3">
        <f t="shared" si="43"/>
        <v>2652294.4</v>
      </c>
      <c r="F50" s="3">
        <f t="shared" si="43"/>
        <v>8377176.3199999994</v>
      </c>
      <c r="G50" s="3">
        <f t="shared" si="43"/>
        <v>13910398.199999999</v>
      </c>
      <c r="H50" s="3">
        <f t="shared" si="43"/>
        <v>22403921.919999998</v>
      </c>
      <c r="I50" s="3">
        <f t="shared" si="43"/>
        <v>36642951.519999996</v>
      </c>
      <c r="J50" s="3">
        <f t="shared" si="43"/>
        <v>47045755.199999996</v>
      </c>
      <c r="K50" s="3">
        <f t="shared" si="43"/>
        <v>52151991.32</v>
      </c>
      <c r="L50" s="3">
        <f t="shared" si="43"/>
        <v>54338707.487999998</v>
      </c>
      <c r="M50" s="3">
        <f t="shared" si="43"/>
        <v>56525423.655999996</v>
      </c>
      <c r="N50" s="3">
        <f t="shared" si="43"/>
        <v>58712139.823999994</v>
      </c>
      <c r="O50" s="3">
        <f t="shared" si="43"/>
        <v>60898855.991999999</v>
      </c>
      <c r="P50" s="3">
        <f t="shared" si="43"/>
        <v>63085572.159999996</v>
      </c>
      <c r="Q50" s="3">
        <f t="shared" si="43"/>
        <v>64295167.559999995</v>
      </c>
      <c r="R50" s="3">
        <f t="shared" si="43"/>
        <v>65504762.959999993</v>
      </c>
      <c r="S50" s="3">
        <f t="shared" si="43"/>
        <v>66714358.359999999</v>
      </c>
      <c r="T50" s="3">
        <f t="shared" si="43"/>
        <v>66432432.184799999</v>
      </c>
    </row>
    <row r="51" spans="1:20" x14ac:dyDescent="0.45">
      <c r="A51" s="35"/>
    </row>
    <row r="52" spans="1:20" x14ac:dyDescent="0.45">
      <c r="A52" s="36" t="s">
        <v>103</v>
      </c>
      <c r="B52" s="4">
        <v>1200000</v>
      </c>
      <c r="C52" s="4">
        <v>1200000</v>
      </c>
      <c r="D52" s="3">
        <f>D4*0.2</f>
        <v>3600000</v>
      </c>
      <c r="E52" s="3">
        <f t="shared" ref="E52:T52" si="44">E4*0.2</f>
        <v>7266560</v>
      </c>
      <c r="F52" s="3">
        <f t="shared" si="44"/>
        <v>22951168</v>
      </c>
      <c r="G52" s="3">
        <f t="shared" si="44"/>
        <v>38110680</v>
      </c>
      <c r="H52" s="3">
        <f t="shared" si="44"/>
        <v>61380608</v>
      </c>
      <c r="I52" s="3">
        <f t="shared" si="44"/>
        <v>100391648</v>
      </c>
      <c r="J52" s="3">
        <f t="shared" si="44"/>
        <v>128892480</v>
      </c>
      <c r="K52" s="3">
        <f>K4*0.2</f>
        <v>142882168</v>
      </c>
      <c r="L52" s="3">
        <f t="shared" si="44"/>
        <v>148873171.20000002</v>
      </c>
      <c r="M52" s="3">
        <f t="shared" si="44"/>
        <v>154864174.40000001</v>
      </c>
      <c r="N52" s="3">
        <f t="shared" si="44"/>
        <v>160855177.59999999</v>
      </c>
      <c r="O52" s="3">
        <f t="shared" si="44"/>
        <v>166846180.80000001</v>
      </c>
      <c r="P52" s="3">
        <f>P4*0.2</f>
        <v>172837184</v>
      </c>
      <c r="Q52" s="3">
        <f t="shared" si="44"/>
        <v>176151144</v>
      </c>
      <c r="R52" s="3">
        <f t="shared" si="44"/>
        <v>179465104</v>
      </c>
      <c r="S52" s="3">
        <f t="shared" si="44"/>
        <v>182779064</v>
      </c>
      <c r="T52" s="3">
        <f t="shared" si="44"/>
        <v>182006663.52000001</v>
      </c>
    </row>
    <row r="53" spans="1:20" x14ac:dyDescent="0.45">
      <c r="A53" s="35" t="s">
        <v>98</v>
      </c>
      <c r="B53" s="4">
        <v>1000000</v>
      </c>
      <c r="C53" s="4">
        <v>2000000</v>
      </c>
    </row>
    <row r="54" spans="1:20" x14ac:dyDescent="0.45">
      <c r="A54" s="35" t="s">
        <v>99</v>
      </c>
    </row>
    <row r="55" spans="1:20" x14ac:dyDescent="0.45">
      <c r="A55" s="35" t="s">
        <v>100</v>
      </c>
    </row>
    <row r="56" spans="1:20" x14ac:dyDescent="0.45">
      <c r="A56" s="35" t="s">
        <v>101</v>
      </c>
    </row>
    <row r="57" spans="1:20" x14ac:dyDescent="0.45">
      <c r="A57" s="40" t="s">
        <v>104</v>
      </c>
      <c r="B57">
        <v>0</v>
      </c>
      <c r="C57">
        <v>0</v>
      </c>
      <c r="D57" s="4">
        <f>D4*0.25</f>
        <v>4500000</v>
      </c>
      <c r="E57" s="4">
        <f t="shared" ref="E57:T57" si="45">E4*0.25</f>
        <v>9083200</v>
      </c>
      <c r="F57" s="4">
        <f t="shared" si="45"/>
        <v>28688960</v>
      </c>
      <c r="G57" s="4">
        <f t="shared" si="45"/>
        <v>47638350</v>
      </c>
      <c r="H57" s="4">
        <f t="shared" si="45"/>
        <v>76725760</v>
      </c>
      <c r="I57" s="4">
        <f t="shared" si="45"/>
        <v>125489560</v>
      </c>
      <c r="J57" s="4">
        <f t="shared" si="45"/>
        <v>161115600</v>
      </c>
      <c r="K57" s="4">
        <f t="shared" si="45"/>
        <v>178602710</v>
      </c>
      <c r="L57" s="4">
        <f>L4*0.25</f>
        <v>186091464</v>
      </c>
      <c r="M57" s="4">
        <f t="shared" si="45"/>
        <v>193580218</v>
      </c>
      <c r="N57" s="4">
        <f t="shared" si="45"/>
        <v>201068972</v>
      </c>
      <c r="O57" s="4">
        <f t="shared" si="45"/>
        <v>208557726</v>
      </c>
      <c r="P57" s="4">
        <f t="shared" si="45"/>
        <v>216046480</v>
      </c>
      <c r="Q57" s="4">
        <f>Q4*0.25</f>
        <v>220188930</v>
      </c>
      <c r="R57" s="4">
        <f t="shared" si="45"/>
        <v>224331380</v>
      </c>
      <c r="S57" s="4">
        <f t="shared" si="45"/>
        <v>228473830</v>
      </c>
      <c r="T57" s="4">
        <f t="shared" si="45"/>
        <v>227508329.40000001</v>
      </c>
    </row>
    <row r="58" spans="1:20" x14ac:dyDescent="0.45">
      <c r="A58" s="40" t="s">
        <v>102</v>
      </c>
      <c r="B58">
        <v>0</v>
      </c>
      <c r="C58">
        <v>0</v>
      </c>
      <c r="D58" s="4">
        <f>D57-C57</f>
        <v>4500000</v>
      </c>
      <c r="E58" s="4">
        <f t="shared" ref="E58:I58" si="46">E57-D57</f>
        <v>4583200</v>
      </c>
      <c r="F58" s="4">
        <f t="shared" si="46"/>
        <v>19605760</v>
      </c>
      <c r="G58" s="4">
        <f t="shared" si="46"/>
        <v>18949390</v>
      </c>
      <c r="H58" s="4">
        <f t="shared" si="46"/>
        <v>29087410</v>
      </c>
      <c r="I58" s="4">
        <f t="shared" si="46"/>
        <v>48763800</v>
      </c>
      <c r="J58" s="4">
        <f t="shared" ref="J58" si="47">J57-I57</f>
        <v>35626040</v>
      </c>
      <c r="K58" s="4">
        <f t="shared" ref="K58" si="48">K57-J57</f>
        <v>17487110</v>
      </c>
      <c r="L58" s="4">
        <f t="shared" ref="L58" si="49">L57-K57</f>
        <v>7488754</v>
      </c>
      <c r="M58" s="4">
        <f t="shared" ref="M58" si="50">M57-L57</f>
        <v>7488754</v>
      </c>
      <c r="N58" s="4">
        <f t="shared" ref="N58" si="51">N57-M57</f>
        <v>7488754</v>
      </c>
      <c r="O58" s="4">
        <f t="shared" ref="O58" si="52">O57-N57</f>
        <v>7488754</v>
      </c>
      <c r="P58" s="4">
        <f t="shared" ref="P58" si="53">P57-O57</f>
        <v>7488754</v>
      </c>
      <c r="Q58" s="4">
        <f t="shared" ref="Q58" si="54">Q57-P57</f>
        <v>4142450</v>
      </c>
      <c r="R58" s="4">
        <f t="shared" ref="R58" si="55">R57-Q57</f>
        <v>4142450</v>
      </c>
      <c r="S58" s="4">
        <f t="shared" ref="S58" si="56">S57-R57</f>
        <v>4142450</v>
      </c>
      <c r="T58" s="4">
        <f t="shared" ref="T58" si="57">T57-S57</f>
        <v>-965500.59999999404</v>
      </c>
    </row>
    <row r="60" spans="1:20" x14ac:dyDescent="0.45">
      <c r="A60" s="43" t="s">
        <v>106</v>
      </c>
      <c r="B60" s="4">
        <f>B47+B48+B50-B52-B58</f>
        <v>-22440000</v>
      </c>
      <c r="C60" s="4">
        <f t="shared" ref="C60:O60" si="58">C47+C48+C50-C52-C58</f>
        <v>-23200000</v>
      </c>
      <c r="D60" s="4">
        <f t="shared" si="58"/>
        <v>-2043900</v>
      </c>
      <c r="E60" s="4">
        <f t="shared" si="58"/>
        <v>374410.56000000052</v>
      </c>
      <c r="F60" s="4">
        <f t="shared" si="58"/>
        <v>-3947325.6319999993</v>
      </c>
      <c r="G60" s="4">
        <f t="shared" si="58"/>
        <v>7051621.4299999923</v>
      </c>
      <c r="H60" s="4">
        <f t="shared" si="58"/>
        <v>12789509.807999998</v>
      </c>
      <c r="I60" s="4">
        <f t="shared" si="58"/>
        <v>19728401.84799999</v>
      </c>
      <c r="J60" s="4">
        <f t="shared" si="58"/>
        <v>52310854.479999989</v>
      </c>
      <c r="K60" s="4">
        <f t="shared" si="58"/>
        <v>79994249.117999971</v>
      </c>
      <c r="L60" s="4">
        <f t="shared" si="58"/>
        <v>94079967.051199973</v>
      </c>
      <c r="M60" s="4">
        <f t="shared" si="58"/>
        <v>98167328.984399974</v>
      </c>
      <c r="N60" s="4">
        <f t="shared" si="58"/>
        <v>102254690.91760001</v>
      </c>
      <c r="O60" s="4">
        <f t="shared" si="58"/>
        <v>106342052.85079998</v>
      </c>
      <c r="P60" s="4">
        <f t="shared" ref="P60:T60" si="59">P47+P48+P50-P52-P58</f>
        <v>110429414.78400004</v>
      </c>
      <c r="Q60" s="4">
        <f t="shared" si="59"/>
        <v>116036667.99400002</v>
      </c>
      <c r="R60" s="4">
        <f t="shared" si="59"/>
        <v>118297617.204</v>
      </c>
      <c r="S60" s="4">
        <f>S47+S48+S50-S52-S58</f>
        <v>120558566.41400003</v>
      </c>
      <c r="T60" s="4">
        <f t="shared" si="59"/>
        <v>125139546.78651994</v>
      </c>
    </row>
    <row r="61" spans="1:20" x14ac:dyDescent="0.45">
      <c r="A61" t="s">
        <v>0</v>
      </c>
      <c r="B61">
        <v>0.1</v>
      </c>
      <c r="C61" s="14">
        <v>0.1</v>
      </c>
      <c r="D61" s="14">
        <v>0.1</v>
      </c>
      <c r="E61" s="14">
        <v>0.1</v>
      </c>
      <c r="F61" s="14">
        <v>0.1</v>
      </c>
      <c r="G61" s="14">
        <v>0.08</v>
      </c>
      <c r="H61" s="14">
        <v>0.08</v>
      </c>
      <c r="I61" s="14">
        <v>0.08</v>
      </c>
      <c r="J61" s="14">
        <v>0.08</v>
      </c>
      <c r="K61" s="14">
        <v>0.08</v>
      </c>
      <c r="L61" s="14">
        <v>0.08</v>
      </c>
      <c r="M61" s="14">
        <v>0.08</v>
      </c>
      <c r="N61" s="14">
        <v>0.08</v>
      </c>
      <c r="O61" s="14">
        <v>0.08</v>
      </c>
      <c r="P61" s="14">
        <v>0.08</v>
      </c>
      <c r="Q61" s="14">
        <v>0.08</v>
      </c>
      <c r="R61" s="14">
        <v>0.08</v>
      </c>
      <c r="S61" s="14">
        <v>0.08</v>
      </c>
      <c r="T61" s="14">
        <v>0.08</v>
      </c>
    </row>
    <row r="62" spans="1:20" x14ac:dyDescent="0.45">
      <c r="A62" s="42" t="s">
        <v>105</v>
      </c>
      <c r="B62" s="3">
        <f>(B60)/((1+B61)^0.6)</f>
        <v>-21192746.412383325</v>
      </c>
      <c r="C62" s="3">
        <f>(C60)/((1+C61)^1.6)</f>
        <v>-19918640.283879966</v>
      </c>
      <c r="D62" s="3">
        <f>(D60)/((1+D61)^2.6)</f>
        <v>-1595286.3979710918</v>
      </c>
      <c r="E62" s="3">
        <f>(E60)/((1+E61)^3.6)</f>
        <v>265665.04927066353</v>
      </c>
      <c r="F62" s="3">
        <f>(F60)/((1+F61)^4.6)</f>
        <v>-2546223.97429814</v>
      </c>
      <c r="G62" s="3">
        <f>(G60)/((1+G61)^5.6)</f>
        <v>4582642.2858891906</v>
      </c>
      <c r="H62" s="3">
        <f>(H60)/((1+H61)^6.6)</f>
        <v>7695859.1937490245</v>
      </c>
      <c r="I62" s="3">
        <f>(I60)/((1+I61)^7.6)</f>
        <v>10991864.442261158</v>
      </c>
      <c r="J62" s="3">
        <f>(J60)/((1+J61)^8.6)</f>
        <v>26986559.301337879</v>
      </c>
      <c r="K62" s="3">
        <f>(K60)/((1+K61)^9.6)</f>
        <v>38211203.240355603</v>
      </c>
      <c r="L62" s="3">
        <f>(L60)/((1+L61)^10.6)</f>
        <v>41610731.29765553</v>
      </c>
      <c r="M62" s="3">
        <f>(M60)/((1+M61)^11.6)</f>
        <v>40202347.284886077</v>
      </c>
      <c r="N62" s="3">
        <f>(N60)/((1+N61)^12.6)</f>
        <v>38774295.985681072</v>
      </c>
      <c r="O62" s="3">
        <f>(O60)/((1+O61)^13.6)</f>
        <v>37337218.830748469</v>
      </c>
      <c r="P62" s="3">
        <f>(P60)/((1+P61)^14.6)</f>
        <v>35900288.65632344</v>
      </c>
      <c r="Q62" s="3">
        <f>(Q60)/((1+Q61)^15.6)</f>
        <v>34928880.302230589</v>
      </c>
      <c r="R62" s="3">
        <f>(R60)/((1+R61)^16.6)</f>
        <v>32971724.008790188</v>
      </c>
      <c r="S62" s="3">
        <f>(S60)/((1+S61)^17.6)</f>
        <v>31112863.131649718</v>
      </c>
      <c r="T62" s="3">
        <f>(T60)/((1+T61)^18.6)</f>
        <v>29902859.873926673</v>
      </c>
    </row>
    <row r="64" spans="1:20" x14ac:dyDescent="0.45">
      <c r="A64" s="25" t="s">
        <v>107</v>
      </c>
      <c r="B64" s="48">
        <f>SUM(B62:S62)</f>
        <v>336319245.94229609</v>
      </c>
    </row>
    <row r="65" spans="1:7" x14ac:dyDescent="0.45">
      <c r="A65" s="27"/>
      <c r="B65" s="27"/>
      <c r="C65" s="27"/>
      <c r="D65" s="27"/>
      <c r="E65" s="27"/>
      <c r="F65" s="27"/>
      <c r="G65" s="27"/>
    </row>
    <row r="66" spans="1:7" ht="15.75" x14ac:dyDescent="0.5">
      <c r="A66" s="45" t="s">
        <v>108</v>
      </c>
    </row>
    <row r="68" spans="1:7" x14ac:dyDescent="0.45">
      <c r="A68" t="s">
        <v>148</v>
      </c>
      <c r="B68" s="41">
        <f>T47</f>
        <v>159255830.57999998</v>
      </c>
      <c r="D68" s="41"/>
      <c r="E68" s="41"/>
    </row>
    <row r="69" spans="1:7" x14ac:dyDescent="0.45">
      <c r="A69" t="s">
        <v>151</v>
      </c>
      <c r="B69" s="7">
        <v>0.08</v>
      </c>
    </row>
    <row r="70" spans="1:7" x14ac:dyDescent="0.45">
      <c r="A70" t="s">
        <v>109</v>
      </c>
      <c r="B70" s="7">
        <v>-0.02</v>
      </c>
    </row>
    <row r="71" spans="1:7" s="14" customFormat="1" x14ac:dyDescent="0.45">
      <c r="A71" s="14" t="s">
        <v>149</v>
      </c>
      <c r="B71" s="7">
        <v>0.08</v>
      </c>
    </row>
    <row r="72" spans="1:7" x14ac:dyDescent="0.45">
      <c r="A72" t="s">
        <v>150</v>
      </c>
      <c r="B72" s="41">
        <f>(B68*(1-(B70/B71)))/(B69-B70)</f>
        <v>1990697882.2499995</v>
      </c>
      <c r="C72" t="s">
        <v>164</v>
      </c>
      <c r="D72" s="46"/>
    </row>
    <row r="73" spans="1:7" x14ac:dyDescent="0.45">
      <c r="A73" t="s">
        <v>26</v>
      </c>
      <c r="B73">
        <v>18.600000000000001</v>
      </c>
    </row>
    <row r="74" spans="1:7" x14ac:dyDescent="0.45">
      <c r="A74" s="42" t="s">
        <v>110</v>
      </c>
      <c r="B74" s="48">
        <f>(B72)/((1+B69)^B73)</f>
        <v>475689431.14197564</v>
      </c>
    </row>
    <row r="75" spans="1:7" x14ac:dyDescent="0.45">
      <c r="A75" s="47"/>
      <c r="B75" s="47"/>
      <c r="C75" s="47"/>
      <c r="D75" s="47"/>
      <c r="E75" s="47"/>
      <c r="F75" s="47"/>
      <c r="G75" s="47"/>
    </row>
    <row r="77" spans="1:7" ht="15.75" x14ac:dyDescent="0.5">
      <c r="A77" s="45" t="s">
        <v>111</v>
      </c>
      <c r="B77" s="41">
        <f>B64+B74</f>
        <v>812008677.08427167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8" sqref="H8"/>
    </sheetView>
  </sheetViews>
  <sheetFormatPr defaultColWidth="8.86328125" defaultRowHeight="14.25" x14ac:dyDescent="0.45"/>
  <cols>
    <col min="2" max="2" width="11" customWidth="1"/>
  </cols>
  <sheetData>
    <row r="1" spans="1:8" x14ac:dyDescent="0.45">
      <c r="A1" s="25" t="s">
        <v>2</v>
      </c>
      <c r="B1" s="25"/>
      <c r="C1" s="25"/>
      <c r="D1" s="25"/>
      <c r="E1" s="25"/>
    </row>
    <row r="2" spans="1:8" x14ac:dyDescent="0.45">
      <c r="H2" t="s">
        <v>25</v>
      </c>
    </row>
    <row r="3" spans="1:8" x14ac:dyDescent="0.45">
      <c r="A3" t="s">
        <v>3</v>
      </c>
      <c r="B3" s="6"/>
      <c r="E3" s="6">
        <v>1</v>
      </c>
    </row>
    <row r="4" spans="1:8" x14ac:dyDescent="0.45">
      <c r="A4" t="s">
        <v>4</v>
      </c>
    </row>
    <row r="5" spans="1:8" x14ac:dyDescent="0.45">
      <c r="A5" t="s">
        <v>5</v>
      </c>
    </row>
    <row r="6" spans="1:8" x14ac:dyDescent="0.45">
      <c r="A6" s="2" t="s">
        <v>1</v>
      </c>
      <c r="B6" s="2"/>
    </row>
    <row r="7" spans="1:8" x14ac:dyDescent="0.45">
      <c r="A7" t="s">
        <v>6</v>
      </c>
      <c r="E7" s="7">
        <v>0.1769</v>
      </c>
      <c r="F7" t="s">
        <v>7</v>
      </c>
    </row>
    <row r="8" spans="1:8" x14ac:dyDescent="0.45">
      <c r="A8" t="s">
        <v>8</v>
      </c>
      <c r="E8" s="7">
        <v>0.29520000000000002</v>
      </c>
      <c r="F8" t="s">
        <v>7</v>
      </c>
    </row>
    <row r="9" spans="1:8" x14ac:dyDescent="0.45">
      <c r="A9" t="s">
        <v>9</v>
      </c>
      <c r="E9" s="7">
        <v>0.1852</v>
      </c>
    </row>
    <row r="11" spans="1:8" x14ac:dyDescent="0.45">
      <c r="A11" s="2" t="s">
        <v>10</v>
      </c>
      <c r="B11" s="2"/>
      <c r="C11" s="2"/>
      <c r="D11" s="2"/>
      <c r="E11" s="8">
        <v>0.3427</v>
      </c>
      <c r="F11" s="2" t="s">
        <v>7</v>
      </c>
    </row>
    <row r="12" spans="1:8" x14ac:dyDescent="0.45">
      <c r="A12" t="s">
        <v>11</v>
      </c>
      <c r="E12" s="7">
        <v>7.3099999999999998E-2</v>
      </c>
      <c r="F12" t="s">
        <v>7</v>
      </c>
    </row>
    <row r="14" spans="1:8" x14ac:dyDescent="0.45">
      <c r="A14" t="s">
        <v>12</v>
      </c>
      <c r="E14" s="7">
        <v>0.26960000000000001</v>
      </c>
      <c r="F14" t="s">
        <v>7</v>
      </c>
    </row>
    <row r="15" spans="1:8" x14ac:dyDescent="0.45">
      <c r="A15" t="s">
        <v>13</v>
      </c>
      <c r="E15" s="6">
        <v>0.35</v>
      </c>
      <c r="F15" t="s">
        <v>14</v>
      </c>
    </row>
    <row r="17" spans="1:8" x14ac:dyDescent="0.45">
      <c r="A17" s="2" t="s">
        <v>53</v>
      </c>
      <c r="B17" s="2" t="s">
        <v>55</v>
      </c>
      <c r="C17" s="2" t="s">
        <v>54</v>
      </c>
      <c r="D17" s="2"/>
      <c r="E17" s="8">
        <v>0.17519999999999999</v>
      </c>
    </row>
    <row r="18" spans="1:8" x14ac:dyDescent="0.45">
      <c r="A18" s="9"/>
      <c r="B18" s="9"/>
      <c r="C18" s="9"/>
      <c r="D18" s="9"/>
      <c r="E18" s="9"/>
      <c r="F18" s="9"/>
      <c r="G18" s="9"/>
    </row>
    <row r="19" spans="1:8" x14ac:dyDescent="0.45">
      <c r="A19" s="2" t="s">
        <v>16</v>
      </c>
      <c r="B19" s="2"/>
      <c r="C19" s="2"/>
      <c r="D19" s="2"/>
      <c r="E19" t="s">
        <v>17</v>
      </c>
    </row>
    <row r="21" spans="1:8" x14ac:dyDescent="0.45">
      <c r="A21" s="2" t="s">
        <v>15</v>
      </c>
      <c r="B21" s="2"/>
      <c r="C21" s="2"/>
      <c r="D21" s="2"/>
      <c r="E21" s="8">
        <v>0.17519999999999999</v>
      </c>
      <c r="F21" t="s">
        <v>7</v>
      </c>
    </row>
    <row r="22" spans="1:8" x14ac:dyDescent="0.45">
      <c r="A22" s="1" t="s">
        <v>18</v>
      </c>
      <c r="B22" t="s">
        <v>19</v>
      </c>
      <c r="E22" s="7">
        <v>0.1769</v>
      </c>
      <c r="F22" t="s">
        <v>7</v>
      </c>
    </row>
    <row r="23" spans="1:8" x14ac:dyDescent="0.45">
      <c r="A23" t="s">
        <v>20</v>
      </c>
      <c r="E23" s="7">
        <v>7.3099999999999998E-2</v>
      </c>
      <c r="F23" t="s">
        <v>7</v>
      </c>
    </row>
    <row r="24" spans="1:8" x14ac:dyDescent="0.45">
      <c r="A24" t="s">
        <v>21</v>
      </c>
      <c r="E24" s="6">
        <v>-0.2</v>
      </c>
      <c r="F24" t="s">
        <v>7</v>
      </c>
    </row>
    <row r="25" spans="1:8" x14ac:dyDescent="0.45">
      <c r="A25" t="s">
        <v>22</v>
      </c>
      <c r="E25" t="s">
        <v>23</v>
      </c>
      <c r="H25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7" workbookViewId="0">
      <selection activeCell="A39" sqref="A39"/>
    </sheetView>
  </sheetViews>
  <sheetFormatPr defaultColWidth="8.86328125" defaultRowHeight="14.25" x14ac:dyDescent="0.45"/>
  <cols>
    <col min="1" max="1" width="91" customWidth="1"/>
    <col min="2" max="2" width="16" customWidth="1"/>
    <col min="4" max="4" width="9.73046875" bestFit="1" customWidth="1"/>
    <col min="7" max="7" width="10.73046875" customWidth="1"/>
  </cols>
  <sheetData>
    <row r="1" spans="1:4" x14ac:dyDescent="0.45">
      <c r="A1" s="25" t="s">
        <v>118</v>
      </c>
      <c r="B1" s="11">
        <v>812008677</v>
      </c>
      <c r="C1" t="s">
        <v>27</v>
      </c>
      <c r="D1" t="s">
        <v>117</v>
      </c>
    </row>
    <row r="2" spans="1:4" x14ac:dyDescent="0.45">
      <c r="A2" t="s">
        <v>94</v>
      </c>
      <c r="B2" s="4"/>
    </row>
    <row r="3" spans="1:4" s="14" customFormat="1" x14ac:dyDescent="0.45">
      <c r="A3" s="14" t="s">
        <v>93</v>
      </c>
    </row>
    <row r="4" spans="1:4" s="14" customFormat="1" x14ac:dyDescent="0.45">
      <c r="A4" s="14" t="s">
        <v>95</v>
      </c>
    </row>
    <row r="5" spans="1:4" s="14" customFormat="1" x14ac:dyDescent="0.45">
      <c r="A5" s="32" t="s">
        <v>96</v>
      </c>
      <c r="B5" s="33">
        <f>SUM(B1:B4)</f>
        <v>812008677</v>
      </c>
    </row>
    <row r="6" spans="1:4" s="14" customFormat="1" x14ac:dyDescent="0.45">
      <c r="A6" s="31"/>
    </row>
    <row r="7" spans="1:4" x14ac:dyDescent="0.45">
      <c r="A7" s="49" t="s">
        <v>37</v>
      </c>
      <c r="B7" s="11">
        <f>SUM(B8:B22)</f>
        <v>399485000</v>
      </c>
    </row>
    <row r="8" spans="1:4" x14ac:dyDescent="0.45">
      <c r="A8" t="s">
        <v>113</v>
      </c>
      <c r="B8" s="13">
        <f>193200000*0.98</f>
        <v>189336000</v>
      </c>
    </row>
    <row r="9" spans="1:4" x14ac:dyDescent="0.45">
      <c r="A9" t="s">
        <v>36</v>
      </c>
      <c r="B9" s="13">
        <f>110050000*0.98</f>
        <v>107849000</v>
      </c>
    </row>
    <row r="10" spans="1:4" s="14" customFormat="1" x14ac:dyDescent="0.45">
      <c r="A10" s="14" t="s">
        <v>93</v>
      </c>
      <c r="B10" s="13"/>
    </row>
    <row r="11" spans="1:4" s="14" customFormat="1" x14ac:dyDescent="0.45">
      <c r="A11" s="30" t="s">
        <v>36</v>
      </c>
      <c r="B11" s="13"/>
    </row>
    <row r="12" spans="1:4" s="5" customFormat="1" x14ac:dyDescent="0.45">
      <c r="A12" s="5" t="s">
        <v>35</v>
      </c>
      <c r="B12" s="13"/>
    </row>
    <row r="13" spans="1:4" x14ac:dyDescent="0.45">
      <c r="A13" t="s">
        <v>28</v>
      </c>
      <c r="B13" s="13"/>
    </row>
    <row r="14" spans="1:4" x14ac:dyDescent="0.45">
      <c r="A14" t="s">
        <v>29</v>
      </c>
      <c r="B14" s="13"/>
    </row>
    <row r="15" spans="1:4" x14ac:dyDescent="0.45">
      <c r="A15" t="s">
        <v>30</v>
      </c>
      <c r="B15" s="13"/>
    </row>
    <row r="16" spans="1:4" s="5" customFormat="1" x14ac:dyDescent="0.45">
      <c r="A16" s="5" t="s">
        <v>43</v>
      </c>
      <c r="B16" s="13"/>
    </row>
    <row r="17" spans="1:8" s="5" customFormat="1" x14ac:dyDescent="0.45">
      <c r="A17" s="5" t="s">
        <v>52</v>
      </c>
      <c r="B17" s="13"/>
    </row>
    <row r="18" spans="1:8" x14ac:dyDescent="0.45">
      <c r="A18" t="s">
        <v>31</v>
      </c>
      <c r="B18" s="13"/>
      <c r="G18" s="51"/>
    </row>
    <row r="19" spans="1:8" x14ac:dyDescent="0.45">
      <c r="A19" s="29" t="s">
        <v>47</v>
      </c>
      <c r="B19" s="13">
        <v>102300000</v>
      </c>
      <c r="G19" s="52"/>
      <c r="H19" s="53"/>
    </row>
    <row r="20" spans="1:8" x14ac:dyDescent="0.45">
      <c r="A20" t="s">
        <v>32</v>
      </c>
      <c r="B20" s="13"/>
    </row>
    <row r="21" spans="1:8" x14ac:dyDescent="0.45">
      <c r="A21" t="s">
        <v>33</v>
      </c>
      <c r="B21" s="13"/>
      <c r="G21" s="4"/>
    </row>
    <row r="22" spans="1:8" x14ac:dyDescent="0.45">
      <c r="A22" t="s">
        <v>34</v>
      </c>
      <c r="B22" s="13"/>
    </row>
    <row r="24" spans="1:8" x14ac:dyDescent="0.45">
      <c r="A24" s="49" t="s">
        <v>56</v>
      </c>
      <c r="B24" s="11">
        <f>SUM(B25:B36)</f>
        <v>3730314</v>
      </c>
    </row>
    <row r="25" spans="1:8" x14ac:dyDescent="0.45">
      <c r="A25" t="s">
        <v>48</v>
      </c>
      <c r="B25" s="10"/>
    </row>
    <row r="26" spans="1:8" x14ac:dyDescent="0.45">
      <c r="A26" t="s">
        <v>46</v>
      </c>
      <c r="B26" s="10">
        <v>3637000</v>
      </c>
    </row>
    <row r="27" spans="1:8" s="5" customFormat="1" x14ac:dyDescent="0.45">
      <c r="A27" s="5" t="s">
        <v>44</v>
      </c>
      <c r="B27" s="10"/>
    </row>
    <row r="28" spans="1:8" x14ac:dyDescent="0.45">
      <c r="A28" t="s">
        <v>49</v>
      </c>
      <c r="B28" s="10"/>
    </row>
    <row r="29" spans="1:8" s="5" customFormat="1" x14ac:dyDescent="0.45">
      <c r="A29" s="5" t="s">
        <v>50</v>
      </c>
      <c r="B29" s="10"/>
    </row>
    <row r="30" spans="1:8" s="5" customFormat="1" x14ac:dyDescent="0.45">
      <c r="A30" s="5" t="s">
        <v>45</v>
      </c>
      <c r="B30" s="10"/>
    </row>
    <row r="31" spans="1:8" x14ac:dyDescent="0.45">
      <c r="A31" t="s">
        <v>38</v>
      </c>
      <c r="B31" s="10"/>
    </row>
    <row r="32" spans="1:8" x14ac:dyDescent="0.45">
      <c r="A32" t="s">
        <v>39</v>
      </c>
      <c r="B32" s="13"/>
    </row>
    <row r="33" spans="1:2" x14ac:dyDescent="0.45">
      <c r="A33" s="29" t="s">
        <v>40</v>
      </c>
      <c r="B33" s="13">
        <v>93314</v>
      </c>
    </row>
    <row r="34" spans="1:2" x14ac:dyDescent="0.45">
      <c r="A34" t="s">
        <v>41</v>
      </c>
      <c r="B34" s="10"/>
    </row>
    <row r="35" spans="1:2" x14ac:dyDescent="0.45">
      <c r="A35" t="s">
        <v>51</v>
      </c>
      <c r="B35" s="10"/>
    </row>
    <row r="36" spans="1:2" x14ac:dyDescent="0.45">
      <c r="A36" t="s">
        <v>112</v>
      </c>
      <c r="B36" s="50"/>
    </row>
    <row r="37" spans="1:2" s="14" customFormat="1" x14ac:dyDescent="0.45">
      <c r="B37" s="50"/>
    </row>
    <row r="38" spans="1:2" x14ac:dyDescent="0.45">
      <c r="A38" s="49" t="s">
        <v>163</v>
      </c>
      <c r="B38" s="11">
        <f>B1+B7-B24</f>
        <v>1207763363</v>
      </c>
    </row>
    <row r="40" spans="1:2" x14ac:dyDescent="0.45">
      <c r="A40" s="2" t="s">
        <v>42</v>
      </c>
      <c r="B40" s="44">
        <v>39186130</v>
      </c>
    </row>
    <row r="42" spans="1:2" x14ac:dyDescent="0.45">
      <c r="A42" s="2" t="s">
        <v>57</v>
      </c>
      <c r="B42" s="12">
        <f>B38/B40</f>
        <v>30.821195229026188</v>
      </c>
    </row>
    <row r="43" spans="1:2" x14ac:dyDescent="0.45">
      <c r="B43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G20" sqref="G20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 forecast sheet</vt:lpstr>
      <vt:lpstr>Operating value calculation</vt:lpstr>
      <vt:lpstr>Avg. values Pharma NYU stern</vt:lpstr>
      <vt:lpstr>Equity value calculation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2016-06-09T03:12:43Z</dcterms:modified>
</cp:coreProperties>
</file>