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avn\Desktop\EVOKE Pharma\"/>
    </mc:Choice>
  </mc:AlternateContent>
  <bookViews>
    <workbookView xWindow="0" yWindow="0" windowWidth="22500" windowHeight="12023" activeTab="1"/>
  </bookViews>
  <sheets>
    <sheet name="Revenue forecast sheet" sheetId="7" r:id="rId1"/>
    <sheet name="Operating value calculation" sheetId="5" r:id="rId2"/>
    <sheet name="Pharma Comparables valuation" sheetId="9" r:id="rId3"/>
    <sheet name="Notes" sheetId="8" r:id="rId4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5" l="1"/>
  <c r="B17" i="9"/>
  <c r="B3" i="7"/>
  <c r="C11" i="5" l="1"/>
  <c r="N7" i="5"/>
  <c r="O7" i="5"/>
  <c r="P7" i="5"/>
  <c r="Q7" i="5"/>
  <c r="H7" i="5"/>
  <c r="I7" i="5"/>
  <c r="J7" i="5"/>
  <c r="K7" i="5"/>
  <c r="L7" i="5"/>
  <c r="M7" i="5"/>
  <c r="D7" i="5"/>
  <c r="E7" i="5"/>
  <c r="F7" i="5"/>
  <c r="G7" i="5"/>
  <c r="H6" i="7" l="1"/>
  <c r="I6" i="7" s="1"/>
  <c r="J6" i="7" s="1"/>
  <c r="K6" i="7" s="1"/>
  <c r="L6" i="7" s="1"/>
  <c r="M6" i="7" s="1"/>
  <c r="N6" i="7" s="1"/>
  <c r="O6" i="7" s="1"/>
  <c r="P6" i="7" s="1"/>
  <c r="Q6" i="7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Q8" i="7" l="1"/>
  <c r="Q9" i="7" s="1"/>
  <c r="P8" i="7"/>
  <c r="P9" i="7" s="1"/>
  <c r="B8" i="7"/>
  <c r="B9" i="7" s="1"/>
  <c r="F8" i="7"/>
  <c r="F9" i="7" s="1"/>
  <c r="E8" i="7"/>
  <c r="E9" i="7" s="1"/>
  <c r="O8" i="7"/>
  <c r="O9" i="7" s="1"/>
  <c r="D8" i="7"/>
  <c r="D9" i="7" s="1"/>
  <c r="N8" i="7"/>
  <c r="N9" i="7" s="1"/>
  <c r="G8" i="7"/>
  <c r="G9" i="7" s="1"/>
  <c r="C8" i="7"/>
  <c r="C9" i="7" s="1"/>
  <c r="L8" i="7"/>
  <c r="L9" i="7" s="1"/>
  <c r="H8" i="7"/>
  <c r="H9" i="7" s="1"/>
  <c r="K8" i="7"/>
  <c r="K9" i="7" s="1"/>
  <c r="M8" i="7"/>
  <c r="M9" i="7" s="1"/>
  <c r="I8" i="7"/>
  <c r="I9" i="7" s="1"/>
  <c r="J8" i="7"/>
  <c r="J9" i="7" s="1"/>
  <c r="D25" i="5"/>
  <c r="D11" i="5"/>
  <c r="Q32" i="5" l="1"/>
  <c r="Q34" i="5" s="1"/>
  <c r="Q45" i="5" s="1"/>
  <c r="Q48" i="5" s="1"/>
  <c r="Q25" i="5"/>
  <c r="Q27" i="5" s="1"/>
  <c r="Q29" i="5" s="1"/>
  <c r="Q11" i="5"/>
  <c r="B61" i="5" l="1"/>
  <c r="Q51" i="5"/>
  <c r="Q53" i="5"/>
  <c r="Q55" i="5" s="1"/>
  <c r="N32" i="5"/>
  <c r="O32" i="5"/>
  <c r="P32" i="5"/>
  <c r="F32" i="5"/>
  <c r="G32" i="5"/>
  <c r="H32" i="5"/>
  <c r="I32" i="5"/>
  <c r="J32" i="5"/>
  <c r="K32" i="5"/>
  <c r="L32" i="5"/>
  <c r="M32" i="5"/>
  <c r="E32" i="5"/>
  <c r="P25" i="5" l="1"/>
  <c r="P34" i="5" s="1"/>
  <c r="P45" i="5" s="1"/>
  <c r="P48" i="5" s="1"/>
  <c r="P51" i="5" s="1"/>
  <c r="H25" i="5"/>
  <c r="I25" i="5"/>
  <c r="J25" i="5"/>
  <c r="K25" i="5"/>
  <c r="L25" i="5"/>
  <c r="M25" i="5"/>
  <c r="N25" i="5"/>
  <c r="O25" i="5"/>
  <c r="O27" i="5" s="1"/>
  <c r="O29" i="5" s="1"/>
  <c r="E25" i="5"/>
  <c r="F25" i="5"/>
  <c r="G25" i="5"/>
  <c r="O11" i="5"/>
  <c r="P11" i="5"/>
  <c r="I11" i="5"/>
  <c r="J11" i="5"/>
  <c r="K11" i="5"/>
  <c r="L11" i="5"/>
  <c r="M11" i="5"/>
  <c r="N11" i="5"/>
  <c r="E11" i="5"/>
  <c r="F11" i="5"/>
  <c r="G11" i="5"/>
  <c r="H11" i="5"/>
  <c r="P53" i="5" l="1"/>
  <c r="P55" i="5" s="1"/>
  <c r="O34" i="5"/>
  <c r="O45" i="5" s="1"/>
  <c r="O48" i="5" s="1"/>
  <c r="O51" i="5" s="1"/>
  <c r="P27" i="5"/>
  <c r="P29" i="5" s="1"/>
  <c r="O53" i="5" l="1"/>
  <c r="O55" i="5" s="1"/>
  <c r="B8" i="9"/>
  <c r="B9" i="9" s="1"/>
  <c r="B13" i="9" s="1"/>
  <c r="B10" i="5"/>
  <c r="B12" i="5" s="1"/>
  <c r="B20" i="5" s="1"/>
  <c r="B25" i="5" s="1"/>
  <c r="C10" i="5"/>
  <c r="D12" i="5"/>
  <c r="E34" i="5"/>
  <c r="F34" i="5"/>
  <c r="F45" i="5" s="1"/>
  <c r="F48" i="5" s="1"/>
  <c r="F51" i="5" s="1"/>
  <c r="G34" i="5"/>
  <c r="G45" i="5" s="1"/>
  <c r="G48" i="5" s="1"/>
  <c r="G51" i="5" s="1"/>
  <c r="H34" i="5"/>
  <c r="H45" i="5" s="1"/>
  <c r="H48" i="5" s="1"/>
  <c r="H51" i="5" s="1"/>
  <c r="I27" i="5"/>
  <c r="I29" i="5" s="1"/>
  <c r="I34" i="5"/>
  <c r="I45" i="5" s="1"/>
  <c r="I48" i="5" s="1"/>
  <c r="I51" i="5" s="1"/>
  <c r="J34" i="5"/>
  <c r="J45" i="5" s="1"/>
  <c r="J48" i="5" s="1"/>
  <c r="J51" i="5" s="1"/>
  <c r="K34" i="5"/>
  <c r="K45" i="5" s="1"/>
  <c r="K48" i="5" s="1"/>
  <c r="K51" i="5" s="1"/>
  <c r="L34" i="5"/>
  <c r="L45" i="5" s="1"/>
  <c r="L48" i="5" s="1"/>
  <c r="L51" i="5" s="1"/>
  <c r="M34" i="5"/>
  <c r="M45" i="5" s="1"/>
  <c r="M48" i="5" s="1"/>
  <c r="M51" i="5" s="1"/>
  <c r="N34" i="5"/>
  <c r="N45" i="5" s="1"/>
  <c r="N48" i="5" s="1"/>
  <c r="N51" i="5" s="1"/>
  <c r="E27" i="5"/>
  <c r="E29" i="5" s="1"/>
  <c r="F27" i="5"/>
  <c r="F29" i="5" s="1"/>
  <c r="G27" i="5"/>
  <c r="G29" i="5" s="1"/>
  <c r="H27" i="5"/>
  <c r="H29" i="5" s="1"/>
  <c r="J27" i="5"/>
  <c r="J29" i="5" s="1"/>
  <c r="M27" i="5"/>
  <c r="M29" i="5" s="1"/>
  <c r="C32" i="5" l="1"/>
  <c r="C34" i="5" s="1"/>
  <c r="C45" i="5" s="1"/>
  <c r="E45" i="5"/>
  <c r="E48" i="5" s="1"/>
  <c r="D32" i="5"/>
  <c r="D34" i="5" s="1"/>
  <c r="D45" i="5" s="1"/>
  <c r="B32" i="5"/>
  <c r="B34" i="5" s="1"/>
  <c r="B45" i="5" s="1"/>
  <c r="I53" i="5"/>
  <c r="L53" i="5"/>
  <c r="F53" i="5"/>
  <c r="M53" i="5"/>
  <c r="K53" i="5"/>
  <c r="H53" i="5"/>
  <c r="N53" i="5"/>
  <c r="N55" i="5" s="1"/>
  <c r="J53" i="5"/>
  <c r="G53" i="5"/>
  <c r="B65" i="5"/>
  <c r="B67" i="5" s="1"/>
  <c r="N27" i="5"/>
  <c r="N29" i="5" s="1"/>
  <c r="K27" i="5"/>
  <c r="K29" i="5" s="1"/>
  <c r="L27" i="5"/>
  <c r="L29" i="5" s="1"/>
  <c r="E53" i="5" l="1"/>
  <c r="E51" i="5"/>
  <c r="C27" i="5"/>
  <c r="C29" i="5" s="1"/>
  <c r="B27" i="5"/>
  <c r="B29" i="5" s="1"/>
  <c r="B48" i="5"/>
  <c r="B53" i="5" s="1"/>
  <c r="B55" i="5" s="1"/>
  <c r="C48" i="5"/>
  <c r="D48" i="5"/>
  <c r="D51" i="5" s="1"/>
  <c r="E55" i="5"/>
  <c r="H55" i="5"/>
  <c r="I55" i="5"/>
  <c r="L55" i="5"/>
  <c r="F55" i="5"/>
  <c r="G55" i="5"/>
  <c r="K55" i="5"/>
  <c r="J55" i="5"/>
  <c r="M55" i="5"/>
  <c r="D27" i="5"/>
  <c r="D29" i="5" s="1"/>
  <c r="C53" i="5" l="1"/>
  <c r="C55" i="5" s="1"/>
  <c r="D53" i="5"/>
  <c r="D55" i="5" s="1"/>
  <c r="B57" i="5" l="1"/>
  <c r="B70" i="5" s="1"/>
  <c r="B73" i="5" s="1"/>
</calcChain>
</file>

<file path=xl/sharedStrings.xml><?xml version="1.0" encoding="utf-8"?>
<sst xmlns="http://schemas.openxmlformats.org/spreadsheetml/2006/main" count="96" uniqueCount="91">
  <si>
    <t>Discount rate</t>
  </si>
  <si>
    <t>COGS</t>
  </si>
  <si>
    <t>Other operating expenses</t>
  </si>
  <si>
    <t>Time periods to discount back, years</t>
  </si>
  <si>
    <t>NOPLAT</t>
  </si>
  <si>
    <t>USD</t>
  </si>
  <si>
    <t>Good will writedowns</t>
  </si>
  <si>
    <t>Amortization of intangibles</t>
  </si>
  <si>
    <t>Interest income</t>
  </si>
  <si>
    <t>Interest expense</t>
  </si>
  <si>
    <t>Restructuring charges</t>
  </si>
  <si>
    <t>Earnings before taxes</t>
  </si>
  <si>
    <t>Income taxes</t>
  </si>
  <si>
    <t>Minority interest</t>
  </si>
  <si>
    <t>Income before extraordinary items</t>
  </si>
  <si>
    <t>Extraordinary items, after tax</t>
  </si>
  <si>
    <t>Preferred share dividends</t>
  </si>
  <si>
    <t>Earnings for common shareholders</t>
  </si>
  <si>
    <t>Common dividends</t>
  </si>
  <si>
    <t>Decrease/increase in operating deferred taxes</t>
  </si>
  <si>
    <t>Adjusted Net income</t>
  </si>
  <si>
    <t>Amortization, acquired intangibles</t>
  </si>
  <si>
    <t>Amortization, of past sale/leaseback gains</t>
  </si>
  <si>
    <t>Severence and other restructuring charges</t>
  </si>
  <si>
    <t>Gains (losses) on asset sales</t>
  </si>
  <si>
    <t>Pension adjustments</t>
  </si>
  <si>
    <t>Operating lease interest</t>
  </si>
  <si>
    <t>Less: Investment income</t>
  </si>
  <si>
    <t>Nonoperating taxes</t>
  </si>
  <si>
    <t xml:space="preserve">Non-operating income, exchange rate differences </t>
  </si>
  <si>
    <t>Other non-operating expenses (income)</t>
  </si>
  <si>
    <t>Step 1: Revenue and Net Income calculation</t>
  </si>
  <si>
    <t>Step 2: Reconciliation of Net Income to calculate NOPLAT</t>
  </si>
  <si>
    <t>Step 3: Free Cash flow calculation from NOPLAT</t>
  </si>
  <si>
    <t>Add non-cash operating expenses</t>
  </si>
  <si>
    <t>Discounted value of FCF , USD</t>
  </si>
  <si>
    <t>Sum of discounted FCFs till peak revenue, USD</t>
  </si>
  <si>
    <t>Terminal FCF value calculation</t>
  </si>
  <si>
    <t>Annual increase (decrease) in FCF after peak</t>
  </si>
  <si>
    <t>Discounted value of terminal FCF</t>
  </si>
  <si>
    <t xml:space="preserve">Forecasted Operating value </t>
  </si>
  <si>
    <t xml:space="preserve">NOPLAT </t>
  </si>
  <si>
    <t>NOPLAT in the year after peak revenue, USD</t>
  </si>
  <si>
    <t>RONIC</t>
  </si>
  <si>
    <t xml:space="preserve">Terminal value </t>
  </si>
  <si>
    <t>Discount rate , WACC</t>
  </si>
  <si>
    <t>(McKinsey NOPLAT formula)</t>
  </si>
  <si>
    <t>Discounted fair value of operating EV at present</t>
  </si>
  <si>
    <t>Estimated EV at peak revenue year, using EV/EBIT(1-t)=25.78</t>
  </si>
  <si>
    <t>Peak EBIT (1-t), at 17.52% of annual revenue, mean for sector, NYU data</t>
  </si>
  <si>
    <t>Average for Pharmaceuticals</t>
  </si>
  <si>
    <t>EV/EBIT (1-t)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</si>
  <si>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</si>
  <si>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</si>
  <si>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</si>
  <si>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</si>
  <si>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</si>
  <si>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</si>
  <si>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</si>
  <si>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</si>
  <si>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</si>
  <si>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</si>
  <si>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</si>
  <si>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</si>
  <si>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Discount rate, 10%</t>
  </si>
  <si>
    <t>Contribution to fair value/share</t>
  </si>
  <si>
    <t>FCF from operations, , USD</t>
  </si>
  <si>
    <t>Peak forecasted revenue, USD in 2030</t>
  </si>
  <si>
    <t>Annual growth/decline after peak sales, percentage, 5%</t>
  </si>
  <si>
    <t>Total forecasted revenue, USD</t>
  </si>
  <si>
    <t xml:space="preserve">Stock comp expense, </t>
  </si>
  <si>
    <t>Dilued share count, inc. stock options, warrants</t>
  </si>
  <si>
    <t>EVK-001 in females with gastroparesis, all causes, U.S. only</t>
  </si>
  <si>
    <t>Annual incidence=9.8 per 100,000 females in U.S. or 150,000 cases per year</t>
  </si>
  <si>
    <t>Market penetration</t>
  </si>
  <si>
    <t>Annual drug cost, USD per case, similar to nasonex spray</t>
  </si>
  <si>
    <t>5% annual decline after 2030, patent expiry.</t>
  </si>
  <si>
    <t>Forecasted revenue after adjusting for 4% royalties, USD</t>
  </si>
  <si>
    <t>We assumed that nasal metclopramide will be more suited and reimbursed for female gastroparesis patents</t>
  </si>
  <si>
    <t>with severe symptoms and difficulty with oral intake/ gastric absorption</t>
  </si>
  <si>
    <t>Probability of success (reaching the market), 60% (avg. for drugs in phase 3)</t>
  </si>
  <si>
    <t>3% annual growth after reaching 5% market penetration in 2023 till 2030</t>
  </si>
  <si>
    <t>S, G&amp;A expenses , included in NI after 2017</t>
  </si>
  <si>
    <t>Dep&amp;A, 7.3% x rev. after 2017 (operating fixed assets and operating intangible assets, capitalized software, operating P,P&amp;E)</t>
  </si>
  <si>
    <t>EBITA, equal to NI after 2017</t>
  </si>
  <si>
    <t>Net Income(loss), 17.5% of rev after 2017</t>
  </si>
  <si>
    <t>Retained profit, Equal to NI after 2017</t>
  </si>
  <si>
    <t>EBITDA , equal to NI after 2017</t>
  </si>
  <si>
    <t>Less reinvestment rate, 95% of NOPLAT  after 2017</t>
  </si>
  <si>
    <t>Prevalence of target cases, U.S. only, 2 m all cases, 80% are female, 35% of total are severe, and can't take orally</t>
  </si>
  <si>
    <t>R&amp;D expenses, 17.7%x rev. after 2018 and risk-adjusted at 60%,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</si>
</sst>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#,##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3" tint="-0.24994659260841701"/>
      <name val="Arial"/>
      <family val="2"/>
    </font>
    <font>
      <b/>
      <sz val="10"/>
      <color rgb="FFFF0000"/>
      <name val="Arial"/>
      <family val="2"/>
    </font>
    <font>
      <sz val="11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1" fontId="0" fillId="0" borderId="0" xfId="0" applyNumberFormat="1"/>
    <xf numFmtId="3" fontId="0" fillId="0" borderId="0" xfId="0" applyNumberFormat="1"/>
    <xf numFmtId="10" fontId="0" fillId="0" borderId="0" xfId="0" applyNumberFormat="1"/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1" fontId="3" fillId="0" borderId="0" xfId="0" applyNumberFormat="1" applyFont="1"/>
    <xf numFmtId="0" fontId="2" fillId="0" borderId="0" xfId="0" applyFont="1"/>
    <xf numFmtId="0" fontId="3" fillId="4" borderId="0" xfId="0" applyFont="1" applyFill="1"/>
    <xf numFmtId="3" fontId="3" fillId="0" borderId="0" xfId="0" applyNumberFormat="1" applyFont="1"/>
    <xf numFmtId="0" fontId="3" fillId="2" borderId="0" xfId="0" applyFont="1" applyFill="1"/>
    <xf numFmtId="0" fontId="2" fillId="6" borderId="0" xfId="0" applyFont="1" applyFill="1"/>
    <xf numFmtId="0" fontId="1" fillId="6" borderId="0" xfId="0" applyFont="1" applyFill="1"/>
    <xf numFmtId="0" fontId="0" fillId="5" borderId="0" xfId="0" applyFill="1"/>
    <xf numFmtId="0" fontId="2" fillId="3" borderId="0" xfId="0" applyFont="1" applyFill="1"/>
    <xf numFmtId="0" fontId="0" fillId="3" borderId="0" xfId="0" applyFill="1"/>
    <xf numFmtId="0" fontId="5" fillId="0" borderId="0" xfId="0" applyFont="1"/>
    <xf numFmtId="0" fontId="5" fillId="7" borderId="0" xfId="0" applyFont="1" applyFill="1"/>
    <xf numFmtId="0" fontId="4" fillId="6" borderId="0" xfId="0" applyFont="1" applyFill="1"/>
    <xf numFmtId="0" fontId="2" fillId="7" borderId="0" xfId="0" applyFont="1" applyFill="1"/>
    <xf numFmtId="3" fontId="2" fillId="7" borderId="0" xfId="0" applyNumberFormat="1" applyFont="1" applyFill="1"/>
    <xf numFmtId="164" fontId="0" fillId="0" borderId="0" xfId="0" applyNumberFormat="1"/>
    <xf numFmtId="0" fontId="0" fillId="9" borderId="0" xfId="0" applyFill="1"/>
    <xf numFmtId="0" fontId="1" fillId="8" borderId="0" xfId="0" applyFont="1" applyFill="1"/>
    <xf numFmtId="0" fontId="6" fillId="6" borderId="0" xfId="0" applyFont="1" applyFill="1"/>
    <xf numFmtId="165" fontId="0" fillId="0" borderId="0" xfId="0" applyNumberFormat="1"/>
    <xf numFmtId="0" fontId="0" fillId="10" borderId="0" xfId="0" applyFill="1"/>
    <xf numFmtId="164" fontId="0" fillId="2" borderId="0" xfId="0" applyNumberFormat="1" applyFill="1"/>
    <xf numFmtId="3" fontId="0" fillId="3" borderId="0" xfId="0" applyNumberFormat="1" applyFill="1"/>
    <xf numFmtId="42" fontId="1" fillId="0" borderId="0" xfId="0" applyNumberFormat="1" applyFont="1"/>
    <xf numFmtId="42" fontId="0" fillId="0" borderId="0" xfId="0" applyNumberFormat="1"/>
    <xf numFmtId="0" fontId="0" fillId="2" borderId="0" xfId="0" applyFill="1"/>
    <xf numFmtId="0" fontId="1" fillId="2" borderId="0" xfId="0" applyFont="1" applyFill="1"/>
    <xf numFmtId="3" fontId="7" fillId="0" borderId="0" xfId="0" applyNumberFormat="1" applyFont="1" applyFill="1"/>
    <xf numFmtId="49" fontId="7" fillId="0" borderId="0" xfId="0" applyNumberFormat="1" applyFont="1" applyFill="1"/>
    <xf numFmtId="42" fontId="3" fillId="0" borderId="0" xfId="0" applyNumberFormat="1" applyFont="1"/>
    <xf numFmtId="41" fontId="2" fillId="6" borderId="0" xfId="0" applyNumberFormat="1" applyFont="1" applyFill="1"/>
    <xf numFmtId="41" fontId="2" fillId="7" borderId="0" xfId="0" applyNumberFormat="1" applyFont="1" applyFill="1"/>
    <xf numFmtId="44" fontId="0" fillId="0" borderId="0" xfId="0" applyNumberFormat="1"/>
    <xf numFmtId="165" fontId="1" fillId="11" borderId="0" xfId="0" applyNumberFormat="1" applyFont="1" applyFill="1"/>
    <xf numFmtId="3" fontId="8" fillId="0" borderId="0" xfId="0" applyNumberFormat="1" applyFont="1" applyFill="1"/>
    <xf numFmtId="0" fontId="0" fillId="0" borderId="0" xfId="0" applyFont="1" applyFill="1"/>
    <xf numFmtId="4" fontId="0" fillId="0" borderId="0" xfId="0" applyNumberFormat="1" applyFont="1" applyFill="1"/>
    <xf numFmtId="0" fontId="1" fillId="12" borderId="0" xfId="0" applyFont="1" applyFill="1"/>
    <xf numFmtId="3" fontId="1" fillId="0" borderId="0" xfId="0" applyNumberFormat="1" applyFont="1"/>
    <xf numFmtId="3" fontId="5" fillId="0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C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A9" sqref="A9:XFD9"/>
    </sheetView>
  </sheetViews>
  <sheetFormatPr defaultColWidth="8.86328125" defaultRowHeight="14.25" x14ac:dyDescent="0.45"/>
  <cols>
    <col min="1" max="1" width="93.19921875" customWidth="1"/>
    <col min="2" max="3" width="15.59765625" customWidth="1"/>
    <col min="4" max="4" width="14.265625" customWidth="1"/>
    <col min="5" max="5" width="13.73046875" customWidth="1"/>
    <col min="6" max="6" width="14.73046875" customWidth="1"/>
    <col min="7" max="7" width="15.73046875" customWidth="1"/>
    <col min="8" max="9" width="15.1328125" customWidth="1"/>
    <col min="10" max="10" width="16.86328125" customWidth="1"/>
    <col min="11" max="12" width="15.73046875" customWidth="1"/>
    <col min="13" max="13" width="14.265625" customWidth="1"/>
    <col min="14" max="14" width="14.86328125" customWidth="1"/>
    <col min="15" max="15" width="14.796875" customWidth="1"/>
    <col min="16" max="16" width="15.9296875" customWidth="1"/>
    <col min="17" max="17" width="15.46484375" customWidth="1"/>
  </cols>
  <sheetData>
    <row r="1" spans="1:17" s="36" customFormat="1" ht="13.15" x14ac:dyDescent="0.4">
      <c r="B1" s="37">
        <v>2016</v>
      </c>
      <c r="C1" s="37" t="s">
        <v>52</v>
      </c>
      <c r="D1" s="37" t="s">
        <v>53</v>
      </c>
      <c r="E1" s="37" t="s">
        <v>54</v>
      </c>
      <c r="F1" s="37" t="s">
        <v>55</v>
      </c>
      <c r="G1" s="37" t="s">
        <v>56</v>
      </c>
      <c r="H1" s="37" t="s">
        <v>57</v>
      </c>
      <c r="I1" s="37" t="s">
        <v>58</v>
      </c>
      <c r="J1" s="37" t="s">
        <v>59</v>
      </c>
      <c r="K1" s="37" t="s">
        <v>60</v>
      </c>
      <c r="L1" s="37" t="s">
        <v>61</v>
      </c>
      <c r="M1" s="37" t="s">
        <v>62</v>
      </c>
      <c r="N1" s="37" t="s">
        <v>63</v>
      </c>
      <c r="O1" s="36">
        <v>2029</v>
      </c>
      <c r="P1" s="36">
        <v>2030</v>
      </c>
      <c r="Q1" s="36">
        <v>2031</v>
      </c>
    </row>
    <row r="2" spans="1:17" x14ac:dyDescent="0.45">
      <c r="A2" s="43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s="5" customFormat="1" x14ac:dyDescent="0.45">
      <c r="A3" s="48" t="s">
        <v>89</v>
      </c>
      <c r="B3" s="3">
        <f>2000000*0.8*0.35</f>
        <v>560000</v>
      </c>
      <c r="C3" s="3">
        <f>B3+15000</f>
        <v>575000</v>
      </c>
      <c r="D3" s="3">
        <f t="shared" ref="D3:Q3" si="0">C3+15000</f>
        <v>590000</v>
      </c>
      <c r="E3" s="3">
        <f t="shared" si="0"/>
        <v>605000</v>
      </c>
      <c r="F3" s="3">
        <f t="shared" si="0"/>
        <v>620000</v>
      </c>
      <c r="G3" s="3">
        <f t="shared" si="0"/>
        <v>635000</v>
      </c>
      <c r="H3" s="3">
        <f t="shared" si="0"/>
        <v>650000</v>
      </c>
      <c r="I3" s="3">
        <f t="shared" si="0"/>
        <v>665000</v>
      </c>
      <c r="J3" s="3">
        <f t="shared" si="0"/>
        <v>680000</v>
      </c>
      <c r="K3" s="3">
        <f t="shared" si="0"/>
        <v>695000</v>
      </c>
      <c r="L3" s="3">
        <f t="shared" si="0"/>
        <v>710000</v>
      </c>
      <c r="M3" s="3">
        <f t="shared" si="0"/>
        <v>725000</v>
      </c>
      <c r="N3" s="3">
        <f>M3+15000</f>
        <v>740000</v>
      </c>
      <c r="O3" s="3">
        <f t="shared" si="0"/>
        <v>755000</v>
      </c>
      <c r="P3" s="3">
        <f t="shared" si="0"/>
        <v>770000</v>
      </c>
      <c r="Q3" s="3">
        <f t="shared" si="0"/>
        <v>785000</v>
      </c>
    </row>
    <row r="4" spans="1:17" s="5" customFormat="1" x14ac:dyDescent="0.45">
      <c r="A4" s="48" t="s">
        <v>73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s="5" customFormat="1" x14ac:dyDescent="0.45">
      <c r="A5" s="48" t="s">
        <v>75</v>
      </c>
      <c r="B5" s="3">
        <v>2500</v>
      </c>
      <c r="C5" s="3">
        <v>2500</v>
      </c>
      <c r="D5" s="3">
        <v>2500</v>
      </c>
      <c r="E5" s="3">
        <v>2500</v>
      </c>
      <c r="F5" s="3">
        <v>2500</v>
      </c>
      <c r="G5" s="3">
        <v>2500</v>
      </c>
      <c r="H5" s="3">
        <v>2500</v>
      </c>
      <c r="I5" s="3">
        <v>2500</v>
      </c>
      <c r="J5" s="3">
        <v>2500</v>
      </c>
      <c r="K5" s="3">
        <v>2500</v>
      </c>
      <c r="L5" s="3">
        <v>2500</v>
      </c>
      <c r="M5" s="3">
        <v>2500</v>
      </c>
      <c r="N5" s="3">
        <v>2500</v>
      </c>
      <c r="O5" s="3">
        <v>2500</v>
      </c>
      <c r="P5" s="3">
        <v>2500</v>
      </c>
      <c r="Q5" s="3">
        <v>2500</v>
      </c>
    </row>
    <row r="6" spans="1:17" s="5" customFormat="1" x14ac:dyDescent="0.45">
      <c r="A6" s="48" t="s">
        <v>74</v>
      </c>
      <c r="B6" s="3">
        <v>0</v>
      </c>
      <c r="C6" s="49">
        <v>0.01</v>
      </c>
      <c r="D6" s="49">
        <v>0.02</v>
      </c>
      <c r="E6" s="49">
        <v>0.03</v>
      </c>
      <c r="F6" s="49">
        <v>0.04</v>
      </c>
      <c r="G6" s="49">
        <v>0.05</v>
      </c>
      <c r="H6" s="50">
        <f>G6*1.03</f>
        <v>5.1500000000000004E-2</v>
      </c>
      <c r="I6" s="50">
        <f t="shared" ref="I6:P6" si="1">H6*1.03</f>
        <v>5.3045000000000009E-2</v>
      </c>
      <c r="J6" s="50">
        <f t="shared" si="1"/>
        <v>5.4636350000000007E-2</v>
      </c>
      <c r="K6" s="50">
        <f t="shared" si="1"/>
        <v>5.627544050000001E-2</v>
      </c>
      <c r="L6" s="50">
        <f t="shared" si="1"/>
        <v>5.7963703715000009E-2</v>
      </c>
      <c r="M6" s="50">
        <f t="shared" si="1"/>
        <v>5.9702614826450014E-2</v>
      </c>
      <c r="N6" s="50">
        <f>M6*1.03</f>
        <v>6.1493693271243516E-2</v>
      </c>
      <c r="O6" s="50">
        <f t="shared" si="1"/>
        <v>6.3338504069380824E-2</v>
      </c>
      <c r="P6" s="50">
        <f t="shared" si="1"/>
        <v>6.5238659191462253E-2</v>
      </c>
      <c r="Q6" s="50">
        <f>P6*0.95</f>
        <v>6.1976726231889136E-2</v>
      </c>
    </row>
    <row r="7" spans="1:17" s="44" customFormat="1" x14ac:dyDescent="0.45">
      <c r="A7" s="44" t="s">
        <v>80</v>
      </c>
      <c r="B7" s="45">
        <v>0.6</v>
      </c>
      <c r="C7" s="45">
        <v>0.6</v>
      </c>
      <c r="D7" s="45">
        <v>0.6</v>
      </c>
      <c r="E7" s="45">
        <v>0.6</v>
      </c>
      <c r="F7" s="45">
        <v>0.6</v>
      </c>
      <c r="G7" s="45">
        <v>0.6</v>
      </c>
      <c r="H7" s="45">
        <v>0.6</v>
      </c>
      <c r="I7" s="45">
        <v>0.6</v>
      </c>
      <c r="J7" s="45">
        <v>0.6</v>
      </c>
      <c r="K7" s="45">
        <v>0.6</v>
      </c>
      <c r="L7" s="45">
        <v>0.6</v>
      </c>
      <c r="M7" s="45">
        <v>0.6</v>
      </c>
      <c r="N7" s="45">
        <v>0.6</v>
      </c>
      <c r="O7" s="45">
        <v>0.6</v>
      </c>
      <c r="P7" s="45">
        <v>0.6</v>
      </c>
      <c r="Q7" s="45">
        <v>0.6</v>
      </c>
    </row>
    <row r="8" spans="1:17" x14ac:dyDescent="0.45">
      <c r="A8" s="15" t="s">
        <v>69</v>
      </c>
      <c r="B8" s="3">
        <f>B3*B5*B6*B7</f>
        <v>0</v>
      </c>
      <c r="C8" s="3">
        <f t="shared" ref="C8:G8" si="2">C3*C5*C6*C7</f>
        <v>8625000</v>
      </c>
      <c r="D8" s="3">
        <f t="shared" si="2"/>
        <v>17700000</v>
      </c>
      <c r="E8" s="3">
        <f t="shared" si="2"/>
        <v>27225000</v>
      </c>
      <c r="F8" s="3">
        <f t="shared" si="2"/>
        <v>37200000</v>
      </c>
      <c r="G8" s="3">
        <f t="shared" si="2"/>
        <v>47625000</v>
      </c>
      <c r="H8" s="3">
        <f>H3*H5*H6*H7</f>
        <v>50212500</v>
      </c>
      <c r="I8" s="3">
        <f t="shared" ref="I8" si="3">I3*I5*I6*I7</f>
        <v>52912387.500000007</v>
      </c>
      <c r="J8" s="3">
        <f t="shared" ref="J8" si="4">J3*J5*J6*J7</f>
        <v>55729077.000000007</v>
      </c>
      <c r="K8" s="3">
        <f t="shared" ref="K8" si="5">K3*K5*K6*K7</f>
        <v>58667146.721250013</v>
      </c>
      <c r="L8" s="3">
        <f t="shared" ref="L8" si="6">L3*L5*L6*L7</f>
        <v>61731344.456475005</v>
      </c>
      <c r="M8" s="3">
        <f t="shared" ref="M8" si="7">M3*M5*M6*M7</f>
        <v>64926593.623764381</v>
      </c>
      <c r="N8" s="3">
        <f t="shared" ref="N8" si="8">N3*N5*N6*N7</f>
        <v>68257999.531080306</v>
      </c>
      <c r="O8" s="3">
        <f t="shared" ref="O8" si="9">O3*O5*O6*O7</f>
        <v>71730855.858573779</v>
      </c>
      <c r="P8" s="3">
        <f t="shared" ref="P8" si="10">P3*P5*P6*P7</f>
        <v>75350651.36613889</v>
      </c>
      <c r="Q8" s="3">
        <f t="shared" ref="Q8" si="11">Q3*Q5*Q6*Q7</f>
        <v>72977595.138049453</v>
      </c>
    </row>
    <row r="9" spans="1:17" s="1" customFormat="1" x14ac:dyDescent="0.45">
      <c r="A9" s="46" t="s">
        <v>77</v>
      </c>
      <c r="B9" s="47">
        <f>B8*0.96</f>
        <v>0</v>
      </c>
      <c r="C9" s="47">
        <f t="shared" ref="C9:H9" si="12">C8*0.96</f>
        <v>8280000</v>
      </c>
      <c r="D9" s="47">
        <f t="shared" si="12"/>
        <v>16992000</v>
      </c>
      <c r="E9" s="47">
        <f t="shared" si="12"/>
        <v>26136000</v>
      </c>
      <c r="F9" s="47">
        <f t="shared" si="12"/>
        <v>35712000</v>
      </c>
      <c r="G9" s="47">
        <f t="shared" si="12"/>
        <v>45720000</v>
      </c>
      <c r="H9" s="47">
        <f t="shared" si="12"/>
        <v>48204000</v>
      </c>
      <c r="I9" s="47">
        <f t="shared" ref="I9" si="13">I8*0.96</f>
        <v>50795892.000000007</v>
      </c>
      <c r="J9" s="47">
        <f t="shared" ref="J9" si="14">J8*0.96</f>
        <v>53499913.920000002</v>
      </c>
      <c r="K9" s="47">
        <f t="shared" ref="K9" si="15">K8*0.96</f>
        <v>56320460.852400012</v>
      </c>
      <c r="L9" s="47">
        <f t="shared" ref="L9" si="16">L8*0.96</f>
        <v>59262090.678216003</v>
      </c>
      <c r="M9" s="47">
        <f t="shared" ref="M9:N9" si="17">M8*0.96</f>
        <v>62329529.878813803</v>
      </c>
      <c r="N9" s="47">
        <f t="shared" si="17"/>
        <v>65527679.54983709</v>
      </c>
      <c r="O9" s="47">
        <f>O8*0.96</f>
        <v>68861621.624230832</v>
      </c>
      <c r="P9" s="47">
        <f t="shared" ref="P9" si="18">P8*0.96</f>
        <v>72336625.311493337</v>
      </c>
      <c r="Q9" s="47">
        <f t="shared" ref="Q9" si="19">Q8*0.96</f>
        <v>70058491.332527474</v>
      </c>
    </row>
    <row r="11" spans="1:17" x14ac:dyDescent="0.45">
      <c r="A11" t="s">
        <v>81</v>
      </c>
    </row>
    <row r="12" spans="1:17" x14ac:dyDescent="0.45">
      <c r="A12" t="s">
        <v>76</v>
      </c>
      <c r="D12" s="3"/>
    </row>
    <row r="14" spans="1:17" x14ac:dyDescent="0.45">
      <c r="A14" s="51" t="s">
        <v>78</v>
      </c>
    </row>
    <row r="15" spans="1:17" x14ac:dyDescent="0.45">
      <c r="A15" s="51" t="s">
        <v>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topLeftCell="A42" workbookViewId="0">
      <selection activeCell="R54" sqref="R54"/>
    </sheetView>
  </sheetViews>
  <sheetFormatPr defaultColWidth="8.86328125" defaultRowHeight="14.25" x14ac:dyDescent="0.45"/>
  <cols>
    <col min="1" max="1" width="86.3984375" customWidth="1"/>
    <col min="2" max="2" width="22" customWidth="1"/>
    <col min="3" max="3" width="12" customWidth="1"/>
    <col min="4" max="4" width="14.3984375" customWidth="1"/>
    <col min="5" max="5" width="15" customWidth="1"/>
    <col min="6" max="6" width="16.3984375" customWidth="1"/>
    <col min="7" max="7" width="16" customWidth="1"/>
    <col min="8" max="8" width="17" customWidth="1"/>
    <col min="9" max="9" width="15.265625" customWidth="1"/>
    <col min="10" max="10" width="13.3984375" customWidth="1"/>
    <col min="11" max="11" width="14.1328125" customWidth="1"/>
    <col min="12" max="12" width="14.265625" customWidth="1"/>
    <col min="13" max="13" width="16.796875" customWidth="1"/>
    <col min="14" max="14" width="17.59765625" customWidth="1"/>
    <col min="15" max="15" width="14.19921875" customWidth="1"/>
    <col min="16" max="16" width="15.796875" customWidth="1"/>
    <col min="17" max="17" width="15.9296875" customWidth="1"/>
  </cols>
  <sheetData>
    <row r="1" spans="1:17" s="7" customFormat="1" ht="26.85" customHeight="1" x14ac:dyDescent="0.4">
      <c r="A1" s="6" t="s">
        <v>31</v>
      </c>
    </row>
    <row r="2" spans="1:17" s="8" customFormat="1" ht="13.15" x14ac:dyDescent="0.4">
      <c r="A2" s="8" t="s">
        <v>5</v>
      </c>
      <c r="B2" s="8">
        <v>2016</v>
      </c>
      <c r="C2" s="8">
        <v>2017</v>
      </c>
      <c r="D2" s="8">
        <v>2018</v>
      </c>
      <c r="E2" s="8">
        <v>2019</v>
      </c>
      <c r="F2" s="8">
        <v>2020</v>
      </c>
      <c r="G2" s="8">
        <v>2021</v>
      </c>
      <c r="H2" s="8">
        <v>2022</v>
      </c>
      <c r="I2" s="8">
        <v>2023</v>
      </c>
      <c r="J2" s="8">
        <v>2024</v>
      </c>
      <c r="K2" s="8">
        <v>2025</v>
      </c>
      <c r="L2" s="8">
        <v>2026</v>
      </c>
      <c r="M2" s="8">
        <v>2027</v>
      </c>
      <c r="N2" s="8">
        <v>2028</v>
      </c>
      <c r="O2" s="8">
        <v>2029</v>
      </c>
      <c r="P2" s="8">
        <v>2030</v>
      </c>
      <c r="Q2" s="8">
        <v>2031</v>
      </c>
    </row>
    <row r="3" spans="1:17" s="8" customFormat="1" ht="13.15" x14ac:dyDescent="0.4"/>
    <row r="4" spans="1:17" s="40" customFormat="1" ht="29.1" customHeight="1" x14ac:dyDescent="0.4">
      <c r="A4" s="39" t="s">
        <v>77</v>
      </c>
      <c r="B4" s="40">
        <v>0</v>
      </c>
      <c r="C4" s="40">
        <v>8280000</v>
      </c>
      <c r="D4" s="40">
        <v>16992000</v>
      </c>
      <c r="E4" s="40">
        <v>26136000</v>
      </c>
      <c r="F4" s="40">
        <v>35712000</v>
      </c>
      <c r="G4" s="40">
        <v>45720000</v>
      </c>
      <c r="H4" s="40">
        <v>48204000</v>
      </c>
      <c r="I4" s="40">
        <v>50795892.000000007</v>
      </c>
      <c r="J4" s="40">
        <v>53499913.920000002</v>
      </c>
      <c r="K4" s="40">
        <v>56320460.852400012</v>
      </c>
      <c r="L4" s="40">
        <v>59262090.678216003</v>
      </c>
      <c r="M4" s="40">
        <v>62329529.878813803</v>
      </c>
      <c r="N4" s="40">
        <v>65527679.54983709</v>
      </c>
      <c r="O4" s="40">
        <v>68861621.624230832</v>
      </c>
      <c r="P4" s="40">
        <v>72336625.311493337</v>
      </c>
      <c r="Q4" s="40">
        <v>70058491.332527474</v>
      </c>
    </row>
    <row r="5" spans="1:17" s="22" customFormat="1" ht="29.1" customHeight="1" x14ac:dyDescent="0.4">
      <c r="A5" s="1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7" s="7" customFormat="1" ht="12.75" x14ac:dyDescent="0.35">
      <c r="A6" s="7" t="s">
        <v>1</v>
      </c>
    </row>
    <row r="7" spans="1:17" s="7" customFormat="1" ht="12.75" x14ac:dyDescent="0.35">
      <c r="A7" s="7" t="s">
        <v>90</v>
      </c>
      <c r="B7" s="12">
        <v>7000000</v>
      </c>
      <c r="C7" s="12">
        <v>10000000</v>
      </c>
      <c r="D7" s="12">
        <f t="shared" ref="D7:Q7" si="0">D4*0.177*0.6</f>
        <v>1804550.4</v>
      </c>
      <c r="E7" s="12">
        <f t="shared" si="0"/>
        <v>2775643.1999999997</v>
      </c>
      <c r="F7" s="12">
        <f t="shared" si="0"/>
        <v>3792614.4</v>
      </c>
      <c r="G7" s="12">
        <f t="shared" si="0"/>
        <v>4855464</v>
      </c>
      <c r="H7" s="12">
        <f t="shared" si="0"/>
        <v>5119264.8</v>
      </c>
      <c r="I7" s="12">
        <f t="shared" si="0"/>
        <v>5394523.7304000007</v>
      </c>
      <c r="J7" s="12">
        <f t="shared" si="0"/>
        <v>5681690.8583039995</v>
      </c>
      <c r="K7" s="12">
        <f t="shared" si="0"/>
        <v>5981232.9425248802</v>
      </c>
      <c r="L7" s="12">
        <f t="shared" si="0"/>
        <v>6293634.0300265383</v>
      </c>
      <c r="M7" s="12">
        <f t="shared" si="0"/>
        <v>6619396.0731300255</v>
      </c>
      <c r="N7" s="12">
        <f t="shared" si="0"/>
        <v>6959039.5681926981</v>
      </c>
      <c r="O7" s="12">
        <f t="shared" si="0"/>
        <v>7313104.2164933141</v>
      </c>
      <c r="P7" s="12">
        <f t="shared" si="0"/>
        <v>7682149.608080592</v>
      </c>
      <c r="Q7" s="12">
        <f t="shared" si="0"/>
        <v>7440211.7795144171</v>
      </c>
    </row>
    <row r="8" spans="1:17" s="7" customFormat="1" ht="12.75" x14ac:dyDescent="0.35">
      <c r="A8" s="7" t="s">
        <v>82</v>
      </c>
      <c r="B8" s="38">
        <v>5000000</v>
      </c>
      <c r="C8" s="38">
        <v>5000000</v>
      </c>
      <c r="D8" s="38"/>
    </row>
    <row r="9" spans="1:17" s="7" customFormat="1" ht="12.75" x14ac:dyDescent="0.35">
      <c r="A9" s="7" t="s">
        <v>2</v>
      </c>
    </row>
    <row r="10" spans="1:17" s="7" customFormat="1" ht="32.85" customHeight="1" x14ac:dyDescent="0.4">
      <c r="A10" s="14" t="s">
        <v>87</v>
      </c>
      <c r="B10" s="12">
        <f>B4-B6-B7-B8-B9</f>
        <v>-12000000</v>
      </c>
      <c r="C10" s="12">
        <f t="shared" ref="C10" si="1">C4-C6-C7-C8-C9</f>
        <v>-6720000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7" s="7" customFormat="1" ht="12.75" x14ac:dyDescent="0.35">
      <c r="A11" s="7" t="s">
        <v>83</v>
      </c>
      <c r="B11" s="12">
        <v>100000</v>
      </c>
      <c r="C11" s="12">
        <f>C4*0.073</f>
        <v>604440</v>
      </c>
      <c r="D11" s="12">
        <f>D4*0.073</f>
        <v>1240416</v>
      </c>
      <c r="E11" s="9">
        <f t="shared" ref="E11:Q11" si="2">E4*0.073</f>
        <v>1907927.9999999998</v>
      </c>
      <c r="F11" s="9">
        <f t="shared" si="2"/>
        <v>2606976</v>
      </c>
      <c r="G11" s="9">
        <f t="shared" si="2"/>
        <v>3337560</v>
      </c>
      <c r="H11" s="9">
        <f t="shared" si="2"/>
        <v>3518892</v>
      </c>
      <c r="I11" s="9">
        <f t="shared" si="2"/>
        <v>3708100.1160000004</v>
      </c>
      <c r="J11" s="9">
        <f t="shared" si="2"/>
        <v>3905493.7161599998</v>
      </c>
      <c r="K11" s="9">
        <f t="shared" si="2"/>
        <v>4111393.6422252008</v>
      </c>
      <c r="L11" s="9">
        <f t="shared" si="2"/>
        <v>4326132.6195097677</v>
      </c>
      <c r="M11" s="9">
        <f t="shared" si="2"/>
        <v>4550055.6811534073</v>
      </c>
      <c r="N11" s="9">
        <f t="shared" si="2"/>
        <v>4783520.6071381075</v>
      </c>
      <c r="O11" s="9">
        <f t="shared" si="2"/>
        <v>5026898.3785688505</v>
      </c>
      <c r="P11" s="9">
        <f t="shared" si="2"/>
        <v>5280573.6477390137</v>
      </c>
      <c r="Q11" s="9">
        <f t="shared" si="2"/>
        <v>5114269.8672745051</v>
      </c>
    </row>
    <row r="12" spans="1:17" s="7" customFormat="1" ht="33.6" customHeight="1" x14ac:dyDescent="0.4">
      <c r="A12" s="10" t="s">
        <v>84</v>
      </c>
      <c r="B12" s="12">
        <f>B10-B11</f>
        <v>-12100000</v>
      </c>
      <c r="C12" s="12"/>
      <c r="D12" s="12">
        <f t="shared" ref="D12" si="3">D10-D11</f>
        <v>-1240416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7" s="7" customFormat="1" ht="12.75" x14ac:dyDescent="0.35">
      <c r="A13" s="7" t="s">
        <v>6</v>
      </c>
    </row>
    <row r="14" spans="1:17" s="7" customFormat="1" ht="12.75" x14ac:dyDescent="0.35">
      <c r="A14" s="7" t="s">
        <v>7</v>
      </c>
      <c r="B14" s="12"/>
    </row>
    <row r="15" spans="1:17" s="7" customFormat="1" ht="12.75" x14ac:dyDescent="0.35">
      <c r="A15" s="7" t="s">
        <v>29</v>
      </c>
      <c r="B15" s="12"/>
      <c r="C15" s="12"/>
    </row>
    <row r="16" spans="1:17" s="7" customFormat="1" ht="12.75" x14ac:dyDescent="0.35">
      <c r="A16" s="7" t="s">
        <v>8</v>
      </c>
      <c r="B16" s="12"/>
    </row>
    <row r="17" spans="1:17" s="7" customFormat="1" ht="12.75" x14ac:dyDescent="0.35">
      <c r="A17" s="7" t="s">
        <v>9</v>
      </c>
      <c r="B17" s="12">
        <v>250000</v>
      </c>
      <c r="C17" s="12">
        <v>250000</v>
      </c>
      <c r="D17" s="12">
        <v>250000</v>
      </c>
    </row>
    <row r="18" spans="1:17" s="7" customFormat="1" ht="12.75" x14ac:dyDescent="0.35">
      <c r="A18" s="7" t="s">
        <v>10</v>
      </c>
    </row>
    <row r="19" spans="1:17" s="7" customFormat="1" ht="12.75" x14ac:dyDescent="0.35">
      <c r="A19" s="7" t="s">
        <v>70</v>
      </c>
      <c r="B19" s="12"/>
      <c r="C19" s="12"/>
      <c r="D19" s="12"/>
    </row>
    <row r="20" spans="1:17" s="7" customFormat="1" ht="31.35" customHeight="1" x14ac:dyDescent="0.4">
      <c r="A20" s="14" t="s">
        <v>11</v>
      </c>
      <c r="B20" s="12">
        <f>B12+B16-B17-B19</f>
        <v>-12350000</v>
      </c>
      <c r="C20" s="12"/>
      <c r="D20" s="12"/>
      <c r="E20" s="12"/>
    </row>
    <row r="21" spans="1:17" s="7" customFormat="1" ht="12.75" x14ac:dyDescent="0.35">
      <c r="A21" s="7" t="s">
        <v>12</v>
      </c>
    </row>
    <row r="22" spans="1:17" s="7" customFormat="1" ht="12.75" x14ac:dyDescent="0.35">
      <c r="A22" s="7" t="s">
        <v>13</v>
      </c>
    </row>
    <row r="23" spans="1:17" s="7" customFormat="1" ht="29.85" customHeight="1" x14ac:dyDescent="0.4">
      <c r="A23" s="10" t="s">
        <v>14</v>
      </c>
      <c r="B23" s="12"/>
      <c r="C23" s="12"/>
    </row>
    <row r="24" spans="1:17" s="7" customFormat="1" ht="12.75" x14ac:dyDescent="0.35">
      <c r="A24" s="7" t="s">
        <v>15</v>
      </c>
    </row>
    <row r="25" spans="1:17" s="7" customFormat="1" ht="32.1" customHeight="1" x14ac:dyDescent="0.4">
      <c r="A25" s="14" t="s">
        <v>85</v>
      </c>
      <c r="B25" s="12">
        <f>B20</f>
        <v>-12350000</v>
      </c>
      <c r="C25" s="12">
        <f>C4-C7-C8-C11-C17</f>
        <v>-7574440</v>
      </c>
      <c r="D25" s="12">
        <f>D4*0.175</f>
        <v>2973600</v>
      </c>
      <c r="E25" s="12">
        <f t="shared" ref="E25:O25" si="4">E4*0.175</f>
        <v>4573800</v>
      </c>
      <c r="F25" s="12">
        <f t="shared" si="4"/>
        <v>6249600</v>
      </c>
      <c r="G25" s="12">
        <f t="shared" si="4"/>
        <v>8000999.9999999991</v>
      </c>
      <c r="H25" s="12">
        <f t="shared" si="4"/>
        <v>8435700</v>
      </c>
      <c r="I25" s="12">
        <f t="shared" si="4"/>
        <v>8889281.1000000015</v>
      </c>
      <c r="J25" s="12">
        <f t="shared" si="4"/>
        <v>9362484.9359999988</v>
      </c>
      <c r="K25" s="12">
        <f t="shared" si="4"/>
        <v>9856080.649170002</v>
      </c>
      <c r="L25" s="12">
        <f t="shared" si="4"/>
        <v>10370865.868687799</v>
      </c>
      <c r="M25" s="12">
        <f t="shared" si="4"/>
        <v>10907667.728792414</v>
      </c>
      <c r="N25" s="12">
        <f t="shared" si="4"/>
        <v>11467343.921221491</v>
      </c>
      <c r="O25" s="12">
        <f t="shared" si="4"/>
        <v>12050783.784240395</v>
      </c>
      <c r="P25" s="12">
        <f>P4*0.175</f>
        <v>12658909.429511333</v>
      </c>
      <c r="Q25" s="12">
        <f>Q4*0.175</f>
        <v>12260235.983192308</v>
      </c>
    </row>
    <row r="26" spans="1:17" s="7" customFormat="1" ht="12.75" x14ac:dyDescent="0.35">
      <c r="A26" s="7" t="s">
        <v>16</v>
      </c>
    </row>
    <row r="27" spans="1:17" s="7" customFormat="1" ht="29.1" customHeight="1" x14ac:dyDescent="0.4">
      <c r="A27" s="10" t="s">
        <v>17</v>
      </c>
      <c r="B27" s="12">
        <f>B25-B26</f>
        <v>-12350000</v>
      </c>
      <c r="C27" s="12">
        <f>C25-C26</f>
        <v>-7574440</v>
      </c>
      <c r="D27" s="12">
        <f t="shared" ref="D27:Q27" si="5">D25-D26</f>
        <v>2973600</v>
      </c>
      <c r="E27" s="12">
        <f t="shared" si="5"/>
        <v>4573800</v>
      </c>
      <c r="F27" s="12">
        <f t="shared" si="5"/>
        <v>6249600</v>
      </c>
      <c r="G27" s="12">
        <f t="shared" si="5"/>
        <v>8000999.9999999991</v>
      </c>
      <c r="H27" s="12">
        <f t="shared" si="5"/>
        <v>8435700</v>
      </c>
      <c r="I27" s="12">
        <f t="shared" si="5"/>
        <v>8889281.1000000015</v>
      </c>
      <c r="J27" s="12">
        <f t="shared" si="5"/>
        <v>9362484.9359999988</v>
      </c>
      <c r="K27" s="12">
        <f t="shared" si="5"/>
        <v>9856080.649170002</v>
      </c>
      <c r="L27" s="12">
        <f t="shared" si="5"/>
        <v>10370865.868687799</v>
      </c>
      <c r="M27" s="12">
        <f t="shared" si="5"/>
        <v>10907667.728792414</v>
      </c>
      <c r="N27" s="12">
        <f t="shared" si="5"/>
        <v>11467343.921221491</v>
      </c>
      <c r="O27" s="12">
        <f t="shared" si="5"/>
        <v>12050783.784240395</v>
      </c>
      <c r="P27" s="12">
        <f t="shared" si="5"/>
        <v>12658909.429511333</v>
      </c>
      <c r="Q27" s="12">
        <f t="shared" si="5"/>
        <v>12260235.983192308</v>
      </c>
    </row>
    <row r="28" spans="1:17" s="7" customFormat="1" ht="12.75" x14ac:dyDescent="0.35">
      <c r="A28" s="7" t="s">
        <v>18</v>
      </c>
    </row>
    <row r="29" spans="1:17" s="7" customFormat="1" ht="35.1" customHeight="1" x14ac:dyDescent="0.4">
      <c r="A29" s="14" t="s">
        <v>86</v>
      </c>
      <c r="B29" s="12">
        <f>B27-B28</f>
        <v>-12350000</v>
      </c>
      <c r="C29" s="12">
        <f>C27-C28</f>
        <v>-7574440</v>
      </c>
      <c r="D29" s="12">
        <f t="shared" ref="D29:J29" si="6">D27-D28</f>
        <v>2973600</v>
      </c>
      <c r="E29" s="12">
        <f t="shared" si="6"/>
        <v>4573800</v>
      </c>
      <c r="F29" s="12">
        <f t="shared" si="6"/>
        <v>6249600</v>
      </c>
      <c r="G29" s="12">
        <f t="shared" si="6"/>
        <v>8000999.9999999991</v>
      </c>
      <c r="H29" s="12">
        <f t="shared" si="6"/>
        <v>8435700</v>
      </c>
      <c r="I29" s="12">
        <f t="shared" si="6"/>
        <v>8889281.1000000015</v>
      </c>
      <c r="J29" s="12">
        <f t="shared" si="6"/>
        <v>9362484.9359999988</v>
      </c>
      <c r="K29" s="12">
        <f>K27-K28</f>
        <v>9856080.649170002</v>
      </c>
      <c r="L29" s="12">
        <f t="shared" ref="L29" si="7">L27-L28</f>
        <v>10370865.868687799</v>
      </c>
      <c r="M29" s="12">
        <f t="shared" ref="M29" si="8">M27-M28</f>
        <v>10907667.728792414</v>
      </c>
      <c r="N29" s="12">
        <f t="shared" ref="N29:Q29" si="9">N27-N28</f>
        <v>11467343.921221491</v>
      </c>
      <c r="O29" s="12">
        <f t="shared" si="9"/>
        <v>12050783.784240395</v>
      </c>
      <c r="P29" s="12">
        <f t="shared" si="9"/>
        <v>12658909.429511333</v>
      </c>
      <c r="Q29" s="12">
        <f t="shared" si="9"/>
        <v>12260235.983192308</v>
      </c>
    </row>
    <row r="30" spans="1:17" s="11" customFormat="1" ht="12.75" x14ac:dyDescent="0.35"/>
    <row r="31" spans="1:17" s="7" customFormat="1" ht="26.65" customHeight="1" x14ac:dyDescent="0.4">
      <c r="A31" s="6" t="s">
        <v>32</v>
      </c>
      <c r="B31" s="13"/>
    </row>
    <row r="32" spans="1:17" s="7" customFormat="1" ht="24.75" customHeight="1" x14ac:dyDescent="0.4">
      <c r="A32" s="14" t="s">
        <v>85</v>
      </c>
      <c r="B32" s="12">
        <f>B25</f>
        <v>-12350000</v>
      </c>
      <c r="C32" s="12">
        <f>C25</f>
        <v>-7574440</v>
      </c>
      <c r="D32" s="12">
        <f>D25</f>
        <v>2973600</v>
      </c>
      <c r="E32" s="12">
        <f>E4*0.175</f>
        <v>4573800</v>
      </c>
      <c r="F32" s="12">
        <f t="shared" ref="F32:Q32" si="10">F4*0.175</f>
        <v>6249600</v>
      </c>
      <c r="G32" s="12">
        <f t="shared" si="10"/>
        <v>8000999.9999999991</v>
      </c>
      <c r="H32" s="12">
        <f t="shared" si="10"/>
        <v>8435700</v>
      </c>
      <c r="I32" s="12">
        <f t="shared" si="10"/>
        <v>8889281.1000000015</v>
      </c>
      <c r="J32" s="12">
        <f t="shared" si="10"/>
        <v>9362484.9359999988</v>
      </c>
      <c r="K32" s="12">
        <f t="shared" si="10"/>
        <v>9856080.649170002</v>
      </c>
      <c r="L32" s="12">
        <f t="shared" si="10"/>
        <v>10370865.868687799</v>
      </c>
      <c r="M32" s="12">
        <f t="shared" si="10"/>
        <v>10907667.728792414</v>
      </c>
      <c r="N32" s="12">
        <f>N4*0.175</f>
        <v>11467343.921221491</v>
      </c>
      <c r="O32" s="12">
        <f t="shared" si="10"/>
        <v>12050783.784240395</v>
      </c>
      <c r="P32" s="12">
        <f t="shared" si="10"/>
        <v>12658909.429511333</v>
      </c>
      <c r="Q32" s="12">
        <f t="shared" si="10"/>
        <v>12260235.983192308</v>
      </c>
    </row>
    <row r="33" spans="1:17" s="7" customFormat="1" ht="12.75" x14ac:dyDescent="0.35">
      <c r="A33" s="7" t="s">
        <v>19</v>
      </c>
    </row>
    <row r="34" spans="1:17" s="7" customFormat="1" ht="33.6" customHeight="1" x14ac:dyDescent="0.4">
      <c r="A34" s="10" t="s">
        <v>20</v>
      </c>
      <c r="B34" s="12">
        <f>B32-B33</f>
        <v>-12350000</v>
      </c>
      <c r="C34" s="12">
        <f t="shared" ref="C34:Q34" si="11">C32-C33</f>
        <v>-7574440</v>
      </c>
      <c r="D34" s="12">
        <f t="shared" si="11"/>
        <v>2973600</v>
      </c>
      <c r="E34" s="12">
        <f t="shared" si="11"/>
        <v>4573800</v>
      </c>
      <c r="F34" s="12">
        <f t="shared" si="11"/>
        <v>6249600</v>
      </c>
      <c r="G34" s="12">
        <f t="shared" si="11"/>
        <v>8000999.9999999991</v>
      </c>
      <c r="H34" s="12">
        <f t="shared" si="11"/>
        <v>8435700</v>
      </c>
      <c r="I34" s="12">
        <f t="shared" si="11"/>
        <v>8889281.1000000015</v>
      </c>
      <c r="J34" s="12">
        <f t="shared" si="11"/>
        <v>9362484.9359999988</v>
      </c>
      <c r="K34" s="12">
        <f t="shared" si="11"/>
        <v>9856080.649170002</v>
      </c>
      <c r="L34" s="12">
        <f t="shared" si="11"/>
        <v>10370865.868687799</v>
      </c>
      <c r="M34" s="12">
        <f t="shared" si="11"/>
        <v>10907667.728792414</v>
      </c>
      <c r="N34" s="12">
        <f t="shared" si="11"/>
        <v>11467343.921221491</v>
      </c>
      <c r="O34" s="12">
        <f t="shared" si="11"/>
        <v>12050783.784240395</v>
      </c>
      <c r="P34" s="12">
        <f t="shared" si="11"/>
        <v>12658909.429511333</v>
      </c>
      <c r="Q34" s="12">
        <f t="shared" si="11"/>
        <v>12260235.983192308</v>
      </c>
    </row>
    <row r="35" spans="1:17" s="7" customFormat="1" ht="12.75" x14ac:dyDescent="0.35">
      <c r="A35" s="7" t="s">
        <v>21</v>
      </c>
      <c r="B35" s="12"/>
      <c r="C35" s="12"/>
      <c r="D35" s="12"/>
    </row>
    <row r="36" spans="1:17" s="7" customFormat="1" ht="12.75" x14ac:dyDescent="0.35">
      <c r="A36" s="7" t="s">
        <v>22</v>
      </c>
      <c r="B36" s="12"/>
    </row>
    <row r="37" spans="1:17" s="7" customFormat="1" ht="12.75" x14ac:dyDescent="0.35">
      <c r="A37" s="7" t="s">
        <v>23</v>
      </c>
    </row>
    <row r="38" spans="1:17" s="7" customFormat="1" ht="12.75" x14ac:dyDescent="0.35">
      <c r="A38" s="7" t="s">
        <v>24</v>
      </c>
    </row>
    <row r="39" spans="1:17" s="7" customFormat="1" ht="12.75" x14ac:dyDescent="0.35">
      <c r="A39" s="7" t="s">
        <v>25</v>
      </c>
    </row>
    <row r="40" spans="1:17" s="7" customFormat="1" ht="12.75" x14ac:dyDescent="0.35">
      <c r="A40" s="7" t="s">
        <v>26</v>
      </c>
    </row>
    <row r="41" spans="1:17" s="7" customFormat="1" ht="12.75" x14ac:dyDescent="0.35">
      <c r="A41" s="7" t="s">
        <v>9</v>
      </c>
      <c r="B41" s="12">
        <v>250000</v>
      </c>
      <c r="C41" s="12">
        <v>250000</v>
      </c>
      <c r="D41" s="12">
        <v>250000</v>
      </c>
      <c r="E41" s="12"/>
    </row>
    <row r="42" spans="1:17" s="7" customFormat="1" ht="12.75" x14ac:dyDescent="0.35">
      <c r="A42" s="7" t="s">
        <v>27</v>
      </c>
      <c r="B42" s="12"/>
    </row>
    <row r="43" spans="1:17" s="7" customFormat="1" ht="12.75" x14ac:dyDescent="0.35">
      <c r="A43" s="7" t="s">
        <v>30</v>
      </c>
      <c r="B43" s="12"/>
      <c r="C43" s="12"/>
    </row>
    <row r="44" spans="1:17" s="7" customFormat="1" ht="12.75" x14ac:dyDescent="0.35">
      <c r="A44" s="7" t="s">
        <v>28</v>
      </c>
    </row>
    <row r="45" spans="1:17" s="7" customFormat="1" ht="32.85" customHeight="1" x14ac:dyDescent="0.4">
      <c r="A45" s="14" t="s">
        <v>41</v>
      </c>
      <c r="B45" s="12">
        <f>B34+B41</f>
        <v>-12100000</v>
      </c>
      <c r="C45" s="12">
        <f t="shared" ref="C45:E45" si="12">C34+C41</f>
        <v>-7324440</v>
      </c>
      <c r="D45" s="12">
        <f t="shared" si="12"/>
        <v>3223600</v>
      </c>
      <c r="E45" s="12">
        <f t="shared" si="12"/>
        <v>4573800</v>
      </c>
      <c r="F45" s="12">
        <f t="shared" ref="F45:Q45" si="13">F34</f>
        <v>6249600</v>
      </c>
      <c r="G45" s="12">
        <f t="shared" si="13"/>
        <v>8000999.9999999991</v>
      </c>
      <c r="H45" s="12">
        <f t="shared" si="13"/>
        <v>8435700</v>
      </c>
      <c r="I45" s="12">
        <f t="shared" si="13"/>
        <v>8889281.1000000015</v>
      </c>
      <c r="J45" s="12">
        <f t="shared" si="13"/>
        <v>9362484.9359999988</v>
      </c>
      <c r="K45" s="12">
        <f t="shared" si="13"/>
        <v>9856080.649170002</v>
      </c>
      <c r="L45" s="12">
        <f>L34</f>
        <v>10370865.868687799</v>
      </c>
      <c r="M45" s="12">
        <f t="shared" si="13"/>
        <v>10907667.728792414</v>
      </c>
      <c r="N45" s="12">
        <f t="shared" si="13"/>
        <v>11467343.921221491</v>
      </c>
      <c r="O45" s="12">
        <f t="shared" si="13"/>
        <v>12050783.784240395</v>
      </c>
      <c r="P45" s="12">
        <f t="shared" si="13"/>
        <v>12658909.429511333</v>
      </c>
      <c r="Q45" s="12">
        <f t="shared" si="13"/>
        <v>12260235.983192308</v>
      </c>
    </row>
    <row r="46" spans="1:17" s="16" customFormat="1" x14ac:dyDescent="0.45"/>
    <row r="47" spans="1:17" x14ac:dyDescent="0.45">
      <c r="A47" s="17" t="s">
        <v>33</v>
      </c>
      <c r="B47" s="18"/>
    </row>
    <row r="48" spans="1:17" x14ac:dyDescent="0.45">
      <c r="A48" s="21" t="s">
        <v>4</v>
      </c>
      <c r="B48" s="3">
        <f>B45</f>
        <v>-12100000</v>
      </c>
      <c r="C48" s="3">
        <f t="shared" ref="C48:Q48" si="14">C45</f>
        <v>-7324440</v>
      </c>
      <c r="D48" s="3">
        <f t="shared" si="14"/>
        <v>3223600</v>
      </c>
      <c r="E48" s="3">
        <f t="shared" si="14"/>
        <v>4573800</v>
      </c>
      <c r="F48" s="3">
        <f t="shared" si="14"/>
        <v>6249600</v>
      </c>
      <c r="G48" s="3">
        <f t="shared" si="14"/>
        <v>8000999.9999999991</v>
      </c>
      <c r="H48" s="3">
        <f t="shared" si="14"/>
        <v>8435700</v>
      </c>
      <c r="I48" s="3">
        <f t="shared" si="14"/>
        <v>8889281.1000000015</v>
      </c>
      <c r="J48" s="3">
        <f t="shared" si="14"/>
        <v>9362484.9359999988</v>
      </c>
      <c r="K48" s="3">
        <f t="shared" si="14"/>
        <v>9856080.649170002</v>
      </c>
      <c r="L48" s="3">
        <f>L45</f>
        <v>10370865.868687799</v>
      </c>
      <c r="M48" s="3">
        <f t="shared" si="14"/>
        <v>10907667.728792414</v>
      </c>
      <c r="N48" s="3">
        <f t="shared" si="14"/>
        <v>11467343.921221491</v>
      </c>
      <c r="O48" s="3">
        <f t="shared" si="14"/>
        <v>12050783.784240395</v>
      </c>
      <c r="P48" s="3">
        <f t="shared" si="14"/>
        <v>12658909.429511333</v>
      </c>
      <c r="Q48" s="3">
        <f t="shared" si="14"/>
        <v>12260235.983192308</v>
      </c>
    </row>
    <row r="49" spans="1:17" x14ac:dyDescent="0.45">
      <c r="A49" s="20" t="s">
        <v>34</v>
      </c>
    </row>
    <row r="50" spans="1:17" x14ac:dyDescent="0.45">
      <c r="A50" s="19" t="s">
        <v>83</v>
      </c>
      <c r="B50">
        <v>100000</v>
      </c>
      <c r="C50" s="5">
        <v>3547800</v>
      </c>
      <c r="D50" s="2">
        <v>7127136</v>
      </c>
      <c r="E50" s="2">
        <v>10738008</v>
      </c>
      <c r="F50" s="2">
        <v>14380416</v>
      </c>
      <c r="G50" s="2">
        <v>18054360</v>
      </c>
      <c r="H50" s="2">
        <v>18677196</v>
      </c>
      <c r="I50" s="2">
        <v>19321153.235999998</v>
      </c>
      <c r="J50" s="2">
        <v>19986938.429759998</v>
      </c>
      <c r="K50" s="2">
        <v>20675281.6972332</v>
      </c>
      <c r="L50" s="2">
        <v>21386937.31616801</v>
      </c>
      <c r="M50" s="2">
        <v>22122684.518711396</v>
      </c>
      <c r="N50" s="2">
        <v>22883328.309822835</v>
      </c>
      <c r="O50" s="2">
        <v>23669700.31233412</v>
      </c>
      <c r="P50" s="2">
        <v>24482659.639517248</v>
      </c>
      <c r="Q50">
        <v>23356251.559463821</v>
      </c>
    </row>
    <row r="51" spans="1:17" x14ac:dyDescent="0.45">
      <c r="A51" s="20" t="s">
        <v>88</v>
      </c>
      <c r="B51" s="3">
        <v>5000000</v>
      </c>
      <c r="C51" s="3">
        <v>5000000</v>
      </c>
      <c r="D51" s="3">
        <f t="shared" ref="D51:Q51" si="15">D48*0.95</f>
        <v>3062420</v>
      </c>
      <c r="E51" s="3">
        <f t="shared" si="15"/>
        <v>4345110</v>
      </c>
      <c r="F51" s="3">
        <f t="shared" si="15"/>
        <v>5937120</v>
      </c>
      <c r="G51" s="3">
        <f t="shared" si="15"/>
        <v>7600949.9999999991</v>
      </c>
      <c r="H51" s="3">
        <f t="shared" si="15"/>
        <v>8013915</v>
      </c>
      <c r="I51" s="3">
        <f t="shared" si="15"/>
        <v>8444817.0450000018</v>
      </c>
      <c r="J51" s="3">
        <f t="shared" si="15"/>
        <v>8894360.689199999</v>
      </c>
      <c r="K51" s="3">
        <f t="shared" si="15"/>
        <v>9363276.616711501</v>
      </c>
      <c r="L51" s="3">
        <f t="shared" si="15"/>
        <v>9852322.5752534084</v>
      </c>
      <c r="M51" s="3">
        <f t="shared" si="15"/>
        <v>10362284.342352793</v>
      </c>
      <c r="N51" s="3">
        <f>N48*0.95</f>
        <v>10893976.725160416</v>
      </c>
      <c r="O51" s="3">
        <f t="shared" si="15"/>
        <v>11448244.595028374</v>
      </c>
      <c r="P51" s="3">
        <f t="shared" si="15"/>
        <v>12025963.958035765</v>
      </c>
      <c r="Q51" s="3">
        <f t="shared" si="15"/>
        <v>11647224.184032692</v>
      </c>
    </row>
    <row r="53" spans="1:17" x14ac:dyDescent="0.45">
      <c r="A53" s="26" t="s">
        <v>66</v>
      </c>
      <c r="B53" s="3">
        <f>B48+B50-B51</f>
        <v>-17000000</v>
      </c>
      <c r="C53" s="3">
        <f t="shared" ref="C53:Q53" si="16">C48+C50-C51</f>
        <v>-8776640</v>
      </c>
      <c r="D53" s="3">
        <f t="shared" si="16"/>
        <v>7288316</v>
      </c>
      <c r="E53" s="3">
        <f t="shared" si="16"/>
        <v>10966698</v>
      </c>
      <c r="F53" s="3">
        <f t="shared" si="16"/>
        <v>14692896</v>
      </c>
      <c r="G53" s="3">
        <f>G48+G50-G51</f>
        <v>18454410</v>
      </c>
      <c r="H53" s="3">
        <f t="shared" si="16"/>
        <v>19098981</v>
      </c>
      <c r="I53" s="3">
        <f t="shared" si="16"/>
        <v>19765617.290999997</v>
      </c>
      <c r="J53" s="3">
        <f t="shared" si="16"/>
        <v>20455062.67656</v>
      </c>
      <c r="K53" s="3">
        <f>K48+K50-K51</f>
        <v>21168085.729691703</v>
      </c>
      <c r="L53" s="3">
        <f t="shared" si="16"/>
        <v>21905480.609602403</v>
      </c>
      <c r="M53" s="3">
        <f t="shared" si="16"/>
        <v>22668067.905151017</v>
      </c>
      <c r="N53" s="3">
        <f>N48+N50-N51</f>
        <v>23456695.505883906</v>
      </c>
      <c r="O53" s="3">
        <f t="shared" si="16"/>
        <v>24272239.501546141</v>
      </c>
      <c r="P53" s="3">
        <f t="shared" si="16"/>
        <v>25115605.110992812</v>
      </c>
      <c r="Q53" s="3">
        <f t="shared" si="16"/>
        <v>23969263.358623438</v>
      </c>
    </row>
    <row r="54" spans="1:17" x14ac:dyDescent="0.45">
      <c r="A54" t="s">
        <v>0</v>
      </c>
      <c r="B54">
        <v>0.2</v>
      </c>
      <c r="C54" s="5">
        <v>0.2</v>
      </c>
      <c r="D54" s="5">
        <v>0.2</v>
      </c>
      <c r="E54" s="5">
        <v>0.2</v>
      </c>
      <c r="F54" s="5">
        <v>0.2</v>
      </c>
      <c r="G54" s="5">
        <v>0.2</v>
      </c>
      <c r="H54" s="5">
        <v>0.2</v>
      </c>
      <c r="I54" s="5">
        <v>0.2</v>
      </c>
      <c r="J54" s="5">
        <v>0.2</v>
      </c>
      <c r="K54" s="5">
        <v>0.2</v>
      </c>
      <c r="L54" s="5">
        <v>0.2</v>
      </c>
      <c r="M54" s="5">
        <v>0.2</v>
      </c>
      <c r="N54" s="5">
        <v>0.2</v>
      </c>
      <c r="O54" s="5">
        <v>0.15</v>
      </c>
      <c r="P54" s="5">
        <v>0.15</v>
      </c>
      <c r="Q54" s="5">
        <v>0.15</v>
      </c>
    </row>
    <row r="55" spans="1:17" x14ac:dyDescent="0.45">
      <c r="A55" s="25" t="s">
        <v>35</v>
      </c>
      <c r="B55" s="2">
        <f>(B53)/((1+B54)^0.5)</f>
        <v>-15518805.795979708</v>
      </c>
      <c r="C55" s="2">
        <f>(C53)/((1+C54)^1.5)</f>
        <v>-6676616.2598640844</v>
      </c>
      <c r="D55" s="2">
        <f>(D53)/((1+D54)^2.5)</f>
        <v>4620341.5271132207</v>
      </c>
      <c r="E55" s="2">
        <f>(E53)/((1+E54)^3.5)</f>
        <v>5793506.8247943586</v>
      </c>
      <c r="F55" s="2">
        <f>(F53)/((1+F54)^4.5)</f>
        <v>6468324.4713520976</v>
      </c>
      <c r="G55" s="2">
        <f>(G53)/((1+G54)^5.5)</f>
        <v>6770228.26810118</v>
      </c>
      <c r="H55" s="2">
        <f>(H53)/((1+H54)^6.5)</f>
        <v>5838914.2513057543</v>
      </c>
      <c r="I55" s="2">
        <f>(I53)/((1+I54)^7.5)</f>
        <v>5035597.8191661686</v>
      </c>
      <c r="J55" s="2">
        <f>(J53)/((1+J54)^8.5)</f>
        <v>4342703.9442836791</v>
      </c>
      <c r="K55" s="2">
        <f>(K53)/((1+K54)^9.5)</f>
        <v>3745068.3499415731</v>
      </c>
      <c r="L55" s="2">
        <f>(L53)/((1+L54)^10.5)</f>
        <v>3229607.1851145928</v>
      </c>
      <c r="M55" s="2">
        <f>(M53)/((1+M54)^11.5)</f>
        <v>2785031.909132123</v>
      </c>
      <c r="N55" s="2">
        <f>(N53)/((1+N54)^12.5)</f>
        <v>2401603.2060323181</v>
      </c>
      <c r="O55" s="2">
        <f>(O53)/((1+O54)^13.5)</f>
        <v>3678654.5278462367</v>
      </c>
      <c r="P55" s="2">
        <f>(P53)/((1+P54)^14.5)</f>
        <v>3309976.8853315618</v>
      </c>
      <c r="Q55" s="2">
        <f>(Q53)/((1+Q54)^15.5)</f>
        <v>2746870.3508143048</v>
      </c>
    </row>
    <row r="57" spans="1:17" x14ac:dyDescent="0.45">
      <c r="A57" s="15" t="s">
        <v>36</v>
      </c>
      <c r="B57" s="30">
        <f>SUM(B55:P55)</f>
        <v>35824137.113671072</v>
      </c>
    </row>
    <row r="58" spans="1:17" x14ac:dyDescent="0.45">
      <c r="A58" s="16"/>
      <c r="B58" s="16"/>
      <c r="C58" s="16"/>
      <c r="D58" s="16"/>
      <c r="E58" s="16"/>
      <c r="F58" s="16"/>
      <c r="G58" s="16"/>
    </row>
    <row r="59" spans="1:17" ht="15.75" x14ac:dyDescent="0.5">
      <c r="A59" s="27" t="s">
        <v>37</v>
      </c>
    </row>
    <row r="61" spans="1:17" x14ac:dyDescent="0.45">
      <c r="A61" t="s">
        <v>42</v>
      </c>
      <c r="B61" s="24">
        <f>Q48</f>
        <v>12260235.983192308</v>
      </c>
      <c r="D61" s="24"/>
      <c r="E61" s="24"/>
    </row>
    <row r="62" spans="1:17" x14ac:dyDescent="0.45">
      <c r="A62" t="s">
        <v>45</v>
      </c>
      <c r="B62" s="4">
        <v>0.15</v>
      </c>
    </row>
    <row r="63" spans="1:17" x14ac:dyDescent="0.45">
      <c r="A63" t="s">
        <v>38</v>
      </c>
      <c r="B63" s="4">
        <v>-0.05</v>
      </c>
    </row>
    <row r="64" spans="1:17" s="5" customFormat="1" x14ac:dyDescent="0.45">
      <c r="A64" s="5" t="s">
        <v>43</v>
      </c>
      <c r="B64" s="4">
        <v>0.15</v>
      </c>
    </row>
    <row r="65" spans="1:7" x14ac:dyDescent="0.45">
      <c r="A65" t="s">
        <v>44</v>
      </c>
      <c r="B65" s="24">
        <f>(B61*(1-(B63/B64)))/(B62-B63)</f>
        <v>81734906.554615393</v>
      </c>
      <c r="C65" t="s">
        <v>46</v>
      </c>
      <c r="D65" s="28"/>
    </row>
    <row r="66" spans="1:7" x14ac:dyDescent="0.45">
      <c r="A66" t="s">
        <v>3</v>
      </c>
      <c r="B66">
        <v>14.5</v>
      </c>
    </row>
    <row r="67" spans="1:7" x14ac:dyDescent="0.45">
      <c r="A67" s="25" t="s">
        <v>39</v>
      </c>
      <c r="B67" s="30">
        <f>(B65)/((1+B62)^B66)</f>
        <v>10771814.982156238</v>
      </c>
    </row>
    <row r="68" spans="1:7" x14ac:dyDescent="0.45">
      <c r="A68" s="29"/>
      <c r="B68" s="29"/>
      <c r="C68" s="29"/>
      <c r="D68" s="29"/>
      <c r="E68" s="29"/>
      <c r="F68" s="29"/>
      <c r="G68" s="29"/>
    </row>
    <row r="69" spans="1:7" x14ac:dyDescent="0.45">
      <c r="E69" s="1"/>
    </row>
    <row r="70" spans="1:7" ht="15.75" x14ac:dyDescent="0.5">
      <c r="A70" s="27" t="s">
        <v>40</v>
      </c>
      <c r="B70" s="24">
        <f>B57+B67</f>
        <v>46595952.095827311</v>
      </c>
    </row>
    <row r="71" spans="1:7" x14ac:dyDescent="0.45">
      <c r="A71" t="s">
        <v>71</v>
      </c>
      <c r="B71" s="3">
        <v>10319106</v>
      </c>
    </row>
    <row r="73" spans="1:7" x14ac:dyDescent="0.45">
      <c r="A73" t="s">
        <v>65</v>
      </c>
      <c r="B73" s="42">
        <f>B70/B71</f>
        <v>4.5155028057495787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ColWidth="8.86328125" defaultRowHeight="14.25" x14ac:dyDescent="0.45"/>
  <cols>
    <col min="1" max="1" width="94.86328125" style="5" customWidth="1"/>
    <col min="2" max="2" width="16.265625" style="5" customWidth="1"/>
    <col min="3" max="16384" width="8.86328125" style="5"/>
  </cols>
  <sheetData>
    <row r="1" spans="1:5" x14ac:dyDescent="0.45">
      <c r="A1" s="15" t="s">
        <v>51</v>
      </c>
      <c r="B1" s="35">
        <v>25.78</v>
      </c>
      <c r="C1" s="34" t="s">
        <v>50</v>
      </c>
      <c r="D1" s="34"/>
      <c r="E1" s="34"/>
    </row>
    <row r="7" spans="1:5" x14ac:dyDescent="0.45">
      <c r="A7" s="5" t="s">
        <v>67</v>
      </c>
      <c r="B7" s="31">
        <v>72336625.311493337</v>
      </c>
    </row>
    <row r="8" spans="1:5" x14ac:dyDescent="0.45">
      <c r="A8" s="5" t="s">
        <v>49</v>
      </c>
      <c r="B8" s="33">
        <f>B7*0.1752</f>
        <v>12673376.754573632</v>
      </c>
    </row>
    <row r="9" spans="1:5" x14ac:dyDescent="0.45">
      <c r="A9" s="5" t="s">
        <v>48</v>
      </c>
      <c r="B9" s="33">
        <f>B8*25.78</f>
        <v>326719652.73290825</v>
      </c>
    </row>
    <row r="10" spans="1:5" x14ac:dyDescent="0.45">
      <c r="A10" s="5" t="s">
        <v>64</v>
      </c>
      <c r="B10" s="5">
        <v>0.1</v>
      </c>
    </row>
    <row r="11" spans="1:5" x14ac:dyDescent="0.45">
      <c r="A11" s="5" t="s">
        <v>68</v>
      </c>
      <c r="B11" s="5">
        <v>0.05</v>
      </c>
    </row>
    <row r="12" spans="1:5" x14ac:dyDescent="0.45">
      <c r="A12" s="5" t="s">
        <v>3</v>
      </c>
      <c r="B12" s="5">
        <v>14.5</v>
      </c>
    </row>
    <row r="13" spans="1:5" x14ac:dyDescent="0.45">
      <c r="A13" s="1" t="s">
        <v>47</v>
      </c>
      <c r="B13" s="32">
        <f>(B9)/(1.15^14.5)</f>
        <v>43058269.699269548</v>
      </c>
    </row>
    <row r="15" spans="1:5" x14ac:dyDescent="0.45">
      <c r="B15" s="3">
        <v>10319106</v>
      </c>
    </row>
    <row r="16" spans="1:5" x14ac:dyDescent="0.45">
      <c r="B16" s="41"/>
    </row>
    <row r="17" spans="2:2" x14ac:dyDescent="0.45">
      <c r="B17" s="41">
        <f>B13/B15</f>
        <v>4.1726744254075445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Revenue forecast sheet</vt:lpstr>
      <vt:lpstr>Operating value calculation</vt:lpstr>
      <vt:lpstr>Pharma Comparables valuation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Bhavneesh Sharma</dc:creator>
  <cp:lastModifiedBy>Bhavneesh Sharma</cp:lastModifiedBy>
  <dcterms:created xsi:type="dcterms:W3CDTF">2016-04-22T19:03:12Z</dcterms:created>
  <dcterms:modified xsi:type="dcterms:W3CDTF">2016-07-29T20:36:44Z</dcterms:modified>
</cp:coreProperties>
</file>