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avn\Desktop\Acorda Therpeutics\"/>
    </mc:Choice>
  </mc:AlternateContent>
  <bookViews>
    <workbookView xWindow="0" yWindow="0" windowWidth="22500" windowHeight="12308" activeTab="1"/>
  </bookViews>
  <sheets>
    <sheet name="Revenue forecast sheet" sheetId="7" r:id="rId1"/>
    <sheet name="Operating value calculation" sheetId="5" r:id="rId2"/>
    <sheet name="Pharma Comparables valuation" sheetId="9" r:id="rId3"/>
    <sheet name="Notes" sheetId="8" r:id="rId4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8" i="5" l="1"/>
  <c r="B57" i="5"/>
  <c r="B52" i="5"/>
  <c r="B25" i="5"/>
  <c r="B11" i="5"/>
  <c r="N3" i="7"/>
  <c r="M3" i="7"/>
  <c r="J3" i="7"/>
  <c r="K3" i="7"/>
  <c r="L3" i="7" s="1"/>
  <c r="I3" i="7"/>
  <c r="H3" i="7"/>
  <c r="G3" i="7"/>
  <c r="F3" i="7"/>
  <c r="E3" i="7"/>
  <c r="D3" i="7"/>
  <c r="N2" i="7"/>
  <c r="M2" i="7"/>
  <c r="H2" i="7"/>
  <c r="I2" i="7" s="1"/>
  <c r="J2" i="7" s="1"/>
  <c r="K2" i="7" s="1"/>
  <c r="L2" i="7" s="1"/>
  <c r="G2" i="7"/>
  <c r="F2" i="7"/>
  <c r="E2" i="7"/>
  <c r="D2" i="7"/>
  <c r="C4" i="7" l="1"/>
  <c r="D4" i="7"/>
  <c r="B4" i="7"/>
  <c r="C3" i="7"/>
  <c r="C2" i="7"/>
  <c r="B2" i="7"/>
  <c r="N4" i="7" l="1"/>
  <c r="H4" i="7"/>
  <c r="F4" i="7"/>
  <c r="J4" i="7"/>
  <c r="I4" i="7"/>
  <c r="E4" i="7"/>
  <c r="M4" i="7"/>
  <c r="L4" i="7"/>
  <c r="G4" i="7"/>
  <c r="K4" i="7"/>
  <c r="H57" i="5"/>
  <c r="I57" i="5"/>
  <c r="J57" i="5"/>
  <c r="K57" i="5"/>
  <c r="L57" i="5"/>
  <c r="M57" i="5"/>
  <c r="N57" i="5"/>
  <c r="D57" i="5"/>
  <c r="E57" i="5"/>
  <c r="F57" i="5"/>
  <c r="G57" i="5"/>
  <c r="C57" i="5"/>
  <c r="C58" i="5" s="1"/>
  <c r="H52" i="5"/>
  <c r="I52" i="5"/>
  <c r="J52" i="5"/>
  <c r="K52" i="5"/>
  <c r="L52" i="5"/>
  <c r="M52" i="5"/>
  <c r="N52" i="5"/>
  <c r="D52" i="5"/>
  <c r="E52" i="5"/>
  <c r="F52" i="5"/>
  <c r="G52" i="5"/>
  <c r="C52" i="5"/>
  <c r="H25" i="5"/>
  <c r="I25" i="5"/>
  <c r="J25" i="5"/>
  <c r="K25" i="5"/>
  <c r="L25" i="5"/>
  <c r="M25" i="5"/>
  <c r="N25" i="5"/>
  <c r="D25" i="5"/>
  <c r="E25" i="5"/>
  <c r="F25" i="5"/>
  <c r="G25" i="5"/>
  <c r="C25" i="5"/>
  <c r="I11" i="5"/>
  <c r="J11" i="5"/>
  <c r="K11" i="5"/>
  <c r="L11" i="5"/>
  <c r="M11" i="5"/>
  <c r="N11" i="5"/>
  <c r="D11" i="5"/>
  <c r="E11" i="5"/>
  <c r="F11" i="5"/>
  <c r="G11" i="5"/>
  <c r="H11" i="5"/>
  <c r="C11" i="5"/>
  <c r="B8" i="9" l="1"/>
  <c r="B9" i="9" s="1"/>
  <c r="B13" i="9" s="1"/>
  <c r="B10" i="5"/>
  <c r="B12" i="5" s="1"/>
  <c r="C10" i="5"/>
  <c r="C12" i="5" s="1"/>
  <c r="D10" i="5"/>
  <c r="D12" i="5" s="1"/>
  <c r="D58" i="5"/>
  <c r="E32" i="5"/>
  <c r="E34" i="5" s="1"/>
  <c r="E45" i="5" s="1"/>
  <c r="E48" i="5" s="1"/>
  <c r="E10" i="5"/>
  <c r="F32" i="5"/>
  <c r="F34" i="5" s="1"/>
  <c r="F45" i="5" s="1"/>
  <c r="F48" i="5" s="1"/>
  <c r="G32" i="5"/>
  <c r="G34" i="5" s="1"/>
  <c r="G45" i="5" s="1"/>
  <c r="G48" i="5" s="1"/>
  <c r="H32" i="5"/>
  <c r="H34" i="5" s="1"/>
  <c r="H45" i="5" s="1"/>
  <c r="H48" i="5" s="1"/>
  <c r="I27" i="5"/>
  <c r="I29" i="5" s="1"/>
  <c r="I32" i="5"/>
  <c r="I34" i="5" s="1"/>
  <c r="I45" i="5" s="1"/>
  <c r="I48" i="5" s="1"/>
  <c r="I10" i="5"/>
  <c r="J32" i="5"/>
  <c r="J34" i="5" s="1"/>
  <c r="J45" i="5" s="1"/>
  <c r="J48" i="5"/>
  <c r="J10" i="5"/>
  <c r="J12" i="5" s="1"/>
  <c r="K32" i="5"/>
  <c r="K34" i="5" s="1"/>
  <c r="K45" i="5" s="1"/>
  <c r="K48" i="5" s="1"/>
  <c r="L32" i="5"/>
  <c r="L34" i="5" s="1"/>
  <c r="L45" i="5" s="1"/>
  <c r="L48" i="5" s="1"/>
  <c r="L10" i="5"/>
  <c r="M32" i="5"/>
  <c r="M34" i="5" s="1"/>
  <c r="M45" i="5" s="1"/>
  <c r="M48" i="5" s="1"/>
  <c r="M10" i="5"/>
  <c r="N32" i="5"/>
  <c r="N34" i="5" s="1"/>
  <c r="N45" i="5" s="1"/>
  <c r="N48" i="5" s="1"/>
  <c r="N10" i="5"/>
  <c r="G10" i="5"/>
  <c r="K10" i="5"/>
  <c r="E27" i="5"/>
  <c r="E29" i="5" s="1"/>
  <c r="F27" i="5"/>
  <c r="F29" i="5" s="1"/>
  <c r="G27" i="5"/>
  <c r="G29" i="5" s="1"/>
  <c r="H27" i="5"/>
  <c r="H29" i="5" s="1"/>
  <c r="J27" i="5"/>
  <c r="J29" i="5" s="1"/>
  <c r="M27" i="5"/>
  <c r="M29" i="5" s="1"/>
  <c r="I12" i="5" l="1"/>
  <c r="B72" i="5"/>
  <c r="B74" i="5" s="1"/>
  <c r="E12" i="5"/>
  <c r="N27" i="5"/>
  <c r="N29" i="5" s="1"/>
  <c r="G12" i="5"/>
  <c r="G58" i="5"/>
  <c r="G60" i="5" s="1"/>
  <c r="K27" i="5"/>
  <c r="K29" i="5" s="1"/>
  <c r="D32" i="5"/>
  <c r="D34" i="5" s="1"/>
  <c r="D45" i="5" s="1"/>
  <c r="D48" i="5" s="1"/>
  <c r="F10" i="5"/>
  <c r="F12" i="5" s="1"/>
  <c r="L12" i="5"/>
  <c r="N12" i="5"/>
  <c r="M12" i="5"/>
  <c r="E58" i="5"/>
  <c r="E60" i="5" s="1"/>
  <c r="K12" i="5"/>
  <c r="H10" i="5"/>
  <c r="H12" i="5" s="1"/>
  <c r="B32" i="5"/>
  <c r="B34" i="5" s="1"/>
  <c r="B45" i="5" s="1"/>
  <c r="B48" i="5" s="1"/>
  <c r="B60" i="5" s="1"/>
  <c r="B62" i="5" s="1"/>
  <c r="B27" i="5"/>
  <c r="B29" i="5" s="1"/>
  <c r="K58" i="5"/>
  <c r="K60" i="5" s="1"/>
  <c r="L58" i="5"/>
  <c r="L27" i="5"/>
  <c r="L29" i="5" s="1"/>
  <c r="M58" i="5"/>
  <c r="M60" i="5" s="1"/>
  <c r="N58" i="5"/>
  <c r="N60" i="5" s="1"/>
  <c r="N62" i="5" s="1"/>
  <c r="I58" i="5"/>
  <c r="J58" i="5"/>
  <c r="C32" i="5"/>
  <c r="C34" i="5" s="1"/>
  <c r="C45" i="5" s="1"/>
  <c r="C48" i="5" s="1"/>
  <c r="C27" i="5"/>
  <c r="C29" i="5" s="1"/>
  <c r="H58" i="5"/>
  <c r="H60" i="5" s="1"/>
  <c r="F58" i="5"/>
  <c r="C60" i="5" l="1"/>
  <c r="C62" i="5" s="1"/>
  <c r="D60" i="5"/>
  <c r="D62" i="5" s="1"/>
  <c r="E62" i="5"/>
  <c r="H62" i="5"/>
  <c r="F60" i="5"/>
  <c r="F62" i="5" s="1"/>
  <c r="L60" i="5"/>
  <c r="L62" i="5" s="1"/>
  <c r="M62" i="5"/>
  <c r="K62" i="5"/>
  <c r="G62" i="5"/>
  <c r="I60" i="5"/>
  <c r="I62" i="5" s="1"/>
  <c r="J60" i="5"/>
  <c r="J62" i="5" s="1"/>
  <c r="D27" i="5"/>
  <c r="D29" i="5" s="1"/>
  <c r="B64" i="5" l="1"/>
  <c r="B77" i="5" s="1"/>
  <c r="B80" i="5" s="1"/>
</calcChain>
</file>

<file path=xl/sharedStrings.xml><?xml version="1.0" encoding="utf-8"?>
<sst xmlns="http://schemas.openxmlformats.org/spreadsheetml/2006/main" count="93" uniqueCount="89">
  <si>
    <t>Discount rate</t>
  </si>
  <si>
    <t>COGS</t>
  </si>
  <si>
    <t>Other operating expenses</t>
  </si>
  <si>
    <t>Time periods to discount back, years</t>
  </si>
  <si>
    <t>NOPLAT</t>
  </si>
  <si>
    <t>USD</t>
  </si>
  <si>
    <t>S, G&amp;A expenses</t>
  </si>
  <si>
    <t xml:space="preserve">EBITDA </t>
  </si>
  <si>
    <t>EBITA</t>
  </si>
  <si>
    <t>Good will writedowns</t>
  </si>
  <si>
    <t>Amortization of intangibles</t>
  </si>
  <si>
    <t>Interest income</t>
  </si>
  <si>
    <t>Interest expense</t>
  </si>
  <si>
    <t>Restructuring charges</t>
  </si>
  <si>
    <t>Earnings before taxes</t>
  </si>
  <si>
    <t>Income taxes</t>
  </si>
  <si>
    <t>Minority interest</t>
  </si>
  <si>
    <t>Income before extraordinary items</t>
  </si>
  <si>
    <t>Extraordinary items, after tax</t>
  </si>
  <si>
    <t>Preferred share dividends</t>
  </si>
  <si>
    <t>Earnings for common shareholders</t>
  </si>
  <si>
    <t>Common dividends</t>
  </si>
  <si>
    <t>Retained profit</t>
  </si>
  <si>
    <t>Decrease/increase in operating deferred taxes</t>
  </si>
  <si>
    <t>Adjusted Net income</t>
  </si>
  <si>
    <t>Amortization, acquired intangibles</t>
  </si>
  <si>
    <t>Amortization, of past sale/leaseback gains</t>
  </si>
  <si>
    <t>Severence and other restructuring charges</t>
  </si>
  <si>
    <t>Gains (losses) on asset sales</t>
  </si>
  <si>
    <t>Pension adjustments</t>
  </si>
  <si>
    <t>Operating lease interest</t>
  </si>
  <si>
    <t>Less: Investment income</t>
  </si>
  <si>
    <t>Nonoperating taxes</t>
  </si>
  <si>
    <t xml:space="preserve">Non-operating income, exchange rate differences </t>
  </si>
  <si>
    <t>Dep&amp;A, 7.3% x rev. after 2017 (operating fixed assets and operating intangible assets, capitalized software, operating P,P&amp;E)</t>
  </si>
  <si>
    <t>Other non-operating expenses (income)</t>
  </si>
  <si>
    <t>Step 1: Revenue and Net Income calculation</t>
  </si>
  <si>
    <t>Step 2: Reconciliation of Net Income to calculate NOPLAT</t>
  </si>
  <si>
    <t>Step 3: Free Cash flow calculation from NOPLAT</t>
  </si>
  <si>
    <t>Add non-cash operating expenses</t>
  </si>
  <si>
    <t>a) Plant, property, equipment</t>
  </si>
  <si>
    <t>b) Increase in operating assets</t>
  </si>
  <si>
    <t>c) Increase in operating leases</t>
  </si>
  <si>
    <t>d) Increase in other operating provisions</t>
  </si>
  <si>
    <t>Less change in non-cash working capital</t>
  </si>
  <si>
    <t xml:space="preserve">Less Net Capital expenditures, 20% x rev. </t>
  </si>
  <si>
    <t xml:space="preserve"> non-cash working capital, 25% x rev. </t>
  </si>
  <si>
    <t>Discounted value of FCF , USD</t>
  </si>
  <si>
    <t>FCF from operations, adj. for R&amp;D, USD</t>
  </si>
  <si>
    <t>Sum of discounted FCFs till peak revenue, USD</t>
  </si>
  <si>
    <t>Terminal FCF value calculation</t>
  </si>
  <si>
    <t>Annual increase (decrease) in FCF after peak</t>
  </si>
  <si>
    <t>Discounted value of terminal FCF</t>
  </si>
  <si>
    <t xml:space="preserve">Forecasted Operating value </t>
  </si>
  <si>
    <t>Stock comp expense</t>
  </si>
  <si>
    <t xml:space="preserve">NOPLAT </t>
  </si>
  <si>
    <t>NOPLAT in the year after peak revenue, USD</t>
  </si>
  <si>
    <t>RONIC</t>
  </si>
  <si>
    <t xml:space="preserve">Terminal value </t>
  </si>
  <si>
    <t>Discount rate , WACC</t>
  </si>
  <si>
    <t>(McKinsey NOPLAT formula)</t>
  </si>
  <si>
    <t>Discounted fair value of operating EV at present</t>
  </si>
  <si>
    <t>Annual growth/decline after peak sales, percentage, 3%</t>
  </si>
  <si>
    <t>Estimated EV at peak revenue year, using EV/EBIT(1-t)=25.78</t>
  </si>
  <si>
    <t>Peak EBIT (1-t), at 17.52% of annual revenue, mean for sector, NYU data</t>
  </si>
  <si>
    <t xml:space="preserve">Peak forecasted revenue, USD </t>
  </si>
  <si>
    <t>Average for Pharmaceuticals</t>
  </si>
  <si>
    <t>EV/EBIT (1-t)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</si>
  <si>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</si>
  <si>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</si>
  <si>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</si>
  <si>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</si>
  <si>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</si>
  <si>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</si>
  <si>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</si>
  <si>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</si>
  <si>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</si>
  <si>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</si>
  <si>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</si>
  <si>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</si>
  <si>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Net Income (from line 25)</t>
  </si>
  <si>
    <t>Discount rate, 10%</t>
  </si>
  <si>
    <t>Undiluted share count</t>
  </si>
  <si>
    <t xml:space="preserve">R&amp;D expenses, 17.69% x rev and risk adj. at 67% probab. </t>
  </si>
  <si>
    <t>Contribution to fair value/share</t>
  </si>
  <si>
    <t>Total projected revenue, Ampyra, US and ex-U.S.</t>
  </si>
  <si>
    <t xml:space="preserve">Ampyra, net revenue, US only, </t>
  </si>
  <si>
    <t>Fampyra, net royalties, ex. U.S.,</t>
  </si>
  <si>
    <t xml:space="preserve">Net Income(loss), 17.5% of rev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</si>
</sst>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3" tint="-0.24994659260841701"/>
      <name val="Arial"/>
      <family val="2"/>
    </font>
    <font>
      <b/>
      <sz val="10"/>
      <color theme="3" tint="-0.2499465926084170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" fontId="0" fillId="0" borderId="0" xfId="0" applyNumberFormat="1"/>
    <xf numFmtId="3" fontId="0" fillId="0" borderId="0" xfId="0" applyNumberFormat="1"/>
    <xf numFmtId="10" fontId="0" fillId="0" borderId="0" xfId="0" applyNumberFormat="1"/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/>
    <xf numFmtId="1" fontId="3" fillId="0" borderId="0" xfId="0" applyNumberFormat="1" applyFont="1"/>
    <xf numFmtId="0" fontId="2" fillId="0" borderId="0" xfId="0" applyFont="1"/>
    <xf numFmtId="0" fontId="3" fillId="4" borderId="0" xfId="0" applyFont="1" applyFill="1"/>
    <xf numFmtId="3" fontId="3" fillId="0" borderId="0" xfId="0" applyNumberFormat="1" applyFont="1"/>
    <xf numFmtId="0" fontId="3" fillId="2" borderId="0" xfId="0" applyFont="1" applyFill="1"/>
    <xf numFmtId="0" fontId="2" fillId="6" borderId="0" xfId="0" applyFont="1" applyFill="1"/>
    <xf numFmtId="0" fontId="1" fillId="6" borderId="0" xfId="0" applyFont="1" applyFill="1"/>
    <xf numFmtId="0" fontId="0" fillId="5" borderId="0" xfId="0" applyFill="1"/>
    <xf numFmtId="0" fontId="2" fillId="3" borderId="0" xfId="0" applyFont="1" applyFill="1"/>
    <xf numFmtId="0" fontId="0" fillId="3" borderId="0" xfId="0" applyFill="1"/>
    <xf numFmtId="0" fontId="5" fillId="0" borderId="0" xfId="0" applyFont="1"/>
    <xf numFmtId="0" fontId="5" fillId="7" borderId="0" xfId="0" applyFont="1" applyFill="1"/>
    <xf numFmtId="0" fontId="4" fillId="6" borderId="0" xfId="0" applyFont="1" applyFill="1"/>
    <xf numFmtId="0" fontId="2" fillId="7" borderId="0" xfId="0" applyFont="1" applyFill="1"/>
    <xf numFmtId="3" fontId="2" fillId="7" borderId="0" xfId="0" applyNumberFormat="1" applyFont="1" applyFill="1"/>
    <xf numFmtId="0" fontId="5" fillId="9" borderId="0" xfId="0" applyFont="1" applyFill="1"/>
    <xf numFmtId="164" fontId="0" fillId="0" borderId="0" xfId="0" applyNumberFormat="1"/>
    <xf numFmtId="0" fontId="0" fillId="9" borderId="0" xfId="0" applyFill="1"/>
    <xf numFmtId="0" fontId="1" fillId="8" borderId="0" xfId="0" applyFont="1" applyFill="1"/>
    <xf numFmtId="0" fontId="6" fillId="6" borderId="0" xfId="0" applyFont="1" applyFill="1"/>
    <xf numFmtId="165" fontId="0" fillId="0" borderId="0" xfId="0" applyNumberFormat="1"/>
    <xf numFmtId="0" fontId="0" fillId="10" borderId="0" xfId="0" applyFill="1"/>
    <xf numFmtId="164" fontId="0" fillId="2" borderId="0" xfId="0" applyNumberFormat="1" applyFill="1"/>
    <xf numFmtId="0" fontId="7" fillId="6" borderId="0" xfId="0" applyFont="1" applyFill="1"/>
    <xf numFmtId="3" fontId="0" fillId="3" borderId="0" xfId="0" applyNumberFormat="1" applyFill="1"/>
    <xf numFmtId="42" fontId="1" fillId="0" borderId="0" xfId="0" applyNumberFormat="1" applyFont="1"/>
    <xf numFmtId="42" fontId="0" fillId="0" borderId="0" xfId="0" applyNumberFormat="1"/>
    <xf numFmtId="0" fontId="0" fillId="2" borderId="0" xfId="0" applyFill="1"/>
    <xf numFmtId="0" fontId="1" fillId="2" borderId="0" xfId="0" applyFont="1" applyFill="1"/>
    <xf numFmtId="3" fontId="8" fillId="0" borderId="0" xfId="0" applyNumberFormat="1" applyFont="1" applyFill="1"/>
    <xf numFmtId="3" fontId="9" fillId="0" borderId="0" xfId="0" applyNumberFormat="1" applyFont="1" applyFill="1"/>
    <xf numFmtId="49" fontId="9" fillId="0" borderId="0" xfId="0" applyNumberFormat="1" applyFont="1" applyFill="1"/>
    <xf numFmtId="42" fontId="3" fillId="0" borderId="0" xfId="0" applyNumberFormat="1" applyFont="1"/>
    <xf numFmtId="42" fontId="8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C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J1" workbookViewId="0">
      <selection activeCell="M4" sqref="M4"/>
    </sheetView>
  </sheetViews>
  <sheetFormatPr defaultColWidth="8.86328125" defaultRowHeight="14.25" x14ac:dyDescent="0.45"/>
  <cols>
    <col min="1" max="1" width="60" customWidth="1"/>
    <col min="2" max="2" width="23.86328125" customWidth="1"/>
    <col min="3" max="3" width="15.59765625" customWidth="1"/>
    <col min="4" max="4" width="14.265625" customWidth="1"/>
    <col min="5" max="5" width="16.19921875" customWidth="1"/>
    <col min="6" max="6" width="14.73046875" customWidth="1"/>
    <col min="7" max="7" width="15.73046875" customWidth="1"/>
    <col min="8" max="9" width="15.1328125" customWidth="1"/>
    <col min="10" max="10" width="16.86328125" customWidth="1"/>
    <col min="11" max="12" width="15.73046875" customWidth="1"/>
    <col min="13" max="13" width="18.46484375" customWidth="1"/>
    <col min="14" max="14" width="20.33203125" customWidth="1"/>
  </cols>
  <sheetData>
    <row r="1" spans="1:14" s="39" customFormat="1" ht="13.15" x14ac:dyDescent="0.4">
      <c r="B1" s="40">
        <v>2016</v>
      </c>
      <c r="C1" s="40" t="s">
        <v>68</v>
      </c>
      <c r="D1" s="40" t="s">
        <v>69</v>
      </c>
      <c r="E1" s="40" t="s">
        <v>70</v>
      </c>
      <c r="F1" s="40" t="s">
        <v>71</v>
      </c>
      <c r="G1" s="40" t="s">
        <v>72</v>
      </c>
      <c r="H1" s="40" t="s">
        <v>73</v>
      </c>
      <c r="I1" s="40" t="s">
        <v>74</v>
      </c>
      <c r="J1" s="40" t="s">
        <v>75</v>
      </c>
      <c r="K1" s="40" t="s">
        <v>76</v>
      </c>
      <c r="L1" s="40" t="s">
        <v>77</v>
      </c>
      <c r="M1" s="40" t="s">
        <v>78</v>
      </c>
      <c r="N1" s="40" t="s">
        <v>79</v>
      </c>
    </row>
    <row r="2" spans="1:14" s="39" customFormat="1" ht="13.15" x14ac:dyDescent="0.4">
      <c r="A2" s="38" t="s">
        <v>86</v>
      </c>
      <c r="B2" s="42">
        <f>109600000*4</f>
        <v>438400000</v>
      </c>
      <c r="C2" s="38">
        <f>B2*1.18</f>
        <v>517312000</v>
      </c>
      <c r="D2" s="38">
        <f>C2*1.16</f>
        <v>600081920</v>
      </c>
      <c r="E2" s="38">
        <f>D2*1.14</f>
        <v>684093388.79999995</v>
      </c>
      <c r="F2" s="38">
        <f>E2*1.12</f>
        <v>766184595.45599997</v>
      </c>
      <c r="G2" s="38">
        <f>F2*1.03</f>
        <v>789170133.31967998</v>
      </c>
      <c r="H2" s="38">
        <f t="shared" ref="H2:N2" si="0">G2*1.03</f>
        <v>812845237.31927037</v>
      </c>
      <c r="I2" s="38">
        <f t="shared" si="0"/>
        <v>837230594.4388485</v>
      </c>
      <c r="J2" s="38">
        <f t="shared" si="0"/>
        <v>862347512.27201402</v>
      </c>
      <c r="K2" s="38">
        <f t="shared" si="0"/>
        <v>888217937.64017451</v>
      </c>
      <c r="L2" s="38">
        <f t="shared" si="0"/>
        <v>914864475.76937973</v>
      </c>
      <c r="M2" s="38">
        <f>L2*1.03</f>
        <v>942310410.04246116</v>
      </c>
      <c r="N2" s="38">
        <f>M2*0.97</f>
        <v>914041097.74118733</v>
      </c>
    </row>
    <row r="3" spans="1:14" x14ac:dyDescent="0.45">
      <c r="A3" s="38" t="s">
        <v>87</v>
      </c>
      <c r="B3" s="3">
        <v>10000000</v>
      </c>
      <c r="C3" s="3">
        <f>B3*1.09</f>
        <v>10900000</v>
      </c>
      <c r="D3" s="3">
        <f>C3*1.08</f>
        <v>11772000</v>
      </c>
      <c r="E3" s="3">
        <f>D3*1.07</f>
        <v>12596040</v>
      </c>
      <c r="F3" s="3">
        <f>E3*1.06</f>
        <v>13351802.4</v>
      </c>
      <c r="G3" s="3">
        <f>F3*1.05</f>
        <v>14019392.520000001</v>
      </c>
      <c r="H3" s="3">
        <f>G3*1.04</f>
        <v>14580168.220800001</v>
      </c>
      <c r="I3" s="3">
        <f>H3*1.03</f>
        <v>15017573.267424002</v>
      </c>
      <c r="J3" s="3">
        <f t="shared" ref="J3:N3" si="1">I3*1.03</f>
        <v>15468100.465446724</v>
      </c>
      <c r="K3" s="3">
        <f t="shared" si="1"/>
        <v>15932143.479410125</v>
      </c>
      <c r="L3" s="3">
        <f t="shared" si="1"/>
        <v>16410107.783792429</v>
      </c>
      <c r="M3" s="3">
        <f>L3*1.03</f>
        <v>16902411.017306201</v>
      </c>
      <c r="N3" s="3">
        <f>M3*0.97</f>
        <v>16395338.686787015</v>
      </c>
    </row>
    <row r="4" spans="1:14" x14ac:dyDescent="0.45">
      <c r="A4" s="32" t="s">
        <v>85</v>
      </c>
      <c r="B4" s="33">
        <f>B2+B3</f>
        <v>448400000</v>
      </c>
      <c r="C4" s="33">
        <f t="shared" ref="C4:I4" si="2">C2+C3</f>
        <v>528212000</v>
      </c>
      <c r="D4" s="33">
        <f t="shared" si="2"/>
        <v>611853920</v>
      </c>
      <c r="E4" s="33">
        <f t="shared" si="2"/>
        <v>696689428.79999995</v>
      </c>
      <c r="F4" s="33">
        <f t="shared" si="2"/>
        <v>779536397.85599995</v>
      </c>
      <c r="G4" s="33">
        <f t="shared" si="2"/>
        <v>803189525.83967996</v>
      </c>
      <c r="H4" s="33">
        <f t="shared" si="2"/>
        <v>827425405.54007041</v>
      </c>
      <c r="I4" s="33">
        <f t="shared" si="2"/>
        <v>852248167.70627248</v>
      </c>
      <c r="J4" s="33">
        <f>J2+J3</f>
        <v>877815612.73746073</v>
      </c>
      <c r="K4" s="33">
        <f t="shared" ref="K4" si="3">K2+K3</f>
        <v>904150081.11958468</v>
      </c>
      <c r="L4" s="33">
        <f t="shared" ref="L4" si="4">L2+L3</f>
        <v>931274583.55317211</v>
      </c>
      <c r="M4" s="33">
        <f t="shared" ref="M4" si="5">M2+M3</f>
        <v>959212821.05976737</v>
      </c>
      <c r="N4" s="33">
        <f t="shared" ref="N4" si="6">N2+N3</f>
        <v>930436436.42797434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topLeftCell="A47" workbookViewId="0">
      <selection activeCell="M62" sqref="M62"/>
    </sheetView>
  </sheetViews>
  <sheetFormatPr defaultColWidth="8.86328125" defaultRowHeight="14.25" x14ac:dyDescent="0.45"/>
  <cols>
    <col min="1" max="1" width="86.3984375" customWidth="1"/>
    <col min="2" max="2" width="22" customWidth="1"/>
    <col min="3" max="3" width="12" customWidth="1"/>
    <col min="4" max="4" width="14.3984375" customWidth="1"/>
    <col min="5" max="5" width="15" customWidth="1"/>
    <col min="6" max="6" width="16.3984375" customWidth="1"/>
    <col min="7" max="7" width="16" customWidth="1"/>
    <col min="8" max="8" width="17" customWidth="1"/>
    <col min="9" max="9" width="15.265625" customWidth="1"/>
    <col min="10" max="10" width="13.3984375" customWidth="1"/>
    <col min="11" max="11" width="14.1328125" customWidth="1"/>
    <col min="12" max="12" width="14.265625" customWidth="1"/>
    <col min="13" max="13" width="13.1328125" customWidth="1"/>
    <col min="14" max="14" width="13.265625" customWidth="1"/>
  </cols>
  <sheetData>
    <row r="1" spans="1:14" s="7" customFormat="1" ht="26.85" customHeight="1" x14ac:dyDescent="0.4">
      <c r="A1" s="6" t="s">
        <v>36</v>
      </c>
    </row>
    <row r="2" spans="1:14" s="8" customFormat="1" ht="13.15" x14ac:dyDescent="0.4">
      <c r="A2" s="8" t="s">
        <v>5</v>
      </c>
      <c r="B2" s="8">
        <v>2016</v>
      </c>
      <c r="C2" s="8">
        <v>2017</v>
      </c>
      <c r="D2" s="8">
        <v>2018</v>
      </c>
      <c r="E2" s="8">
        <v>2019</v>
      </c>
      <c r="F2" s="8">
        <v>2020</v>
      </c>
      <c r="G2" s="8">
        <v>2021</v>
      </c>
      <c r="H2" s="8">
        <v>2022</v>
      </c>
      <c r="I2" s="8">
        <v>2023</v>
      </c>
      <c r="J2" s="8">
        <v>2024</v>
      </c>
      <c r="K2" s="8">
        <v>2025</v>
      </c>
      <c r="L2" s="8">
        <v>2026</v>
      </c>
      <c r="M2" s="8">
        <v>2027</v>
      </c>
      <c r="N2" s="8">
        <v>2028</v>
      </c>
    </row>
    <row r="3" spans="1:14" s="8" customFormat="1" ht="13.15" x14ac:dyDescent="0.4"/>
    <row r="4" spans="1:14" s="22" customFormat="1" ht="29.1" customHeight="1" x14ac:dyDescent="0.4">
      <c r="A4" s="14" t="s">
        <v>85</v>
      </c>
      <c r="B4" s="23">
        <v>448400000</v>
      </c>
      <c r="C4" s="23">
        <v>528212000</v>
      </c>
      <c r="D4" s="23">
        <v>611853920</v>
      </c>
      <c r="E4" s="23">
        <v>696689428.79999995</v>
      </c>
      <c r="F4" s="23">
        <v>779536397.85599995</v>
      </c>
      <c r="G4" s="23">
        <v>803189525.83967996</v>
      </c>
      <c r="H4" s="23">
        <v>827425405.54007041</v>
      </c>
      <c r="I4" s="23">
        <v>852248167.70627248</v>
      </c>
      <c r="J4" s="23">
        <v>877815612.73746073</v>
      </c>
      <c r="K4" s="23">
        <v>904150081.11958468</v>
      </c>
      <c r="L4" s="23">
        <v>931274583.55317211</v>
      </c>
      <c r="M4" s="23">
        <v>959212821.05976737</v>
      </c>
      <c r="N4" s="23">
        <v>930436436.42797434</v>
      </c>
    </row>
    <row r="5" spans="1:14" s="22" customFormat="1" ht="29.1" customHeight="1" x14ac:dyDescent="0.4">
      <c r="A5" s="1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s="7" customFormat="1" ht="12.75" x14ac:dyDescent="0.35">
      <c r="A6" s="7" t="s">
        <v>1</v>
      </c>
    </row>
    <row r="7" spans="1:14" s="7" customFormat="1" ht="12.75" x14ac:dyDescent="0.35">
      <c r="A7" s="7" t="s">
        <v>83</v>
      </c>
      <c r="B7" s="12"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s="7" customFormat="1" ht="12.75" x14ac:dyDescent="0.35">
      <c r="A8" s="7" t="s">
        <v>6</v>
      </c>
      <c r="B8" s="41"/>
      <c r="C8" s="9"/>
      <c r="D8" s="12"/>
    </row>
    <row r="9" spans="1:14" s="7" customFormat="1" ht="12.75" x14ac:dyDescent="0.35">
      <c r="A9" s="7" t="s">
        <v>2</v>
      </c>
    </row>
    <row r="10" spans="1:14" s="7" customFormat="1" ht="32.85" customHeight="1" x14ac:dyDescent="0.4">
      <c r="A10" s="14" t="s">
        <v>7</v>
      </c>
      <c r="B10" s="12">
        <f>B4-B6-B7-B8-B9</f>
        <v>448400000</v>
      </c>
      <c r="C10" s="12">
        <f t="shared" ref="C10:K10" si="0">C4-C6-C7-C8-C9</f>
        <v>528212000</v>
      </c>
      <c r="D10" s="12">
        <f t="shared" si="0"/>
        <v>611853920</v>
      </c>
      <c r="E10" s="12">
        <f t="shared" si="0"/>
        <v>696689428.79999995</v>
      </c>
      <c r="F10" s="12">
        <f t="shared" si="0"/>
        <v>779536397.85599995</v>
      </c>
      <c r="G10" s="12">
        <f t="shared" si="0"/>
        <v>803189525.83967996</v>
      </c>
      <c r="H10" s="12">
        <f t="shared" si="0"/>
        <v>827425405.54007041</v>
      </c>
      <c r="I10" s="12">
        <f t="shared" si="0"/>
        <v>852248167.70627248</v>
      </c>
      <c r="J10" s="12">
        <f t="shared" si="0"/>
        <v>877815612.73746073</v>
      </c>
      <c r="K10" s="12">
        <f t="shared" si="0"/>
        <v>904150081.11958468</v>
      </c>
      <c r="L10" s="12">
        <f>L4-L6-L7-L8-L9</f>
        <v>931274583.55317211</v>
      </c>
      <c r="M10" s="12">
        <f t="shared" ref="M10" si="1">M4-M6-M7-M8-M9</f>
        <v>959212821.05976737</v>
      </c>
      <c r="N10" s="12">
        <f t="shared" ref="N10" si="2">N4-N6-N7-N8-N9</f>
        <v>930436436.42797434</v>
      </c>
    </row>
    <row r="11" spans="1:14" s="7" customFormat="1" ht="12.75" x14ac:dyDescent="0.35">
      <c r="A11" s="7" t="s">
        <v>34</v>
      </c>
      <c r="B11" s="12">
        <f>B4*0.073</f>
        <v>32733199.999999996</v>
      </c>
      <c r="C11" s="9">
        <f>C4*0.073</f>
        <v>38559476</v>
      </c>
      <c r="D11" s="9">
        <f t="shared" ref="D11:N11" si="3">D4*0.073</f>
        <v>44665336.159999996</v>
      </c>
      <c r="E11" s="9">
        <f t="shared" si="3"/>
        <v>50858328.302399993</v>
      </c>
      <c r="F11" s="9">
        <f t="shared" si="3"/>
        <v>56906157.043487996</v>
      </c>
      <c r="G11" s="9">
        <f t="shared" si="3"/>
        <v>58632835.38629663</v>
      </c>
      <c r="H11" s="9">
        <f t="shared" si="3"/>
        <v>60402054.60442514</v>
      </c>
      <c r="I11" s="9">
        <f t="shared" si="3"/>
        <v>62214116.242557891</v>
      </c>
      <c r="J11" s="9">
        <f t="shared" si="3"/>
        <v>64080539.729834631</v>
      </c>
      <c r="K11" s="9">
        <f t="shared" si="3"/>
        <v>66002955.921729676</v>
      </c>
      <c r="L11" s="9">
        <f t="shared" si="3"/>
        <v>67983044.599381566</v>
      </c>
      <c r="M11" s="9">
        <f t="shared" si="3"/>
        <v>70022535.937363014</v>
      </c>
      <c r="N11" s="9">
        <f t="shared" si="3"/>
        <v>67921859.859242126</v>
      </c>
    </row>
    <row r="12" spans="1:14" s="7" customFormat="1" ht="33.6" customHeight="1" x14ac:dyDescent="0.4">
      <c r="A12" s="10" t="s">
        <v>8</v>
      </c>
      <c r="B12" s="12">
        <f>B10-B11</f>
        <v>415666800</v>
      </c>
      <c r="C12" s="12">
        <f t="shared" ref="C12:I12" si="4">C10-C11</f>
        <v>489652524</v>
      </c>
      <c r="D12" s="12">
        <f t="shared" si="4"/>
        <v>567188583.84000003</v>
      </c>
      <c r="E12" s="12">
        <f t="shared" si="4"/>
        <v>645831100.49759996</v>
      </c>
      <c r="F12" s="12">
        <f t="shared" si="4"/>
        <v>722630240.81251192</v>
      </c>
      <c r="G12" s="12">
        <f t="shared" si="4"/>
        <v>744556690.45338333</v>
      </c>
      <c r="H12" s="12">
        <f t="shared" si="4"/>
        <v>767023350.93564522</v>
      </c>
      <c r="I12" s="12">
        <f t="shared" si="4"/>
        <v>790034051.4637146</v>
      </c>
      <c r="J12" s="12">
        <f t="shared" ref="J12" si="5">J10-J11</f>
        <v>813735073.00762606</v>
      </c>
      <c r="K12" s="12">
        <f t="shared" ref="K12" si="6">K10-K11</f>
        <v>838147125.197855</v>
      </c>
      <c r="L12" s="12">
        <f t="shared" ref="L12" si="7">L10-L11</f>
        <v>863291538.95379055</v>
      </c>
      <c r="M12" s="12">
        <f t="shared" ref="M12" si="8">M10-M11</f>
        <v>889190285.12240434</v>
      </c>
      <c r="N12" s="12">
        <f t="shared" ref="N12" si="9">N10-N11</f>
        <v>862514576.56873226</v>
      </c>
    </row>
    <row r="13" spans="1:14" s="7" customFormat="1" ht="12.75" x14ac:dyDescent="0.35">
      <c r="A13" s="7" t="s">
        <v>9</v>
      </c>
    </row>
    <row r="14" spans="1:14" s="7" customFormat="1" ht="12.75" x14ac:dyDescent="0.35">
      <c r="A14" s="7" t="s">
        <v>10</v>
      </c>
      <c r="B14" s="12"/>
    </row>
    <row r="15" spans="1:14" s="7" customFormat="1" ht="12.75" x14ac:dyDescent="0.35">
      <c r="A15" s="7" t="s">
        <v>33</v>
      </c>
      <c r="B15" s="12"/>
      <c r="C15" s="12"/>
    </row>
    <row r="16" spans="1:14" s="7" customFormat="1" ht="12.75" x14ac:dyDescent="0.35">
      <c r="A16" s="7" t="s">
        <v>11</v>
      </c>
      <c r="B16" s="12"/>
    </row>
    <row r="17" spans="1:14" s="7" customFormat="1" ht="12.75" x14ac:dyDescent="0.35">
      <c r="A17" s="7" t="s">
        <v>12</v>
      </c>
    </row>
    <row r="18" spans="1:14" s="7" customFormat="1" ht="12.75" x14ac:dyDescent="0.35">
      <c r="A18" s="7" t="s">
        <v>13</v>
      </c>
    </row>
    <row r="19" spans="1:14" s="7" customFormat="1" ht="12.75" x14ac:dyDescent="0.35">
      <c r="A19" s="7" t="s">
        <v>54</v>
      </c>
      <c r="B19" s="12"/>
    </row>
    <row r="20" spans="1:14" s="7" customFormat="1" ht="31.35" customHeight="1" x14ac:dyDescent="0.4">
      <c r="A20" s="14" t="s">
        <v>14</v>
      </c>
      <c r="B20" s="12"/>
      <c r="C20" s="12"/>
    </row>
    <row r="21" spans="1:14" s="7" customFormat="1" ht="12.75" x14ac:dyDescent="0.35">
      <c r="A21" s="7" t="s">
        <v>15</v>
      </c>
    </row>
    <row r="22" spans="1:14" s="7" customFormat="1" ht="12.75" x14ac:dyDescent="0.35">
      <c r="A22" s="7" t="s">
        <v>16</v>
      </c>
    </row>
    <row r="23" spans="1:14" s="7" customFormat="1" ht="29.85" customHeight="1" x14ac:dyDescent="0.4">
      <c r="A23" s="10" t="s">
        <v>17</v>
      </c>
      <c r="B23" s="12"/>
      <c r="C23" s="12"/>
    </row>
    <row r="24" spans="1:14" s="7" customFormat="1" ht="12.75" x14ac:dyDescent="0.35">
      <c r="A24" s="7" t="s">
        <v>18</v>
      </c>
    </row>
    <row r="25" spans="1:14" s="7" customFormat="1" ht="32.1" customHeight="1" x14ac:dyDescent="0.4">
      <c r="A25" s="14" t="s">
        <v>88</v>
      </c>
      <c r="B25" s="12">
        <f>B4*0.175</f>
        <v>78470000</v>
      </c>
      <c r="C25" s="12">
        <f>C4*0.175</f>
        <v>92437100</v>
      </c>
      <c r="D25" s="12">
        <f t="shared" ref="D25:N25" si="10">D4*0.175</f>
        <v>107074436</v>
      </c>
      <c r="E25" s="12">
        <f t="shared" si="10"/>
        <v>121920650.03999998</v>
      </c>
      <c r="F25" s="12">
        <f t="shared" si="10"/>
        <v>136418869.6248</v>
      </c>
      <c r="G25" s="12">
        <f t="shared" si="10"/>
        <v>140558167.02194399</v>
      </c>
      <c r="H25" s="12">
        <f t="shared" si="10"/>
        <v>144799445.96951231</v>
      </c>
      <c r="I25" s="12">
        <f t="shared" si="10"/>
        <v>149143429.34859768</v>
      </c>
      <c r="J25" s="12">
        <f t="shared" si="10"/>
        <v>153617732.22905561</v>
      </c>
      <c r="K25" s="12">
        <f t="shared" si="10"/>
        <v>158226264.19592732</v>
      </c>
      <c r="L25" s="12">
        <f t="shared" si="10"/>
        <v>162973052.1218051</v>
      </c>
      <c r="M25" s="12">
        <f t="shared" si="10"/>
        <v>167862243.68545929</v>
      </c>
      <c r="N25" s="12">
        <f t="shared" si="10"/>
        <v>162826376.37489551</v>
      </c>
    </row>
    <row r="26" spans="1:14" s="7" customFormat="1" ht="12.75" x14ac:dyDescent="0.35">
      <c r="A26" s="7" t="s">
        <v>19</v>
      </c>
    </row>
    <row r="27" spans="1:14" s="7" customFormat="1" ht="29.1" customHeight="1" x14ac:dyDescent="0.4">
      <c r="A27" s="10" t="s">
        <v>20</v>
      </c>
      <c r="B27" s="12">
        <f>B25-B26</f>
        <v>78470000</v>
      </c>
      <c r="C27" s="12">
        <f>C25-C26</f>
        <v>92437100</v>
      </c>
      <c r="D27" s="12">
        <f t="shared" ref="D27:N27" si="11">D25-D26</f>
        <v>107074436</v>
      </c>
      <c r="E27" s="12">
        <f t="shared" si="11"/>
        <v>121920650.03999998</v>
      </c>
      <c r="F27" s="12">
        <f t="shared" si="11"/>
        <v>136418869.6248</v>
      </c>
      <c r="G27" s="12">
        <f t="shared" si="11"/>
        <v>140558167.02194399</v>
      </c>
      <c r="H27" s="12">
        <f t="shared" si="11"/>
        <v>144799445.96951231</v>
      </c>
      <c r="I27" s="12">
        <f t="shared" si="11"/>
        <v>149143429.34859768</v>
      </c>
      <c r="J27" s="12">
        <f t="shared" si="11"/>
        <v>153617732.22905561</v>
      </c>
      <c r="K27" s="12">
        <f t="shared" si="11"/>
        <v>158226264.19592732</v>
      </c>
      <c r="L27" s="12">
        <f t="shared" si="11"/>
        <v>162973052.1218051</v>
      </c>
      <c r="M27" s="12">
        <f t="shared" si="11"/>
        <v>167862243.68545929</v>
      </c>
      <c r="N27" s="12">
        <f t="shared" si="11"/>
        <v>162826376.37489551</v>
      </c>
    </row>
    <row r="28" spans="1:14" s="7" customFormat="1" ht="12.75" x14ac:dyDescent="0.35">
      <c r="A28" s="7" t="s">
        <v>21</v>
      </c>
    </row>
    <row r="29" spans="1:14" s="7" customFormat="1" ht="35.1" customHeight="1" x14ac:dyDescent="0.4">
      <c r="A29" s="14" t="s">
        <v>22</v>
      </c>
      <c r="B29" s="12">
        <f>B27-B28</f>
        <v>78470000</v>
      </c>
      <c r="C29" s="12">
        <f>C27-C28</f>
        <v>92437100</v>
      </c>
      <c r="D29" s="12">
        <f t="shared" ref="D29:J29" si="12">D27-D28</f>
        <v>107074436</v>
      </c>
      <c r="E29" s="12">
        <f t="shared" si="12"/>
        <v>121920650.03999998</v>
      </c>
      <c r="F29" s="12">
        <f t="shared" si="12"/>
        <v>136418869.6248</v>
      </c>
      <c r="G29" s="12">
        <f t="shared" si="12"/>
        <v>140558167.02194399</v>
      </c>
      <c r="H29" s="12">
        <f t="shared" si="12"/>
        <v>144799445.96951231</v>
      </c>
      <c r="I29" s="12">
        <f t="shared" si="12"/>
        <v>149143429.34859768</v>
      </c>
      <c r="J29" s="12">
        <f t="shared" si="12"/>
        <v>153617732.22905561</v>
      </c>
      <c r="K29" s="12">
        <f>K27-K28</f>
        <v>158226264.19592732</v>
      </c>
      <c r="L29" s="12">
        <f t="shared" ref="L29" si="13">L27-L28</f>
        <v>162973052.1218051</v>
      </c>
      <c r="M29" s="12">
        <f t="shared" ref="M29" si="14">M27-M28</f>
        <v>167862243.68545929</v>
      </c>
      <c r="N29" s="12">
        <f t="shared" ref="N29" si="15">N27-N28</f>
        <v>162826376.37489551</v>
      </c>
    </row>
    <row r="30" spans="1:14" s="11" customFormat="1" ht="12.75" x14ac:dyDescent="0.35"/>
    <row r="31" spans="1:14" s="7" customFormat="1" ht="26.1" customHeight="1" x14ac:dyDescent="0.4">
      <c r="A31" s="6" t="s">
        <v>37</v>
      </c>
      <c r="B31" s="13"/>
    </row>
    <row r="32" spans="1:14" s="7" customFormat="1" ht="24.75" customHeight="1" x14ac:dyDescent="0.4">
      <c r="A32" s="14" t="s">
        <v>80</v>
      </c>
      <c r="B32" s="12">
        <f>B25</f>
        <v>78470000</v>
      </c>
      <c r="C32" s="12">
        <f t="shared" ref="C32:N32" si="16">C25</f>
        <v>92437100</v>
      </c>
      <c r="D32" s="12">
        <f t="shared" si="16"/>
        <v>107074436</v>
      </c>
      <c r="E32" s="12">
        <f t="shared" si="16"/>
        <v>121920650.03999998</v>
      </c>
      <c r="F32" s="12">
        <f t="shared" si="16"/>
        <v>136418869.6248</v>
      </c>
      <c r="G32" s="12">
        <f t="shared" si="16"/>
        <v>140558167.02194399</v>
      </c>
      <c r="H32" s="12">
        <f t="shared" si="16"/>
        <v>144799445.96951231</v>
      </c>
      <c r="I32" s="12">
        <f t="shared" si="16"/>
        <v>149143429.34859768</v>
      </c>
      <c r="J32" s="12">
        <f t="shared" si="16"/>
        <v>153617732.22905561</v>
      </c>
      <c r="K32" s="12">
        <f t="shared" si="16"/>
        <v>158226264.19592732</v>
      </c>
      <c r="L32" s="12">
        <f t="shared" si="16"/>
        <v>162973052.1218051</v>
      </c>
      <c r="M32" s="12">
        <f t="shared" si="16"/>
        <v>167862243.68545929</v>
      </c>
      <c r="N32" s="12">
        <f t="shared" si="16"/>
        <v>162826376.37489551</v>
      </c>
    </row>
    <row r="33" spans="1:14" s="7" customFormat="1" ht="12.75" x14ac:dyDescent="0.35">
      <c r="A33" s="7" t="s">
        <v>23</v>
      </c>
    </row>
    <row r="34" spans="1:14" s="7" customFormat="1" ht="33.6" customHeight="1" x14ac:dyDescent="0.4">
      <c r="A34" s="10" t="s">
        <v>24</v>
      </c>
      <c r="B34" s="12">
        <f>B32-B33</f>
        <v>78470000</v>
      </c>
      <c r="C34" s="12">
        <f t="shared" ref="C34:N34" si="17">C32-C33</f>
        <v>92437100</v>
      </c>
      <c r="D34" s="12">
        <f t="shared" si="17"/>
        <v>107074436</v>
      </c>
      <c r="E34" s="12">
        <f t="shared" si="17"/>
        <v>121920650.03999998</v>
      </c>
      <c r="F34" s="12">
        <f t="shared" si="17"/>
        <v>136418869.6248</v>
      </c>
      <c r="G34" s="12">
        <f t="shared" si="17"/>
        <v>140558167.02194399</v>
      </c>
      <c r="H34" s="12">
        <f t="shared" si="17"/>
        <v>144799445.96951231</v>
      </c>
      <c r="I34" s="12">
        <f t="shared" si="17"/>
        <v>149143429.34859768</v>
      </c>
      <c r="J34" s="12">
        <f t="shared" si="17"/>
        <v>153617732.22905561</v>
      </c>
      <c r="K34" s="12">
        <f t="shared" si="17"/>
        <v>158226264.19592732</v>
      </c>
      <c r="L34" s="12">
        <f t="shared" si="17"/>
        <v>162973052.1218051</v>
      </c>
      <c r="M34" s="12">
        <f t="shared" si="17"/>
        <v>167862243.68545929</v>
      </c>
      <c r="N34" s="12">
        <f t="shared" si="17"/>
        <v>162826376.37489551</v>
      </c>
    </row>
    <row r="35" spans="1:14" s="7" customFormat="1" ht="12.75" x14ac:dyDescent="0.35">
      <c r="A35" s="7" t="s">
        <v>25</v>
      </c>
    </row>
    <row r="36" spans="1:14" s="7" customFormat="1" ht="12.75" x14ac:dyDescent="0.35">
      <c r="A36" s="7" t="s">
        <v>26</v>
      </c>
      <c r="B36" s="12"/>
    </row>
    <row r="37" spans="1:14" s="7" customFormat="1" ht="12.75" x14ac:dyDescent="0.35">
      <c r="A37" s="7" t="s">
        <v>27</v>
      </c>
    </row>
    <row r="38" spans="1:14" s="7" customFormat="1" ht="12.75" x14ac:dyDescent="0.35">
      <c r="A38" s="7" t="s">
        <v>28</v>
      </c>
    </row>
    <row r="39" spans="1:14" s="7" customFormat="1" ht="12.75" x14ac:dyDescent="0.35">
      <c r="A39" s="7" t="s">
        <v>29</v>
      </c>
    </row>
    <row r="40" spans="1:14" s="7" customFormat="1" ht="12.75" x14ac:dyDescent="0.35">
      <c r="A40" s="7" t="s">
        <v>30</v>
      </c>
    </row>
    <row r="41" spans="1:14" s="7" customFormat="1" ht="12.75" x14ac:dyDescent="0.35">
      <c r="A41" s="7" t="s">
        <v>12</v>
      </c>
    </row>
    <row r="42" spans="1:14" s="7" customFormat="1" ht="12.75" x14ac:dyDescent="0.35">
      <c r="A42" s="7" t="s">
        <v>31</v>
      </c>
      <c r="B42" s="12"/>
    </row>
    <row r="43" spans="1:14" s="7" customFormat="1" ht="12.75" x14ac:dyDescent="0.35">
      <c r="A43" s="7" t="s">
        <v>35</v>
      </c>
      <c r="B43" s="12"/>
      <c r="C43" s="12"/>
    </row>
    <row r="44" spans="1:14" s="7" customFormat="1" ht="12.75" x14ac:dyDescent="0.35">
      <c r="A44" s="7" t="s">
        <v>32</v>
      </c>
    </row>
    <row r="45" spans="1:14" s="7" customFormat="1" ht="32.85" customHeight="1" x14ac:dyDescent="0.4">
      <c r="A45" s="14" t="s">
        <v>55</v>
      </c>
      <c r="B45" s="12">
        <f>B34+B41-B42</f>
        <v>78470000</v>
      </c>
      <c r="C45" s="12">
        <f>C34</f>
        <v>92437100</v>
      </c>
      <c r="D45" s="12">
        <f>D34</f>
        <v>107074436</v>
      </c>
      <c r="E45" s="12">
        <f t="shared" ref="E45:N45" si="18">E34</f>
        <v>121920650.03999998</v>
      </c>
      <c r="F45" s="12">
        <f t="shared" si="18"/>
        <v>136418869.6248</v>
      </c>
      <c r="G45" s="12">
        <f t="shared" si="18"/>
        <v>140558167.02194399</v>
      </c>
      <c r="H45" s="12">
        <f t="shared" si="18"/>
        <v>144799445.96951231</v>
      </c>
      <c r="I45" s="12">
        <f t="shared" si="18"/>
        <v>149143429.34859768</v>
      </c>
      <c r="J45" s="12">
        <f t="shared" si="18"/>
        <v>153617732.22905561</v>
      </c>
      <c r="K45" s="12">
        <f t="shared" si="18"/>
        <v>158226264.19592732</v>
      </c>
      <c r="L45" s="12">
        <f>L34</f>
        <v>162973052.1218051</v>
      </c>
      <c r="M45" s="12">
        <f t="shared" si="18"/>
        <v>167862243.68545929</v>
      </c>
      <c r="N45" s="12">
        <f t="shared" si="18"/>
        <v>162826376.37489551</v>
      </c>
    </row>
    <row r="46" spans="1:14" s="16" customFormat="1" x14ac:dyDescent="0.45"/>
    <row r="47" spans="1:14" x14ac:dyDescent="0.45">
      <c r="A47" s="17" t="s">
        <v>38</v>
      </c>
      <c r="B47" s="18"/>
    </row>
    <row r="48" spans="1:14" x14ac:dyDescent="0.45">
      <c r="A48" s="21" t="s">
        <v>4</v>
      </c>
      <c r="B48" s="3">
        <f>B45</f>
        <v>78470000</v>
      </c>
      <c r="C48" s="3">
        <f t="shared" ref="C48:N48" si="19">C45</f>
        <v>92437100</v>
      </c>
      <c r="D48" s="3">
        <f t="shared" si="19"/>
        <v>107074436</v>
      </c>
      <c r="E48" s="3">
        <f t="shared" si="19"/>
        <v>121920650.03999998</v>
      </c>
      <c r="F48" s="3">
        <f t="shared" si="19"/>
        <v>136418869.6248</v>
      </c>
      <c r="G48" s="3">
        <f t="shared" si="19"/>
        <v>140558167.02194399</v>
      </c>
      <c r="H48" s="3">
        <f t="shared" si="19"/>
        <v>144799445.96951231</v>
      </c>
      <c r="I48" s="3">
        <f t="shared" si="19"/>
        <v>149143429.34859768</v>
      </c>
      <c r="J48" s="3">
        <f t="shared" si="19"/>
        <v>153617732.22905561</v>
      </c>
      <c r="K48" s="3">
        <f t="shared" si="19"/>
        <v>158226264.19592732</v>
      </c>
      <c r="L48" s="3">
        <f>L45</f>
        <v>162973052.1218051</v>
      </c>
      <c r="M48" s="3">
        <f t="shared" si="19"/>
        <v>167862243.68545929</v>
      </c>
      <c r="N48" s="3">
        <f t="shared" si="19"/>
        <v>162826376.37489551</v>
      </c>
    </row>
    <row r="49" spans="1:14" x14ac:dyDescent="0.45">
      <c r="A49" s="20" t="s">
        <v>39</v>
      </c>
    </row>
    <row r="50" spans="1:14" x14ac:dyDescent="0.45">
      <c r="A50" s="19" t="s">
        <v>34</v>
      </c>
      <c r="B50">
        <v>32733199.999999996</v>
      </c>
      <c r="C50" s="5">
        <v>38559476</v>
      </c>
      <c r="D50" s="2">
        <v>44665336.159999996</v>
      </c>
      <c r="E50" s="2">
        <v>50858328.302399993</v>
      </c>
      <c r="F50" s="2">
        <v>56906157.043487996</v>
      </c>
      <c r="G50" s="2">
        <v>58632835.38629663</v>
      </c>
      <c r="H50" s="2">
        <v>60402054.60442514</v>
      </c>
      <c r="I50" s="2">
        <v>62214116.242557891</v>
      </c>
      <c r="J50" s="2">
        <v>64080539.729834631</v>
      </c>
      <c r="K50" s="2">
        <v>66002955.921729676</v>
      </c>
      <c r="L50" s="2">
        <v>67983044.599381566</v>
      </c>
      <c r="M50" s="2">
        <v>70022535.937363014</v>
      </c>
      <c r="N50" s="2">
        <v>67921859.859242126</v>
      </c>
    </row>
    <row r="51" spans="1:14" x14ac:dyDescent="0.45">
      <c r="A51" s="19"/>
    </row>
    <row r="52" spans="1:14" x14ac:dyDescent="0.45">
      <c r="A52" s="20" t="s">
        <v>45</v>
      </c>
      <c r="B52" s="3">
        <f>B4*0.2</f>
        <v>89680000</v>
      </c>
      <c r="C52" s="3">
        <f>C4*0.2</f>
        <v>105642400</v>
      </c>
      <c r="D52" s="3">
        <f t="shared" ref="D52:N52" si="20">D4*0.2</f>
        <v>122370784</v>
      </c>
      <c r="E52" s="3">
        <f t="shared" si="20"/>
        <v>139337885.75999999</v>
      </c>
      <c r="F52" s="3">
        <f t="shared" si="20"/>
        <v>155907279.57119998</v>
      </c>
      <c r="G52" s="3">
        <f t="shared" si="20"/>
        <v>160637905.167936</v>
      </c>
      <c r="H52" s="3">
        <f t="shared" si="20"/>
        <v>165485081.10801411</v>
      </c>
      <c r="I52" s="3">
        <f t="shared" si="20"/>
        <v>170449633.54125452</v>
      </c>
      <c r="J52" s="3">
        <f t="shared" si="20"/>
        <v>175563122.54749215</v>
      </c>
      <c r="K52" s="3">
        <f t="shared" si="20"/>
        <v>180830016.22391695</v>
      </c>
      <c r="L52" s="3">
        <f t="shared" si="20"/>
        <v>186254916.71063444</v>
      </c>
      <c r="M52" s="3">
        <f t="shared" si="20"/>
        <v>191842564.21195349</v>
      </c>
      <c r="N52" s="3">
        <f t="shared" si="20"/>
        <v>186087287.28559488</v>
      </c>
    </row>
    <row r="53" spans="1:14" x14ac:dyDescent="0.45">
      <c r="A53" s="19" t="s">
        <v>40</v>
      </c>
      <c r="B53" s="3"/>
      <c r="C53" s="3"/>
      <c r="D53" s="2"/>
    </row>
    <row r="54" spans="1:14" x14ac:dyDescent="0.45">
      <c r="A54" s="19" t="s">
        <v>41</v>
      </c>
    </row>
    <row r="55" spans="1:14" x14ac:dyDescent="0.45">
      <c r="A55" s="19" t="s">
        <v>42</v>
      </c>
    </row>
    <row r="56" spans="1:14" x14ac:dyDescent="0.45">
      <c r="A56" s="19" t="s">
        <v>43</v>
      </c>
    </row>
    <row r="57" spans="1:14" x14ac:dyDescent="0.45">
      <c r="A57" s="24" t="s">
        <v>46</v>
      </c>
      <c r="B57" s="3">
        <f>B4*0.25</f>
        <v>112100000</v>
      </c>
      <c r="C57" s="3">
        <f>C4*0.25</f>
        <v>132053000</v>
      </c>
      <c r="D57" s="3">
        <f t="shared" ref="D57:N57" si="21">D4*0.25</f>
        <v>152963480</v>
      </c>
      <c r="E57" s="3">
        <f t="shared" si="21"/>
        <v>174172357.19999999</v>
      </c>
      <c r="F57" s="3">
        <f t="shared" si="21"/>
        <v>194884099.46399999</v>
      </c>
      <c r="G57" s="3">
        <f t="shared" si="21"/>
        <v>200797381.45991999</v>
      </c>
      <c r="H57" s="3">
        <f t="shared" si="21"/>
        <v>206856351.3850176</v>
      </c>
      <c r="I57" s="3">
        <f t="shared" si="21"/>
        <v>213062041.92656812</v>
      </c>
      <c r="J57" s="3">
        <f t="shared" si="21"/>
        <v>219453903.18436518</v>
      </c>
      <c r="K57" s="3">
        <f t="shared" si="21"/>
        <v>226037520.27989617</v>
      </c>
      <c r="L57" s="3">
        <f t="shared" si="21"/>
        <v>232818645.88829303</v>
      </c>
      <c r="M57" s="3">
        <f t="shared" si="21"/>
        <v>239803205.26494184</v>
      </c>
      <c r="N57" s="3">
        <f t="shared" si="21"/>
        <v>232609109.10699359</v>
      </c>
    </row>
    <row r="58" spans="1:14" x14ac:dyDescent="0.45">
      <c r="A58" s="24" t="s">
        <v>44</v>
      </c>
      <c r="B58">
        <v>0</v>
      </c>
      <c r="C58" s="3">
        <f>C57-B57</f>
        <v>19953000</v>
      </c>
      <c r="D58" s="3">
        <f>D57-C57</f>
        <v>20910480</v>
      </c>
      <c r="E58" s="3">
        <f t="shared" ref="E58:I58" si="22">E57-D57</f>
        <v>21208877.199999988</v>
      </c>
      <c r="F58" s="3">
        <f t="shared" si="22"/>
        <v>20711742.263999999</v>
      </c>
      <c r="G58" s="3">
        <f t="shared" si="22"/>
        <v>5913281.9959200025</v>
      </c>
      <c r="H58" s="3">
        <f t="shared" si="22"/>
        <v>6058969.9250976145</v>
      </c>
      <c r="I58" s="3">
        <f t="shared" si="22"/>
        <v>6205690.5415505171</v>
      </c>
      <c r="J58" s="3">
        <f t="shared" ref="J58" si="23">J57-I57</f>
        <v>6391861.2577970624</v>
      </c>
      <c r="K58" s="3">
        <f t="shared" ref="K58" si="24">K57-J57</f>
        <v>6583617.0955309868</v>
      </c>
      <c r="L58" s="3">
        <f t="shared" ref="L58" si="25">L57-K57</f>
        <v>6781125.608396858</v>
      </c>
      <c r="M58" s="3">
        <f t="shared" ref="M58" si="26">M57-L57</f>
        <v>6984559.3766488135</v>
      </c>
      <c r="N58" s="3">
        <f t="shared" ref="N58" si="27">N57-M57</f>
        <v>-7194096.1579482555</v>
      </c>
    </row>
    <row r="60" spans="1:14" x14ac:dyDescent="0.45">
      <c r="A60" s="27" t="s">
        <v>48</v>
      </c>
      <c r="B60" s="3">
        <f>B48+B50-B52-B58</f>
        <v>21523200</v>
      </c>
      <c r="C60" s="3">
        <f t="shared" ref="C60:N60" si="28">C48+C50-C52-C58</f>
        <v>5401176</v>
      </c>
      <c r="D60" s="3">
        <f t="shared" si="28"/>
        <v>8458508.1599999964</v>
      </c>
      <c r="E60" s="3">
        <f t="shared" si="28"/>
        <v>12232215.382399976</v>
      </c>
      <c r="F60" s="3">
        <f t="shared" si="28"/>
        <v>16706004.833088011</v>
      </c>
      <c r="G60" s="3">
        <f t="shared" si="28"/>
        <v>32639815.244384617</v>
      </c>
      <c r="H60" s="3">
        <f t="shared" si="28"/>
        <v>33657449.540825725</v>
      </c>
      <c r="I60" s="3">
        <f>I48+I50-I52-I58</f>
        <v>34702221.508350521</v>
      </c>
      <c r="J60" s="3">
        <f t="shared" si="28"/>
        <v>35743288.15360105</v>
      </c>
      <c r="K60" s="3">
        <f t="shared" si="28"/>
        <v>36815586.798209071</v>
      </c>
      <c r="L60" s="3">
        <f t="shared" si="28"/>
        <v>37920054.40215537</v>
      </c>
      <c r="M60" s="3">
        <f t="shared" si="28"/>
        <v>39057656.03421998</v>
      </c>
      <c r="N60" s="3">
        <f t="shared" si="28"/>
        <v>51855045.106491029</v>
      </c>
    </row>
    <row r="61" spans="1:14" x14ac:dyDescent="0.45">
      <c r="A61" t="s">
        <v>0</v>
      </c>
      <c r="B61">
        <v>0.1</v>
      </c>
      <c r="C61" s="5">
        <v>0.1</v>
      </c>
      <c r="D61" s="5">
        <v>0.1</v>
      </c>
      <c r="E61" s="5">
        <v>0.1</v>
      </c>
      <c r="F61" s="5">
        <v>0.1</v>
      </c>
      <c r="G61" s="5">
        <v>0.1</v>
      </c>
      <c r="H61" s="5">
        <v>0.1</v>
      </c>
      <c r="I61" s="5">
        <v>0.1</v>
      </c>
      <c r="J61" s="5">
        <v>0.1</v>
      </c>
      <c r="K61" s="5">
        <v>0.1</v>
      </c>
      <c r="L61" s="5">
        <v>0.1</v>
      </c>
      <c r="M61" s="5">
        <v>0.1</v>
      </c>
      <c r="N61" s="5">
        <v>0.1</v>
      </c>
    </row>
    <row r="62" spans="1:14" x14ac:dyDescent="0.45">
      <c r="A62" s="26" t="s">
        <v>47</v>
      </c>
      <c r="B62" s="2">
        <f>(B60)/((1+B61)^0.5)</f>
        <v>20521566.00085073</v>
      </c>
      <c r="C62" s="2">
        <f>(C60)/((1+C61)^1.5)</f>
        <v>4681653.8672101367</v>
      </c>
      <c r="D62" s="2">
        <f>(D60)/((1+D61)^2.5)</f>
        <v>6665182.7201558398</v>
      </c>
      <c r="E62" s="2">
        <f>(E60)/((1+E61)^3.5)</f>
        <v>8762554.2830299344</v>
      </c>
      <c r="F62" s="2">
        <f>(F60)/((1+F61)^4.5)</f>
        <v>10879414.400727728</v>
      </c>
      <c r="G62" s="2">
        <f>(G60)/((1+G61)^5.5)</f>
        <v>19323594.858404297</v>
      </c>
      <c r="H62" s="2">
        <f>(H60)/((1+H61)^6.5)</f>
        <v>18114600.05418868</v>
      </c>
      <c r="I62" s="2">
        <f>(I60)/((1+I61)^7.5)</f>
        <v>16979001.196184892</v>
      </c>
      <c r="J62" s="2">
        <f>(J60)/((1+J61)^8.5)</f>
        <v>15898519.30188222</v>
      </c>
      <c r="K62" s="2">
        <f>(K60)/((1+K61)^9.5)</f>
        <v>14886795.346307894</v>
      </c>
      <c r="L62" s="2">
        <f>(L60)/((1+L61)^10.5)</f>
        <v>13939453.824270125</v>
      </c>
      <c r="M62" s="2">
        <f>(M60)/((1+M61)^11.5)</f>
        <v>13052397.671816554</v>
      </c>
      <c r="N62" s="2">
        <f>(N60)/((1+N61)^12.5)</f>
        <v>15753695.683932811</v>
      </c>
    </row>
    <row r="64" spans="1:14" x14ac:dyDescent="0.45">
      <c r="A64" s="15" t="s">
        <v>49</v>
      </c>
      <c r="B64" s="31">
        <f>SUM(B62:N62)</f>
        <v>179458429.20896184</v>
      </c>
    </row>
    <row r="65" spans="1:7" x14ac:dyDescent="0.45">
      <c r="A65" s="16"/>
      <c r="B65" s="16"/>
      <c r="C65" s="16"/>
      <c r="D65" s="16"/>
      <c r="E65" s="16"/>
      <c r="F65" s="16"/>
      <c r="G65" s="16"/>
    </row>
    <row r="66" spans="1:7" ht="15.75" x14ac:dyDescent="0.5">
      <c r="A66" s="28" t="s">
        <v>50</v>
      </c>
    </row>
    <row r="68" spans="1:7" x14ac:dyDescent="0.45">
      <c r="A68" t="s">
        <v>56</v>
      </c>
      <c r="B68" s="25">
        <f>N48</f>
        <v>162826376.37489551</v>
      </c>
      <c r="D68" s="25"/>
      <c r="E68" s="25"/>
    </row>
    <row r="69" spans="1:7" x14ac:dyDescent="0.45">
      <c r="A69" t="s">
        <v>59</v>
      </c>
      <c r="B69" s="4">
        <v>0.1</v>
      </c>
    </row>
    <row r="70" spans="1:7" x14ac:dyDescent="0.45">
      <c r="A70" t="s">
        <v>51</v>
      </c>
      <c r="B70" s="4">
        <v>-0.03</v>
      </c>
    </row>
    <row r="71" spans="1:7" s="5" customFormat="1" x14ac:dyDescent="0.45">
      <c r="A71" s="5" t="s">
        <v>57</v>
      </c>
      <c r="B71" s="4">
        <v>0.1</v>
      </c>
    </row>
    <row r="72" spans="1:7" x14ac:dyDescent="0.45">
      <c r="A72" t="s">
        <v>58</v>
      </c>
      <c r="B72" s="25">
        <f>(B68*(1-(B70/B71)))/(B69-B70)</f>
        <v>1628263763.7489552</v>
      </c>
      <c r="C72" t="s">
        <v>60</v>
      </c>
      <c r="D72" s="29"/>
    </row>
    <row r="73" spans="1:7" x14ac:dyDescent="0.45">
      <c r="A73" t="s">
        <v>3</v>
      </c>
      <c r="B73">
        <v>11.5</v>
      </c>
    </row>
    <row r="74" spans="1:7" x14ac:dyDescent="0.45">
      <c r="A74" s="26" t="s">
        <v>52</v>
      </c>
      <c r="B74" s="31">
        <f>(B72)/((1+B69)^B73)</f>
        <v>544137777.76218164</v>
      </c>
    </row>
    <row r="75" spans="1:7" x14ac:dyDescent="0.45">
      <c r="A75" s="30"/>
      <c r="B75" s="30"/>
      <c r="C75" s="30"/>
      <c r="D75" s="30"/>
      <c r="E75" s="30"/>
      <c r="F75" s="30"/>
      <c r="G75" s="30"/>
    </row>
    <row r="77" spans="1:7" ht="15.75" x14ac:dyDescent="0.5">
      <c r="A77" s="28" t="s">
        <v>53</v>
      </c>
      <c r="B77" s="25">
        <f>B64+B74</f>
        <v>723596206.97114348</v>
      </c>
    </row>
    <row r="78" spans="1:7" x14ac:dyDescent="0.45">
      <c r="A78" t="s">
        <v>82</v>
      </c>
      <c r="B78">
        <v>46067276</v>
      </c>
    </row>
    <row r="80" spans="1:7" x14ac:dyDescent="0.45">
      <c r="A80" t="s">
        <v>84</v>
      </c>
      <c r="B80" s="29">
        <f>B77/B78</f>
        <v>15.707379940831395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3" sqref="B13"/>
    </sheetView>
  </sheetViews>
  <sheetFormatPr defaultColWidth="8.86328125" defaultRowHeight="14.25" x14ac:dyDescent="0.45"/>
  <cols>
    <col min="1" max="1" width="94.86328125" style="5" customWidth="1"/>
    <col min="2" max="2" width="16.265625" style="5" customWidth="1"/>
    <col min="3" max="16384" width="8.86328125" style="5"/>
  </cols>
  <sheetData>
    <row r="1" spans="1:5" x14ac:dyDescent="0.45">
      <c r="A1" s="15" t="s">
        <v>67</v>
      </c>
      <c r="B1" s="37">
        <v>25.78</v>
      </c>
      <c r="C1" s="36" t="s">
        <v>66</v>
      </c>
      <c r="D1" s="36"/>
      <c r="E1" s="36"/>
    </row>
    <row r="7" spans="1:5" x14ac:dyDescent="0.45">
      <c r="A7" s="5" t="s">
        <v>65</v>
      </c>
      <c r="B7" s="33">
        <v>959212821.05976737</v>
      </c>
    </row>
    <row r="8" spans="1:5" x14ac:dyDescent="0.45">
      <c r="A8" s="5" t="s">
        <v>64</v>
      </c>
      <c r="B8" s="35">
        <f>B7*0.1752</f>
        <v>168054086.24967125</v>
      </c>
    </row>
    <row r="9" spans="1:5" x14ac:dyDescent="0.45">
      <c r="A9" s="5" t="s">
        <v>63</v>
      </c>
      <c r="B9" s="35">
        <f>B8*25.78</f>
        <v>4332434343.5165253</v>
      </c>
    </row>
    <row r="10" spans="1:5" x14ac:dyDescent="0.45">
      <c r="A10" s="5" t="s">
        <v>81</v>
      </c>
      <c r="B10" s="5">
        <v>0.1</v>
      </c>
    </row>
    <row r="11" spans="1:5" x14ac:dyDescent="0.45">
      <c r="A11" s="5" t="s">
        <v>62</v>
      </c>
      <c r="B11" s="5">
        <v>0.03</v>
      </c>
    </row>
    <row r="12" spans="1:5" x14ac:dyDescent="0.45">
      <c r="A12" s="5" t="s">
        <v>3</v>
      </c>
      <c r="B12" s="5">
        <v>11.5</v>
      </c>
    </row>
    <row r="13" spans="1:5" x14ac:dyDescent="0.45">
      <c r="A13" s="1" t="s">
        <v>61</v>
      </c>
      <c r="B13" s="34">
        <f>(B9)/(1.13^16.5)</f>
        <v>576683694.89899135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Revenue forecast sheet</vt:lpstr>
      <vt:lpstr>Operating value calculation</vt:lpstr>
      <vt:lpstr>Pharma Comparables valuation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Bhavneesh Sharma</dc:creator>
  <cp:lastModifiedBy>Bhavneesh Sharma</cp:lastModifiedBy>
  <dcterms:created xsi:type="dcterms:W3CDTF">2016-04-22T19:03:12Z</dcterms:created>
  <dcterms:modified xsi:type="dcterms:W3CDTF">2016-07-06T21:27:58Z</dcterms:modified>
</cp:coreProperties>
</file>