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Acorda Therpeutics\"/>
    </mc:Choice>
  </mc:AlternateContent>
  <bookViews>
    <workbookView xWindow="0" yWindow="0" windowWidth="22500" windowHeight="12308" activeTab="1"/>
  </bookViews>
  <sheets>
    <sheet name="Revenue forecast sheet" sheetId="7" r:id="rId1"/>
    <sheet name="Operating value calculation" sheetId="5" r:id="rId2"/>
    <sheet name="Pharma Comparables valuation" sheetId="9" r:id="rId3"/>
    <sheet name="Notes" sheetId="8" r:id="rId4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9" l="1"/>
  <c r="Q8" i="7"/>
  <c r="P57" i="5" l="1"/>
  <c r="Q57" i="5"/>
  <c r="Q58" i="5" s="1"/>
  <c r="H57" i="5"/>
  <c r="I57" i="5"/>
  <c r="J57" i="5"/>
  <c r="K57" i="5"/>
  <c r="L57" i="5"/>
  <c r="M57" i="5"/>
  <c r="N57" i="5"/>
  <c r="O57" i="5"/>
  <c r="O58" i="5" s="1"/>
  <c r="D57" i="5"/>
  <c r="E57" i="5"/>
  <c r="F57" i="5"/>
  <c r="G57" i="5"/>
  <c r="C57" i="5"/>
  <c r="C58" i="5" s="1"/>
  <c r="Q52" i="5"/>
  <c r="H52" i="5"/>
  <c r="I52" i="5"/>
  <c r="J52" i="5"/>
  <c r="K52" i="5"/>
  <c r="L52" i="5"/>
  <c r="M52" i="5"/>
  <c r="N52" i="5"/>
  <c r="O52" i="5"/>
  <c r="P52" i="5"/>
  <c r="D52" i="5"/>
  <c r="E52" i="5"/>
  <c r="F52" i="5"/>
  <c r="G52" i="5"/>
  <c r="C52" i="5"/>
  <c r="P25" i="5"/>
  <c r="P32" i="5" s="1"/>
  <c r="P34" i="5" s="1"/>
  <c r="P45" i="5" s="1"/>
  <c r="P48" i="5" s="1"/>
  <c r="Q25" i="5"/>
  <c r="Q32" i="5" s="1"/>
  <c r="Q34" i="5" s="1"/>
  <c r="Q45" i="5" s="1"/>
  <c r="Q48" i="5" s="1"/>
  <c r="B68" i="5" s="1"/>
  <c r="H25" i="5"/>
  <c r="I25" i="5"/>
  <c r="J25" i="5"/>
  <c r="K25" i="5"/>
  <c r="L25" i="5"/>
  <c r="M25" i="5"/>
  <c r="N25" i="5"/>
  <c r="O25" i="5"/>
  <c r="O27" i="5" s="1"/>
  <c r="O29" i="5" s="1"/>
  <c r="D25" i="5"/>
  <c r="E25" i="5"/>
  <c r="F25" i="5"/>
  <c r="G25" i="5"/>
  <c r="C25" i="5"/>
  <c r="O11" i="5"/>
  <c r="P11" i="5"/>
  <c r="Q11" i="5"/>
  <c r="I11" i="5"/>
  <c r="J11" i="5"/>
  <c r="K11" i="5"/>
  <c r="L11" i="5"/>
  <c r="M11" i="5"/>
  <c r="N11" i="5"/>
  <c r="D11" i="5"/>
  <c r="E11" i="5"/>
  <c r="F11" i="5"/>
  <c r="G11" i="5"/>
  <c r="H11" i="5"/>
  <c r="C11" i="5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C2" i="7"/>
  <c r="D2" i="7" s="1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Q60" i="5" l="1"/>
  <c r="Q62" i="5" s="1"/>
  <c r="P58" i="5"/>
  <c r="O32" i="5"/>
  <c r="O34" i="5" s="1"/>
  <c r="O45" i="5" s="1"/>
  <c r="O48" i="5" s="1"/>
  <c r="O60" i="5" s="1"/>
  <c r="O62" i="5" s="1"/>
  <c r="P60" i="5"/>
  <c r="P62" i="5" s="1"/>
  <c r="Q27" i="5"/>
  <c r="Q29" i="5" s="1"/>
  <c r="P27" i="5"/>
  <c r="P29" i="5" s="1"/>
  <c r="Q4" i="7"/>
  <c r="P4" i="7"/>
  <c r="P8" i="7" s="1"/>
  <c r="O4" i="7"/>
  <c r="O8" i="7" s="1"/>
  <c r="C4" i="7" l="1"/>
  <c r="C8" i="7" s="1"/>
  <c r="D4" i="7"/>
  <c r="D8" i="7" s="1"/>
  <c r="E4" i="7"/>
  <c r="E8" i="7" s="1"/>
  <c r="F4" i="7"/>
  <c r="F8" i="7" s="1"/>
  <c r="G4" i="7"/>
  <c r="G8" i="7" s="1"/>
  <c r="H4" i="7"/>
  <c r="H8" i="7" s="1"/>
  <c r="I4" i="7"/>
  <c r="I8" i="7" s="1"/>
  <c r="J4" i="7"/>
  <c r="J8" i="7" s="1"/>
  <c r="K4" i="7"/>
  <c r="K8" i="7" s="1"/>
  <c r="L4" i="7"/>
  <c r="L8" i="7" s="1"/>
  <c r="M4" i="7"/>
  <c r="M8" i="7" s="1"/>
  <c r="N4" i="7"/>
  <c r="N8" i="7" s="1"/>
  <c r="B4" i="7"/>
  <c r="B8" i="7" s="1"/>
  <c r="B8" i="9" l="1"/>
  <c r="B9" i="9" s="1"/>
  <c r="B10" i="5"/>
  <c r="B12" i="5" s="1"/>
  <c r="B25" i="5" s="1"/>
  <c r="C10" i="5"/>
  <c r="C12" i="5" s="1"/>
  <c r="D10" i="5"/>
  <c r="D12" i="5" s="1"/>
  <c r="D58" i="5"/>
  <c r="E32" i="5"/>
  <c r="E34" i="5" s="1"/>
  <c r="E45" i="5" s="1"/>
  <c r="E48" i="5" s="1"/>
  <c r="E10" i="5"/>
  <c r="F32" i="5"/>
  <c r="F34" i="5" s="1"/>
  <c r="F45" i="5" s="1"/>
  <c r="F48" i="5" s="1"/>
  <c r="G32" i="5"/>
  <c r="G34" i="5" s="1"/>
  <c r="G45" i="5" s="1"/>
  <c r="G48" i="5" s="1"/>
  <c r="H32" i="5"/>
  <c r="H34" i="5" s="1"/>
  <c r="H45" i="5" s="1"/>
  <c r="H48" i="5" s="1"/>
  <c r="I27" i="5"/>
  <c r="I29" i="5" s="1"/>
  <c r="I32" i="5"/>
  <c r="I34" i="5" s="1"/>
  <c r="I45" i="5" s="1"/>
  <c r="I48" i="5" s="1"/>
  <c r="I10" i="5"/>
  <c r="J32" i="5"/>
  <c r="J34" i="5" s="1"/>
  <c r="J45" i="5" s="1"/>
  <c r="J48" i="5" s="1"/>
  <c r="J10" i="5"/>
  <c r="J12" i="5" s="1"/>
  <c r="K32" i="5"/>
  <c r="K34" i="5" s="1"/>
  <c r="K45" i="5" s="1"/>
  <c r="K48" i="5" s="1"/>
  <c r="L32" i="5"/>
  <c r="L34" i="5" s="1"/>
  <c r="L45" i="5" s="1"/>
  <c r="L48" i="5" s="1"/>
  <c r="L10" i="5"/>
  <c r="M32" i="5"/>
  <c r="M34" i="5" s="1"/>
  <c r="M45" i="5" s="1"/>
  <c r="M48" i="5" s="1"/>
  <c r="M10" i="5"/>
  <c r="N32" i="5"/>
  <c r="N34" i="5" s="1"/>
  <c r="N45" i="5" s="1"/>
  <c r="N48" i="5" s="1"/>
  <c r="N10" i="5"/>
  <c r="G10" i="5"/>
  <c r="K10" i="5"/>
  <c r="E27" i="5"/>
  <c r="E29" i="5" s="1"/>
  <c r="F27" i="5"/>
  <c r="F29" i="5" s="1"/>
  <c r="G27" i="5"/>
  <c r="G29" i="5" s="1"/>
  <c r="H27" i="5"/>
  <c r="H29" i="5" s="1"/>
  <c r="J27" i="5"/>
  <c r="J29" i="5" s="1"/>
  <c r="M27" i="5"/>
  <c r="M29" i="5" s="1"/>
  <c r="I12" i="5" l="1"/>
  <c r="B72" i="5"/>
  <c r="B74" i="5" s="1"/>
  <c r="E12" i="5"/>
  <c r="N27" i="5"/>
  <c r="N29" i="5" s="1"/>
  <c r="G12" i="5"/>
  <c r="G58" i="5"/>
  <c r="G60" i="5" s="1"/>
  <c r="K27" i="5"/>
  <c r="K29" i="5" s="1"/>
  <c r="D32" i="5"/>
  <c r="D34" i="5" s="1"/>
  <c r="D45" i="5" s="1"/>
  <c r="D48" i="5" s="1"/>
  <c r="F10" i="5"/>
  <c r="F12" i="5" s="1"/>
  <c r="L12" i="5"/>
  <c r="N12" i="5"/>
  <c r="M12" i="5"/>
  <c r="E58" i="5"/>
  <c r="K12" i="5"/>
  <c r="H10" i="5"/>
  <c r="H12" i="5" s="1"/>
  <c r="B32" i="5"/>
  <c r="B34" i="5" s="1"/>
  <c r="B45" i="5" s="1"/>
  <c r="B48" i="5" s="1"/>
  <c r="B60" i="5" s="1"/>
  <c r="B62" i="5" s="1"/>
  <c r="B27" i="5"/>
  <c r="B29" i="5" s="1"/>
  <c r="K58" i="5"/>
  <c r="L58" i="5"/>
  <c r="L27" i="5"/>
  <c r="L29" i="5" s="1"/>
  <c r="M58" i="5"/>
  <c r="N58" i="5"/>
  <c r="N60" i="5" s="1"/>
  <c r="N62" i="5" s="1"/>
  <c r="I58" i="5"/>
  <c r="J58" i="5"/>
  <c r="J60" i="5" s="1"/>
  <c r="C32" i="5"/>
  <c r="C34" i="5" s="1"/>
  <c r="C45" i="5" s="1"/>
  <c r="C48" i="5" s="1"/>
  <c r="C27" i="5"/>
  <c r="C29" i="5" s="1"/>
  <c r="H58" i="5"/>
  <c r="H60" i="5" s="1"/>
  <c r="F58" i="5"/>
  <c r="C60" i="5" l="1"/>
  <c r="C62" i="5" s="1"/>
  <c r="E60" i="5"/>
  <c r="E62" i="5" s="1"/>
  <c r="J62" i="5"/>
  <c r="D60" i="5"/>
  <c r="D62" i="5" s="1"/>
  <c r="F60" i="5"/>
  <c r="F62" i="5" s="1"/>
  <c r="H62" i="5"/>
  <c r="L60" i="5"/>
  <c r="L62" i="5" s="1"/>
  <c r="I60" i="5"/>
  <c r="I62" i="5" s="1"/>
  <c r="K62" i="5"/>
  <c r="G62" i="5"/>
  <c r="K60" i="5"/>
  <c r="M60" i="5"/>
  <c r="M62" i="5" s="1"/>
  <c r="D27" i="5"/>
  <c r="D29" i="5" s="1"/>
  <c r="B64" i="5" l="1"/>
  <c r="B77" i="5"/>
  <c r="B80" i="5" s="1"/>
</calcChain>
</file>

<file path=xl/sharedStrings.xml><?xml version="1.0" encoding="utf-8"?>
<sst xmlns="http://schemas.openxmlformats.org/spreadsheetml/2006/main" count="97" uniqueCount="93">
  <si>
    <t>Discount rate</t>
  </si>
  <si>
    <t>COGS</t>
  </si>
  <si>
    <t>Other operating expenses</t>
  </si>
  <si>
    <t>Time periods to discount back, years</t>
  </si>
  <si>
    <t>NOPLAT</t>
  </si>
  <si>
    <t>USD</t>
  </si>
  <si>
    <t>S, G&amp;A expenses</t>
  </si>
  <si>
    <t xml:space="preserve">EBITDA </t>
  </si>
  <si>
    <t>EBITA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</si>
  <si>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</si>
  <si>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</si>
  <si>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</si>
  <si>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</si>
  <si>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</si>
  <si>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</si>
  <si>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</si>
  <si>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</si>
  <si>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</si>
  <si>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</si>
  <si>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</si>
  <si>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</si>
  <si>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</si>
  <si>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Retained profit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</si>
  <si>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</si>
  <si>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</si>
  <si>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</si>
  <si>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</si>
  <si>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</si>
  <si>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</si>
  <si>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</si>
  <si>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</si>
  <si>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</si>
  <si>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</si>
  <si>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</si>
  <si>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Dep&amp;A, 7.3% x rev. after 2017 (operating fixed assets and operating intangible assets, capitalized software, operating P,P&amp;E)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</si>
  <si>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</si>
  <si>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</si>
  <si>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</si>
  <si>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</si>
  <si>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</si>
  <si>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a) Plant, property, equipment</t>
  </si>
  <si>
    <t>b) Increase in operating assets</t>
  </si>
  <si>
    <t>c) Increase in operating leases</t>
  </si>
  <si>
    <t>d) Increase in other operating provisions</t>
  </si>
  <si>
    <t>Less change in non-cash working capital</t>
  </si>
  <si>
    <t xml:space="preserve">Less Net Capital expenditures, 20% x rev. </t>
  </si>
  <si>
    <t xml:space="preserve"> non-cash working capital, 25% x rev. </t>
  </si>
  <si>
    <t>Discounted value of FCF , USD</t>
  </si>
  <si>
    <t>FCF from operations, adj. for R&amp;D,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</si>
  <si>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</si>
  <si>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</si>
  <si>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</si>
  <si>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</si>
  <si>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</si>
  <si>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>Stock comp expense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</si>
  <si>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</si>
  <si>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</si>
  <si>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</si>
  <si>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</si>
  <si>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</si>
  <si>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</si>
  <si>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Discounted fair value of operating EV at present</t>
  </si>
  <si>
    <t>Annual growth/decline after peak sales, percentage, 3%</t>
  </si>
  <si>
    <t>Estimated EV at peak revenue year, using EV/EBIT(1-t)=25.78</t>
  </si>
  <si>
    <t>Peak EBIT (1-t), at 17.52% of annual revenue, mean for sector, NYU data</t>
  </si>
  <si>
    <t xml:space="preserve">Peak forecasted revenue, USD </t>
  </si>
  <si>
    <t>Average for Pharmaceuticals</t>
  </si>
  <si>
    <t>EV/EBIT (1-t)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</si>
  <si>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</si>
  <si>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</si>
  <si>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</si>
  <si>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</si>
  <si>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</si>
  <si>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</si>
  <si>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</si>
  <si>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</si>
  <si>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</si>
  <si>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</si>
  <si>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</si>
  <si>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</si>
  <si>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Net Income (from line 25)</t>
  </si>
  <si>
    <t>Discount rate, 10%</t>
  </si>
  <si>
    <t>Undiluted share count</t>
  </si>
  <si>
    <t>Candidate PD pts with OFF symptoms, U.S.</t>
  </si>
  <si>
    <t>Candidate PD pts with OFF symptoms, Europe</t>
  </si>
  <si>
    <t>Total candidate PD  patients, US, Europe</t>
  </si>
  <si>
    <t>Probability of success, 67% (Milken Model)</t>
  </si>
  <si>
    <t>Peak market share, 5%</t>
  </si>
  <si>
    <t>Risk adjusted revenue, peak 2032 at patent expiry(U.S. plus Europe)</t>
  </si>
  <si>
    <t xml:space="preserve">R&amp;D expenses, 17.69% x rev and risk adj. at 67% probab. </t>
  </si>
  <si>
    <t>Net Income(loss), 17.5% of rev after 2017</t>
  </si>
  <si>
    <t>Contribution to fair value/share</t>
  </si>
  <si>
    <t>Annual cost of treatment, Tozadenant,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</si>
</sst>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0" fontId="5" fillId="9" borderId="0" xfId="0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0" fontId="7" fillId="6" borderId="0" xfId="0" applyFont="1" applyFill="1"/>
    <xf numFmtId="3" fontId="0" fillId="3" borderId="0" xfId="0" applyNumberFormat="1" applyFill="1"/>
    <xf numFmtId="42" fontId="1" fillId="0" borderId="0" xfId="0" applyNumberFormat="1" applyFont="1"/>
    <xf numFmtId="42" fontId="0" fillId="0" borderId="0" xfId="0" applyNumberFormat="1"/>
    <xf numFmtId="0" fontId="0" fillId="2" borderId="0" xfId="0" applyFill="1"/>
    <xf numFmtId="0" fontId="1" fillId="2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9" fontId="9" fillId="0" borderId="0" xfId="0" applyNumberFormat="1" applyFont="1" applyFill="1"/>
    <xf numFmtId="4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G1" workbookViewId="0">
      <selection activeCell="P8" sqref="P8"/>
    </sheetView>
  </sheetViews>
  <sheetFormatPr defaultColWidth="8.86328125" defaultRowHeight="14.25" x14ac:dyDescent="0.45"/>
  <cols>
    <col min="1" max="1" width="60" customWidth="1"/>
    <col min="2" max="2" width="23.86328125" customWidth="1"/>
    <col min="3" max="3" width="15.59765625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  <col min="14" max="14" width="14.86328125" customWidth="1"/>
    <col min="15" max="15" width="14.796875" customWidth="1"/>
    <col min="16" max="16" width="15.9296875" customWidth="1"/>
    <col min="17" max="17" width="13.59765625" customWidth="1"/>
  </cols>
  <sheetData>
    <row r="1" spans="1:17" s="39" customFormat="1" ht="13.15" x14ac:dyDescent="0.4">
      <c r="B1" s="40">
        <v>2016</v>
      </c>
      <c r="C1" s="40" t="s">
        <v>68</v>
      </c>
      <c r="D1" s="40" t="s">
        <v>69</v>
      </c>
      <c r="E1" s="40" t="s">
        <v>70</v>
      </c>
      <c r="F1" s="40" t="s">
        <v>71</v>
      </c>
      <c r="G1" s="40" t="s">
        <v>72</v>
      </c>
      <c r="H1" s="40" t="s">
        <v>73</v>
      </c>
      <c r="I1" s="40" t="s">
        <v>74</v>
      </c>
      <c r="J1" s="40" t="s">
        <v>75</v>
      </c>
      <c r="K1" s="40" t="s">
        <v>76</v>
      </c>
      <c r="L1" s="40" t="s">
        <v>77</v>
      </c>
      <c r="M1" s="40" t="s">
        <v>78</v>
      </c>
      <c r="N1" s="40" t="s">
        <v>79</v>
      </c>
      <c r="O1" s="39">
        <v>2029</v>
      </c>
      <c r="P1" s="39">
        <v>2030</v>
      </c>
      <c r="Q1" s="39">
        <v>2031</v>
      </c>
    </row>
    <row r="2" spans="1:17" s="39" customFormat="1" ht="13.15" x14ac:dyDescent="0.4">
      <c r="A2" s="38" t="s">
        <v>83</v>
      </c>
      <c r="B2" s="38">
        <v>350000</v>
      </c>
      <c r="C2" s="38">
        <f>B2+21000</f>
        <v>371000</v>
      </c>
      <c r="D2" s="38">
        <f t="shared" ref="D2:Q2" si="0">C2+21000</f>
        <v>392000</v>
      </c>
      <c r="E2" s="38">
        <f t="shared" si="0"/>
        <v>413000</v>
      </c>
      <c r="F2" s="38">
        <f t="shared" si="0"/>
        <v>434000</v>
      </c>
      <c r="G2" s="38">
        <f t="shared" si="0"/>
        <v>455000</v>
      </c>
      <c r="H2" s="38">
        <f t="shared" si="0"/>
        <v>476000</v>
      </c>
      <c r="I2" s="38">
        <f t="shared" si="0"/>
        <v>497000</v>
      </c>
      <c r="J2" s="38">
        <f t="shared" si="0"/>
        <v>518000</v>
      </c>
      <c r="K2" s="38">
        <f t="shared" si="0"/>
        <v>539000</v>
      </c>
      <c r="L2" s="38">
        <f t="shared" si="0"/>
        <v>560000</v>
      </c>
      <c r="M2" s="38">
        <f t="shared" si="0"/>
        <v>581000</v>
      </c>
      <c r="N2" s="38">
        <f t="shared" si="0"/>
        <v>602000</v>
      </c>
      <c r="O2" s="38">
        <f t="shared" si="0"/>
        <v>623000</v>
      </c>
      <c r="P2" s="38">
        <f t="shared" si="0"/>
        <v>644000</v>
      </c>
      <c r="Q2" s="38">
        <f t="shared" si="0"/>
        <v>665000</v>
      </c>
    </row>
    <row r="3" spans="1:17" x14ac:dyDescent="0.45">
      <c r="A3" s="38" t="s">
        <v>84</v>
      </c>
      <c r="B3" s="3">
        <v>787500</v>
      </c>
      <c r="C3" s="3">
        <f>B3+47250</f>
        <v>834750</v>
      </c>
      <c r="D3" s="3">
        <f t="shared" ref="D3:Q3" si="1">C3+47250</f>
        <v>882000</v>
      </c>
      <c r="E3" s="3">
        <f t="shared" si="1"/>
        <v>929250</v>
      </c>
      <c r="F3" s="3">
        <f t="shared" si="1"/>
        <v>976500</v>
      </c>
      <c r="G3" s="3">
        <f t="shared" si="1"/>
        <v>1023750</v>
      </c>
      <c r="H3" s="3">
        <f t="shared" si="1"/>
        <v>1071000</v>
      </c>
      <c r="I3" s="3">
        <f t="shared" si="1"/>
        <v>1118250</v>
      </c>
      <c r="J3" s="3">
        <f t="shared" si="1"/>
        <v>1165500</v>
      </c>
      <c r="K3" s="3">
        <f t="shared" si="1"/>
        <v>1212750</v>
      </c>
      <c r="L3" s="3">
        <f t="shared" si="1"/>
        <v>1260000</v>
      </c>
      <c r="M3" s="3">
        <f t="shared" si="1"/>
        <v>1307250</v>
      </c>
      <c r="N3" s="3">
        <f t="shared" si="1"/>
        <v>1354500</v>
      </c>
      <c r="O3" s="3">
        <f t="shared" si="1"/>
        <v>1401750</v>
      </c>
      <c r="P3" s="3">
        <f t="shared" si="1"/>
        <v>1449000</v>
      </c>
      <c r="Q3" s="3">
        <f t="shared" si="1"/>
        <v>1496250</v>
      </c>
    </row>
    <row r="4" spans="1:17" s="5" customFormat="1" x14ac:dyDescent="0.45">
      <c r="A4" s="5" t="s">
        <v>85</v>
      </c>
      <c r="B4" s="3">
        <f>B2+B3</f>
        <v>1137500</v>
      </c>
      <c r="C4" s="3">
        <f t="shared" ref="C4:Q4" si="2">C2+C3</f>
        <v>1205750</v>
      </c>
      <c r="D4" s="3">
        <f t="shared" si="2"/>
        <v>1274000</v>
      </c>
      <c r="E4" s="3">
        <f t="shared" si="2"/>
        <v>1342250</v>
      </c>
      <c r="F4" s="3">
        <f t="shared" si="2"/>
        <v>1410500</v>
      </c>
      <c r="G4" s="3">
        <f t="shared" si="2"/>
        <v>1478750</v>
      </c>
      <c r="H4" s="3">
        <f t="shared" si="2"/>
        <v>1547000</v>
      </c>
      <c r="I4" s="3">
        <f t="shared" si="2"/>
        <v>1615250</v>
      </c>
      <c r="J4" s="3">
        <f t="shared" si="2"/>
        <v>1683500</v>
      </c>
      <c r="K4" s="3">
        <f t="shared" si="2"/>
        <v>1751750</v>
      </c>
      <c r="L4" s="3">
        <f t="shared" si="2"/>
        <v>1820000</v>
      </c>
      <c r="M4" s="3">
        <f t="shared" si="2"/>
        <v>1888250</v>
      </c>
      <c r="N4" s="3">
        <f t="shared" si="2"/>
        <v>1956500</v>
      </c>
      <c r="O4" s="3">
        <f t="shared" si="2"/>
        <v>2024750</v>
      </c>
      <c r="P4" s="3">
        <f t="shared" si="2"/>
        <v>2093000</v>
      </c>
      <c r="Q4" s="3">
        <f t="shared" si="2"/>
        <v>2161250</v>
      </c>
    </row>
    <row r="5" spans="1:17" s="5" customFormat="1" x14ac:dyDescent="0.45">
      <c r="A5" s="5" t="s">
        <v>92</v>
      </c>
      <c r="B5" s="3">
        <v>15000</v>
      </c>
      <c r="C5" s="3">
        <v>15000</v>
      </c>
      <c r="D5" s="3">
        <v>15000</v>
      </c>
      <c r="E5" s="3">
        <v>15000</v>
      </c>
      <c r="F5" s="3">
        <v>15000</v>
      </c>
      <c r="G5" s="3">
        <v>15000</v>
      </c>
      <c r="H5" s="3">
        <v>15000</v>
      </c>
      <c r="I5" s="3">
        <v>15000</v>
      </c>
      <c r="J5" s="3">
        <v>15000</v>
      </c>
      <c r="K5" s="3">
        <v>15000</v>
      </c>
      <c r="L5" s="3">
        <v>15000</v>
      </c>
      <c r="M5" s="3">
        <v>15000</v>
      </c>
      <c r="N5" s="3">
        <v>15000</v>
      </c>
      <c r="O5" s="3">
        <v>15000</v>
      </c>
      <c r="P5" s="3">
        <v>15000</v>
      </c>
      <c r="Q5" s="3">
        <v>15000</v>
      </c>
    </row>
    <row r="6" spans="1:17" s="5" customFormat="1" x14ac:dyDescent="0.45">
      <c r="A6" s="5" t="s">
        <v>86</v>
      </c>
      <c r="B6" s="5">
        <v>0.67</v>
      </c>
      <c r="C6" s="5">
        <v>0.67</v>
      </c>
      <c r="D6" s="5">
        <v>0.67</v>
      </c>
      <c r="E6" s="5">
        <v>0.67</v>
      </c>
      <c r="F6" s="5">
        <v>0.67</v>
      </c>
      <c r="G6" s="5">
        <v>0.67</v>
      </c>
      <c r="H6" s="5">
        <v>0.67</v>
      </c>
      <c r="I6" s="5">
        <v>0.67</v>
      </c>
      <c r="J6" s="5">
        <v>0.67</v>
      </c>
      <c r="K6" s="5">
        <v>0.67</v>
      </c>
      <c r="L6" s="5">
        <v>0.67</v>
      </c>
      <c r="M6" s="5">
        <v>0.67</v>
      </c>
      <c r="N6" s="5">
        <v>0.67</v>
      </c>
      <c r="O6" s="5">
        <v>0.67</v>
      </c>
      <c r="P6" s="5">
        <v>0.67</v>
      </c>
      <c r="Q6" s="5">
        <v>0.67</v>
      </c>
    </row>
    <row r="7" spans="1:17" s="5" customFormat="1" x14ac:dyDescent="0.45">
      <c r="A7" s="5" t="s">
        <v>87</v>
      </c>
      <c r="B7" s="5">
        <v>0</v>
      </c>
      <c r="C7" s="5">
        <v>0.01</v>
      </c>
      <c r="D7" s="5">
        <v>0.02</v>
      </c>
      <c r="E7" s="5">
        <v>0.03</v>
      </c>
      <c r="F7" s="5">
        <v>0.04</v>
      </c>
      <c r="G7" s="5">
        <v>0.05</v>
      </c>
      <c r="H7" s="5">
        <v>0.05</v>
      </c>
      <c r="I7" s="5">
        <v>0.05</v>
      </c>
      <c r="J7" s="5">
        <v>0.05</v>
      </c>
      <c r="K7" s="5">
        <v>0.05</v>
      </c>
      <c r="L7" s="5">
        <v>0.05</v>
      </c>
      <c r="M7" s="5">
        <v>0.05</v>
      </c>
      <c r="N7" s="5">
        <v>0.05</v>
      </c>
      <c r="O7" s="5">
        <v>0.05</v>
      </c>
      <c r="P7" s="5">
        <v>0.05</v>
      </c>
      <c r="Q7" s="5">
        <v>0.05</v>
      </c>
    </row>
    <row r="8" spans="1:17" x14ac:dyDescent="0.45">
      <c r="A8" s="32" t="s">
        <v>88</v>
      </c>
      <c r="B8" s="33">
        <f>B4*B5*B6*B7</f>
        <v>0</v>
      </c>
      <c r="C8" s="33">
        <f t="shared" ref="C8:J8" si="3">C4*C5*C6*C7</f>
        <v>121177875</v>
      </c>
      <c r="D8" s="33">
        <f t="shared" si="3"/>
        <v>256074000</v>
      </c>
      <c r="E8" s="33">
        <f t="shared" si="3"/>
        <v>404688375</v>
      </c>
      <c r="F8" s="33">
        <f t="shared" si="3"/>
        <v>567021000</v>
      </c>
      <c r="G8" s="33">
        <f t="shared" si="3"/>
        <v>743071875</v>
      </c>
      <c r="H8" s="33">
        <f t="shared" si="3"/>
        <v>777367500</v>
      </c>
      <c r="I8" s="33">
        <f t="shared" si="3"/>
        <v>811663125.00000012</v>
      </c>
      <c r="J8" s="33">
        <f t="shared" si="3"/>
        <v>845958750.00000012</v>
      </c>
      <c r="K8" s="33">
        <f t="shared" ref="K8" si="4">K4*K5*K6*K7</f>
        <v>880254375</v>
      </c>
      <c r="L8" s="33">
        <f t="shared" ref="L8" si="5">L4*L5*L6*L7</f>
        <v>914550000</v>
      </c>
      <c r="M8" s="33">
        <f t="shared" ref="M8" si="6">M4*M5*M6*M7</f>
        <v>948845625</v>
      </c>
      <c r="N8" s="33">
        <f t="shared" ref="N8" si="7">N4*N5*N6*N7</f>
        <v>983141250</v>
      </c>
      <c r="O8" s="33">
        <f t="shared" ref="O8" si="8">O4*O5*O6*O7</f>
        <v>1017436875</v>
      </c>
      <c r="P8" s="33">
        <f t="shared" ref="P8" si="9">P4*P5*P6*P7</f>
        <v>1051732500</v>
      </c>
      <c r="Q8" s="33">
        <f>P8*0.97</f>
        <v>1020180525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selection activeCell="P62" sqref="P62"/>
    </sheetView>
  </sheetViews>
  <sheetFormatPr defaultColWidth="8.86328125" defaultRowHeight="14.25" x14ac:dyDescent="0.45"/>
  <cols>
    <col min="1" max="1" width="86.3984375" customWidth="1"/>
    <col min="2" max="2" width="22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3.1328125" customWidth="1"/>
    <col min="14" max="14" width="13.265625" customWidth="1"/>
    <col min="15" max="15" width="14.19921875" customWidth="1"/>
    <col min="16" max="16" width="15.796875" customWidth="1"/>
    <col min="17" max="17" width="13.86328125" customWidth="1"/>
  </cols>
  <sheetData>
    <row r="1" spans="1:17" s="7" customFormat="1" ht="26.85" customHeight="1" x14ac:dyDescent="0.4">
      <c r="A1" s="6" t="s">
        <v>36</v>
      </c>
    </row>
    <row r="2" spans="1:17" s="8" customFormat="1" ht="13.15" x14ac:dyDescent="0.4">
      <c r="A2" s="8" t="s">
        <v>5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  <c r="J2" s="8">
        <v>2024</v>
      </c>
      <c r="K2" s="8">
        <v>2025</v>
      </c>
      <c r="L2" s="8">
        <v>2026</v>
      </c>
      <c r="M2" s="8">
        <v>2027</v>
      </c>
      <c r="N2" s="8">
        <v>2028</v>
      </c>
      <c r="O2" s="8">
        <v>2029</v>
      </c>
      <c r="P2" s="8">
        <v>2030</v>
      </c>
      <c r="Q2" s="8">
        <v>2031</v>
      </c>
    </row>
    <row r="3" spans="1:17" s="8" customFormat="1" ht="13.15" x14ac:dyDescent="0.4"/>
    <row r="4" spans="1:17" s="22" customFormat="1" ht="29.1" customHeight="1" x14ac:dyDescent="0.4">
      <c r="A4" s="14" t="s">
        <v>88</v>
      </c>
      <c r="B4" s="23">
        <v>0</v>
      </c>
      <c r="C4" s="23">
        <v>121177875</v>
      </c>
      <c r="D4" s="23">
        <v>256074000</v>
      </c>
      <c r="E4" s="23">
        <v>404688375</v>
      </c>
      <c r="F4" s="23">
        <v>567021000</v>
      </c>
      <c r="G4" s="23">
        <v>743071875</v>
      </c>
      <c r="H4" s="23">
        <v>777367500</v>
      </c>
      <c r="I4" s="23">
        <v>811663125.00000012</v>
      </c>
      <c r="J4" s="23">
        <v>845958750.00000012</v>
      </c>
      <c r="K4" s="23">
        <v>880254375</v>
      </c>
      <c r="L4" s="23">
        <v>914550000</v>
      </c>
      <c r="M4" s="23">
        <v>948845625</v>
      </c>
      <c r="N4" s="23">
        <v>983141250</v>
      </c>
      <c r="O4" s="22">
        <v>1017436875</v>
      </c>
      <c r="P4" s="22">
        <v>1051732500</v>
      </c>
      <c r="Q4" s="22">
        <v>1020180525</v>
      </c>
    </row>
    <row r="5" spans="1:17" s="22" customFormat="1" ht="29.1" customHeight="1" x14ac:dyDescent="0.4">
      <c r="A5" s="1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7" s="7" customFormat="1" ht="12.75" x14ac:dyDescent="0.35">
      <c r="A6" s="7" t="s">
        <v>1</v>
      </c>
    </row>
    <row r="7" spans="1:17" s="7" customFormat="1" ht="12.75" x14ac:dyDescent="0.35">
      <c r="A7" s="7" t="s">
        <v>89</v>
      </c>
      <c r="B7" s="12">
        <v>50000000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7" customFormat="1" ht="12.75" x14ac:dyDescent="0.35">
      <c r="A8" s="7" t="s">
        <v>6</v>
      </c>
      <c r="B8" s="41">
        <v>40000000</v>
      </c>
      <c r="C8" s="9"/>
      <c r="D8" s="12"/>
    </row>
    <row r="9" spans="1:17" s="7" customFormat="1" ht="12.75" x14ac:dyDescent="0.35">
      <c r="A9" s="7" t="s">
        <v>2</v>
      </c>
    </row>
    <row r="10" spans="1:17" s="7" customFormat="1" ht="32.85" customHeight="1" x14ac:dyDescent="0.4">
      <c r="A10" s="14" t="s">
        <v>7</v>
      </c>
      <c r="B10" s="12">
        <f>B4-B6-B7-B8-B9</f>
        <v>-90000000</v>
      </c>
      <c r="C10" s="12">
        <f t="shared" ref="C10:K10" si="0">C4-C6-C7-C8-C9</f>
        <v>121177875</v>
      </c>
      <c r="D10" s="12">
        <f t="shared" si="0"/>
        <v>256074000</v>
      </c>
      <c r="E10" s="12">
        <f t="shared" si="0"/>
        <v>404688375</v>
      </c>
      <c r="F10" s="12">
        <f t="shared" si="0"/>
        <v>567021000</v>
      </c>
      <c r="G10" s="12">
        <f t="shared" si="0"/>
        <v>743071875</v>
      </c>
      <c r="H10" s="12">
        <f t="shared" si="0"/>
        <v>777367500</v>
      </c>
      <c r="I10" s="12">
        <f t="shared" si="0"/>
        <v>811663125.00000012</v>
      </c>
      <c r="J10" s="12">
        <f t="shared" si="0"/>
        <v>845958750.00000012</v>
      </c>
      <c r="K10" s="12">
        <f t="shared" si="0"/>
        <v>880254375</v>
      </c>
      <c r="L10" s="12">
        <f>L4-L6-L7-L8-L9</f>
        <v>914550000</v>
      </c>
      <c r="M10" s="12">
        <f t="shared" ref="M10" si="1">M4-M6-M7-M8-M9</f>
        <v>948845625</v>
      </c>
      <c r="N10" s="12">
        <f t="shared" ref="N10" si="2">N4-N6-N7-N8-N9</f>
        <v>983141250</v>
      </c>
    </row>
    <row r="11" spans="1:17" s="7" customFormat="1" ht="12.75" x14ac:dyDescent="0.35">
      <c r="A11" s="7" t="s">
        <v>34</v>
      </c>
      <c r="B11" s="12">
        <v>1200000</v>
      </c>
      <c r="C11" s="9">
        <f>C4*0.073</f>
        <v>8845984.875</v>
      </c>
      <c r="D11" s="9">
        <f t="shared" ref="D11:Q11" si="3">D4*0.073</f>
        <v>18693402</v>
      </c>
      <c r="E11" s="9">
        <f t="shared" si="3"/>
        <v>29542251.375</v>
      </c>
      <c r="F11" s="9">
        <f t="shared" si="3"/>
        <v>41392533</v>
      </c>
      <c r="G11" s="9">
        <f t="shared" si="3"/>
        <v>54244246.875</v>
      </c>
      <c r="H11" s="9">
        <f t="shared" si="3"/>
        <v>56747827.5</v>
      </c>
      <c r="I11" s="9">
        <f t="shared" si="3"/>
        <v>59251408.125000007</v>
      </c>
      <c r="J11" s="9">
        <f t="shared" si="3"/>
        <v>61754988.750000007</v>
      </c>
      <c r="K11" s="9">
        <f t="shared" si="3"/>
        <v>64258569.374999993</v>
      </c>
      <c r="L11" s="9">
        <f t="shared" si="3"/>
        <v>66762149.999999993</v>
      </c>
      <c r="M11" s="9">
        <f t="shared" si="3"/>
        <v>69265730.625</v>
      </c>
      <c r="N11" s="9">
        <f t="shared" si="3"/>
        <v>71769311.25</v>
      </c>
      <c r="O11" s="9">
        <f t="shared" si="3"/>
        <v>74272891.875</v>
      </c>
      <c r="P11" s="9">
        <f t="shared" si="3"/>
        <v>76776472.5</v>
      </c>
      <c r="Q11" s="9">
        <f t="shared" si="3"/>
        <v>74473178.324999988</v>
      </c>
    </row>
    <row r="12" spans="1:17" s="7" customFormat="1" ht="33.6" customHeight="1" x14ac:dyDescent="0.4">
      <c r="A12" s="10" t="s">
        <v>8</v>
      </c>
      <c r="B12" s="12">
        <f>B10-B11</f>
        <v>-91200000</v>
      </c>
      <c r="C12" s="12">
        <f t="shared" ref="C12:I12" si="4">C10-C11</f>
        <v>112331890.125</v>
      </c>
      <c r="D12" s="12">
        <f t="shared" si="4"/>
        <v>237380598</v>
      </c>
      <c r="E12" s="12">
        <f t="shared" si="4"/>
        <v>375146123.625</v>
      </c>
      <c r="F12" s="12">
        <f t="shared" si="4"/>
        <v>525628467</v>
      </c>
      <c r="G12" s="12">
        <f t="shared" si="4"/>
        <v>688827628.125</v>
      </c>
      <c r="H12" s="12">
        <f t="shared" si="4"/>
        <v>720619672.5</v>
      </c>
      <c r="I12" s="12">
        <f t="shared" si="4"/>
        <v>752411716.87500012</v>
      </c>
      <c r="J12" s="12">
        <f t="shared" ref="J12" si="5">J10-J11</f>
        <v>784203761.25000012</v>
      </c>
      <c r="K12" s="12">
        <f t="shared" ref="K12" si="6">K10-K11</f>
        <v>815995805.625</v>
      </c>
      <c r="L12" s="12">
        <f t="shared" ref="L12" si="7">L10-L11</f>
        <v>847787850</v>
      </c>
      <c r="M12" s="12">
        <f t="shared" ref="M12" si="8">M10-M11</f>
        <v>879579894.375</v>
      </c>
      <c r="N12" s="12">
        <f t="shared" ref="N12" si="9">N10-N11</f>
        <v>911371938.75</v>
      </c>
    </row>
    <row r="13" spans="1:17" s="7" customFormat="1" ht="12.75" x14ac:dyDescent="0.35">
      <c r="A13" s="7" t="s">
        <v>9</v>
      </c>
    </row>
    <row r="14" spans="1:17" s="7" customFormat="1" ht="12.75" x14ac:dyDescent="0.35">
      <c r="A14" s="7" t="s">
        <v>10</v>
      </c>
      <c r="B14" s="12"/>
    </row>
    <row r="15" spans="1:17" s="7" customFormat="1" ht="12.75" x14ac:dyDescent="0.35">
      <c r="A15" s="7" t="s">
        <v>33</v>
      </c>
      <c r="B15" s="12"/>
      <c r="C15" s="12"/>
    </row>
    <row r="16" spans="1:17" s="7" customFormat="1" ht="12.75" x14ac:dyDescent="0.35">
      <c r="A16" s="7" t="s">
        <v>11</v>
      </c>
      <c r="B16" s="12"/>
    </row>
    <row r="17" spans="1:17" s="7" customFormat="1" ht="12.75" x14ac:dyDescent="0.35">
      <c r="A17" s="7" t="s">
        <v>12</v>
      </c>
    </row>
    <row r="18" spans="1:17" s="7" customFormat="1" ht="12.75" x14ac:dyDescent="0.35">
      <c r="A18" s="7" t="s">
        <v>13</v>
      </c>
    </row>
    <row r="19" spans="1:17" s="7" customFormat="1" ht="12.75" x14ac:dyDescent="0.35">
      <c r="A19" s="7" t="s">
        <v>54</v>
      </c>
      <c r="B19" s="12"/>
    </row>
    <row r="20" spans="1:17" s="7" customFormat="1" ht="31.35" customHeight="1" x14ac:dyDescent="0.4">
      <c r="A20" s="14" t="s">
        <v>14</v>
      </c>
      <c r="B20" s="12"/>
      <c r="C20" s="12"/>
    </row>
    <row r="21" spans="1:17" s="7" customFormat="1" ht="12.75" x14ac:dyDescent="0.35">
      <c r="A21" s="7" t="s">
        <v>15</v>
      </c>
    </row>
    <row r="22" spans="1:17" s="7" customFormat="1" ht="12.75" x14ac:dyDescent="0.35">
      <c r="A22" s="7" t="s">
        <v>16</v>
      </c>
    </row>
    <row r="23" spans="1:17" s="7" customFormat="1" ht="29.85" customHeight="1" x14ac:dyDescent="0.4">
      <c r="A23" s="10" t="s">
        <v>17</v>
      </c>
      <c r="B23" s="12"/>
      <c r="C23" s="12"/>
    </row>
    <row r="24" spans="1:17" s="7" customFormat="1" ht="12.75" x14ac:dyDescent="0.35">
      <c r="A24" s="7" t="s">
        <v>18</v>
      </c>
    </row>
    <row r="25" spans="1:17" s="7" customFormat="1" ht="32.1" customHeight="1" x14ac:dyDescent="0.4">
      <c r="A25" s="14" t="s">
        <v>90</v>
      </c>
      <c r="B25" s="12">
        <f>B12+B16-B19-B14</f>
        <v>-91200000</v>
      </c>
      <c r="C25" s="12">
        <f>C4*0.175</f>
        <v>21206128.125</v>
      </c>
      <c r="D25" s="12">
        <f t="shared" ref="D25:Q25" si="10">D4*0.175</f>
        <v>44812950</v>
      </c>
      <c r="E25" s="12">
        <f t="shared" si="10"/>
        <v>70820465.625</v>
      </c>
      <c r="F25" s="12">
        <f t="shared" si="10"/>
        <v>99228675</v>
      </c>
      <c r="G25" s="12">
        <f t="shared" si="10"/>
        <v>130037578.12499999</v>
      </c>
      <c r="H25" s="12">
        <f t="shared" si="10"/>
        <v>136039312.5</v>
      </c>
      <c r="I25" s="12">
        <f t="shared" si="10"/>
        <v>142041046.875</v>
      </c>
      <c r="J25" s="12">
        <f t="shared" si="10"/>
        <v>148042781.25</v>
      </c>
      <c r="K25" s="12">
        <f t="shared" si="10"/>
        <v>154044515.625</v>
      </c>
      <c r="L25" s="12">
        <f t="shared" si="10"/>
        <v>160046250</v>
      </c>
      <c r="M25" s="12">
        <f t="shared" si="10"/>
        <v>166047984.375</v>
      </c>
      <c r="N25" s="12">
        <f t="shared" si="10"/>
        <v>172049718.75</v>
      </c>
      <c r="O25" s="12">
        <f t="shared" si="10"/>
        <v>178051453.125</v>
      </c>
      <c r="P25" s="12">
        <f>P4*0.175</f>
        <v>184053187.5</v>
      </c>
      <c r="Q25" s="12">
        <f t="shared" si="10"/>
        <v>178531591.875</v>
      </c>
    </row>
    <row r="26" spans="1:17" s="7" customFormat="1" ht="12.75" x14ac:dyDescent="0.35">
      <c r="A26" s="7" t="s">
        <v>19</v>
      </c>
    </row>
    <row r="27" spans="1:17" s="7" customFormat="1" ht="29.1" customHeight="1" x14ac:dyDescent="0.4">
      <c r="A27" s="10" t="s">
        <v>20</v>
      </c>
      <c r="B27" s="12">
        <f>B25-B26</f>
        <v>-91200000</v>
      </c>
      <c r="C27" s="12">
        <f>C25-C26</f>
        <v>21206128.125</v>
      </c>
      <c r="D27" s="12">
        <f t="shared" ref="D27:Q27" si="11">D25-D26</f>
        <v>44812950</v>
      </c>
      <c r="E27" s="12">
        <f t="shared" si="11"/>
        <v>70820465.625</v>
      </c>
      <c r="F27" s="12">
        <f t="shared" si="11"/>
        <v>99228675</v>
      </c>
      <c r="G27" s="12">
        <f t="shared" si="11"/>
        <v>130037578.12499999</v>
      </c>
      <c r="H27" s="12">
        <f t="shared" si="11"/>
        <v>136039312.5</v>
      </c>
      <c r="I27" s="12">
        <f t="shared" si="11"/>
        <v>142041046.875</v>
      </c>
      <c r="J27" s="12">
        <f t="shared" si="11"/>
        <v>148042781.25</v>
      </c>
      <c r="K27" s="12">
        <f t="shared" si="11"/>
        <v>154044515.625</v>
      </c>
      <c r="L27" s="12">
        <f t="shared" si="11"/>
        <v>160046250</v>
      </c>
      <c r="M27" s="12">
        <f t="shared" si="11"/>
        <v>166047984.375</v>
      </c>
      <c r="N27" s="12">
        <f t="shared" si="11"/>
        <v>172049718.75</v>
      </c>
      <c r="O27" s="12">
        <f t="shared" si="11"/>
        <v>178051453.125</v>
      </c>
      <c r="P27" s="12">
        <f t="shared" si="11"/>
        <v>184053187.5</v>
      </c>
      <c r="Q27" s="12">
        <f t="shared" si="11"/>
        <v>178531591.875</v>
      </c>
    </row>
    <row r="28" spans="1:17" s="7" customFormat="1" ht="12.75" x14ac:dyDescent="0.35">
      <c r="A28" s="7" t="s">
        <v>21</v>
      </c>
    </row>
    <row r="29" spans="1:17" s="7" customFormat="1" ht="35.1" customHeight="1" x14ac:dyDescent="0.4">
      <c r="A29" s="14" t="s">
        <v>22</v>
      </c>
      <c r="B29" s="12">
        <f>B27-B28</f>
        <v>-91200000</v>
      </c>
      <c r="C29" s="12">
        <f>C27-C28</f>
        <v>21206128.125</v>
      </c>
      <c r="D29" s="12">
        <f t="shared" ref="D29:J29" si="12">D27-D28</f>
        <v>44812950</v>
      </c>
      <c r="E29" s="12">
        <f t="shared" si="12"/>
        <v>70820465.625</v>
      </c>
      <c r="F29" s="12">
        <f t="shared" si="12"/>
        <v>99228675</v>
      </c>
      <c r="G29" s="12">
        <f t="shared" si="12"/>
        <v>130037578.12499999</v>
      </c>
      <c r="H29" s="12">
        <f t="shared" si="12"/>
        <v>136039312.5</v>
      </c>
      <c r="I29" s="12">
        <f t="shared" si="12"/>
        <v>142041046.875</v>
      </c>
      <c r="J29" s="12">
        <f t="shared" si="12"/>
        <v>148042781.25</v>
      </c>
      <c r="K29" s="12">
        <f>K27-K28</f>
        <v>154044515.625</v>
      </c>
      <c r="L29" s="12">
        <f t="shared" ref="L29" si="13">L27-L28</f>
        <v>160046250</v>
      </c>
      <c r="M29" s="12">
        <f t="shared" ref="M29" si="14">M27-M28</f>
        <v>166047984.375</v>
      </c>
      <c r="N29" s="12">
        <f t="shared" ref="N29:Q29" si="15">N27-N28</f>
        <v>172049718.75</v>
      </c>
      <c r="O29" s="12">
        <f t="shared" si="15"/>
        <v>178051453.125</v>
      </c>
      <c r="P29" s="12">
        <f t="shared" si="15"/>
        <v>184053187.5</v>
      </c>
      <c r="Q29" s="12">
        <f t="shared" si="15"/>
        <v>178531591.875</v>
      </c>
    </row>
    <row r="30" spans="1:17" s="11" customFormat="1" ht="12.75" x14ac:dyDescent="0.35"/>
    <row r="31" spans="1:17" s="7" customFormat="1" ht="26.1" customHeight="1" x14ac:dyDescent="0.4">
      <c r="A31" s="6" t="s">
        <v>37</v>
      </c>
      <c r="B31" s="13"/>
    </row>
    <row r="32" spans="1:17" s="7" customFormat="1" ht="24.75" customHeight="1" x14ac:dyDescent="0.4">
      <c r="A32" s="14" t="s">
        <v>80</v>
      </c>
      <c r="B32" s="12">
        <f>B25</f>
        <v>-91200000</v>
      </c>
      <c r="C32" s="12">
        <f t="shared" ref="C32:Q32" si="16">C25</f>
        <v>21206128.125</v>
      </c>
      <c r="D32" s="12">
        <f t="shared" si="16"/>
        <v>44812950</v>
      </c>
      <c r="E32" s="12">
        <f t="shared" si="16"/>
        <v>70820465.625</v>
      </c>
      <c r="F32" s="12">
        <f t="shared" si="16"/>
        <v>99228675</v>
      </c>
      <c r="G32" s="12">
        <f t="shared" si="16"/>
        <v>130037578.12499999</v>
      </c>
      <c r="H32" s="12">
        <f t="shared" si="16"/>
        <v>136039312.5</v>
      </c>
      <c r="I32" s="12">
        <f t="shared" si="16"/>
        <v>142041046.875</v>
      </c>
      <c r="J32" s="12">
        <f t="shared" si="16"/>
        <v>148042781.25</v>
      </c>
      <c r="K32" s="12">
        <f t="shared" si="16"/>
        <v>154044515.625</v>
      </c>
      <c r="L32" s="12">
        <f t="shared" si="16"/>
        <v>160046250</v>
      </c>
      <c r="M32" s="12">
        <f t="shared" si="16"/>
        <v>166047984.375</v>
      </c>
      <c r="N32" s="12">
        <f t="shared" si="16"/>
        <v>172049718.75</v>
      </c>
      <c r="O32" s="12">
        <f t="shared" si="16"/>
        <v>178051453.125</v>
      </c>
      <c r="P32" s="12">
        <f t="shared" si="16"/>
        <v>184053187.5</v>
      </c>
      <c r="Q32" s="12">
        <f t="shared" si="16"/>
        <v>178531591.875</v>
      </c>
    </row>
    <row r="33" spans="1:17" s="7" customFormat="1" ht="12.75" x14ac:dyDescent="0.35">
      <c r="A33" s="7" t="s">
        <v>23</v>
      </c>
    </row>
    <row r="34" spans="1:17" s="7" customFormat="1" ht="33.6" customHeight="1" x14ac:dyDescent="0.4">
      <c r="A34" s="10" t="s">
        <v>24</v>
      </c>
      <c r="B34" s="12">
        <f>B32-B33</f>
        <v>-91200000</v>
      </c>
      <c r="C34" s="12">
        <f t="shared" ref="C34:Q34" si="17">C32-C33</f>
        <v>21206128.125</v>
      </c>
      <c r="D34" s="12">
        <f t="shared" si="17"/>
        <v>44812950</v>
      </c>
      <c r="E34" s="12">
        <f t="shared" si="17"/>
        <v>70820465.625</v>
      </c>
      <c r="F34" s="12">
        <f t="shared" si="17"/>
        <v>99228675</v>
      </c>
      <c r="G34" s="12">
        <f t="shared" si="17"/>
        <v>130037578.12499999</v>
      </c>
      <c r="H34" s="12">
        <f t="shared" si="17"/>
        <v>136039312.5</v>
      </c>
      <c r="I34" s="12">
        <f t="shared" si="17"/>
        <v>142041046.875</v>
      </c>
      <c r="J34" s="12">
        <f t="shared" si="17"/>
        <v>148042781.25</v>
      </c>
      <c r="K34" s="12">
        <f t="shared" si="17"/>
        <v>154044515.625</v>
      </c>
      <c r="L34" s="12">
        <f t="shared" si="17"/>
        <v>160046250</v>
      </c>
      <c r="M34" s="12">
        <f t="shared" si="17"/>
        <v>166047984.375</v>
      </c>
      <c r="N34" s="12">
        <f t="shared" si="17"/>
        <v>172049718.75</v>
      </c>
      <c r="O34" s="12">
        <f t="shared" si="17"/>
        <v>178051453.125</v>
      </c>
      <c r="P34" s="12">
        <f t="shared" si="17"/>
        <v>184053187.5</v>
      </c>
      <c r="Q34" s="12">
        <f t="shared" si="17"/>
        <v>178531591.875</v>
      </c>
    </row>
    <row r="35" spans="1:17" s="7" customFormat="1" ht="12.75" x14ac:dyDescent="0.35">
      <c r="A35" s="7" t="s">
        <v>25</v>
      </c>
    </row>
    <row r="36" spans="1:17" s="7" customFormat="1" ht="12.75" x14ac:dyDescent="0.35">
      <c r="A36" s="7" t="s">
        <v>26</v>
      </c>
      <c r="B36" s="12"/>
    </row>
    <row r="37" spans="1:17" s="7" customFormat="1" ht="12.75" x14ac:dyDescent="0.35">
      <c r="A37" s="7" t="s">
        <v>27</v>
      </c>
    </row>
    <row r="38" spans="1:17" s="7" customFormat="1" ht="12.75" x14ac:dyDescent="0.35">
      <c r="A38" s="7" t="s">
        <v>28</v>
      </c>
    </row>
    <row r="39" spans="1:17" s="7" customFormat="1" ht="12.75" x14ac:dyDescent="0.35">
      <c r="A39" s="7" t="s">
        <v>29</v>
      </c>
    </row>
    <row r="40" spans="1:17" s="7" customFormat="1" ht="12.75" x14ac:dyDescent="0.35">
      <c r="A40" s="7" t="s">
        <v>30</v>
      </c>
    </row>
    <row r="41" spans="1:17" s="7" customFormat="1" ht="12.75" x14ac:dyDescent="0.35">
      <c r="A41" s="7" t="s">
        <v>12</v>
      </c>
    </row>
    <row r="42" spans="1:17" s="7" customFormat="1" ht="12.75" x14ac:dyDescent="0.35">
      <c r="A42" s="7" t="s">
        <v>31</v>
      </c>
      <c r="B42" s="12"/>
    </row>
    <row r="43" spans="1:17" s="7" customFormat="1" ht="12.75" x14ac:dyDescent="0.35">
      <c r="A43" s="7" t="s">
        <v>35</v>
      </c>
      <c r="B43" s="12"/>
      <c r="C43" s="12"/>
    </row>
    <row r="44" spans="1:17" s="7" customFormat="1" ht="12.75" x14ac:dyDescent="0.35">
      <c r="A44" s="7" t="s">
        <v>32</v>
      </c>
    </row>
    <row r="45" spans="1:17" s="7" customFormat="1" ht="32.85" customHeight="1" x14ac:dyDescent="0.4">
      <c r="A45" s="14" t="s">
        <v>55</v>
      </c>
      <c r="B45" s="12">
        <f>B34+B41-B42</f>
        <v>-91200000</v>
      </c>
      <c r="C45" s="12">
        <f>C34</f>
        <v>21206128.125</v>
      </c>
      <c r="D45" s="12">
        <f>D34</f>
        <v>44812950</v>
      </c>
      <c r="E45" s="12">
        <f t="shared" ref="E45:Q45" si="18">E34</f>
        <v>70820465.625</v>
      </c>
      <c r="F45" s="12">
        <f t="shared" si="18"/>
        <v>99228675</v>
      </c>
      <c r="G45" s="12">
        <f t="shared" si="18"/>
        <v>130037578.12499999</v>
      </c>
      <c r="H45" s="12">
        <f t="shared" si="18"/>
        <v>136039312.5</v>
      </c>
      <c r="I45" s="12">
        <f t="shared" si="18"/>
        <v>142041046.875</v>
      </c>
      <c r="J45" s="12">
        <f t="shared" si="18"/>
        <v>148042781.25</v>
      </c>
      <c r="K45" s="12">
        <f t="shared" si="18"/>
        <v>154044515.625</v>
      </c>
      <c r="L45" s="12">
        <f>L34</f>
        <v>160046250</v>
      </c>
      <c r="M45" s="12">
        <f t="shared" si="18"/>
        <v>166047984.375</v>
      </c>
      <c r="N45" s="12">
        <f t="shared" si="18"/>
        <v>172049718.75</v>
      </c>
      <c r="O45" s="12">
        <f t="shared" si="18"/>
        <v>178051453.125</v>
      </c>
      <c r="P45" s="12">
        <f t="shared" si="18"/>
        <v>184053187.5</v>
      </c>
      <c r="Q45" s="12">
        <f t="shared" si="18"/>
        <v>178531591.875</v>
      </c>
    </row>
    <row r="46" spans="1:17" s="16" customFormat="1" x14ac:dyDescent="0.45"/>
    <row r="47" spans="1:17" x14ac:dyDescent="0.45">
      <c r="A47" s="17" t="s">
        <v>38</v>
      </c>
      <c r="B47" s="18"/>
    </row>
    <row r="48" spans="1:17" x14ac:dyDescent="0.45">
      <c r="A48" s="21" t="s">
        <v>4</v>
      </c>
      <c r="B48" s="3">
        <f>B45</f>
        <v>-91200000</v>
      </c>
      <c r="C48" s="3">
        <f t="shared" ref="C48:Q48" si="19">C45</f>
        <v>21206128.125</v>
      </c>
      <c r="D48" s="3">
        <f t="shared" si="19"/>
        <v>44812950</v>
      </c>
      <c r="E48" s="3">
        <f t="shared" si="19"/>
        <v>70820465.625</v>
      </c>
      <c r="F48" s="3">
        <f t="shared" si="19"/>
        <v>99228675</v>
      </c>
      <c r="G48" s="3">
        <f t="shared" si="19"/>
        <v>130037578.12499999</v>
      </c>
      <c r="H48" s="3">
        <f t="shared" si="19"/>
        <v>136039312.5</v>
      </c>
      <c r="I48" s="3">
        <f t="shared" si="19"/>
        <v>142041046.875</v>
      </c>
      <c r="J48" s="3">
        <f t="shared" si="19"/>
        <v>148042781.25</v>
      </c>
      <c r="K48" s="3">
        <f t="shared" si="19"/>
        <v>154044515.625</v>
      </c>
      <c r="L48" s="3">
        <f>L45</f>
        <v>160046250</v>
      </c>
      <c r="M48" s="3">
        <f t="shared" si="19"/>
        <v>166047984.375</v>
      </c>
      <c r="N48" s="3">
        <f t="shared" si="19"/>
        <v>172049718.75</v>
      </c>
      <c r="O48" s="3">
        <f t="shared" si="19"/>
        <v>178051453.125</v>
      </c>
      <c r="P48" s="3">
        <f t="shared" si="19"/>
        <v>184053187.5</v>
      </c>
      <c r="Q48" s="3">
        <f t="shared" si="19"/>
        <v>178531591.875</v>
      </c>
    </row>
    <row r="49" spans="1:17" x14ac:dyDescent="0.45">
      <c r="A49" s="20" t="s">
        <v>39</v>
      </c>
    </row>
    <row r="50" spans="1:17" x14ac:dyDescent="0.45">
      <c r="A50" s="19" t="s">
        <v>34</v>
      </c>
      <c r="B50">
        <v>1200000</v>
      </c>
      <c r="C50" s="2">
        <v>8845984.875</v>
      </c>
      <c r="D50" s="2">
        <v>18693402</v>
      </c>
      <c r="E50" s="2">
        <v>29542251.375</v>
      </c>
      <c r="F50" s="2">
        <v>41392533</v>
      </c>
      <c r="G50" s="2">
        <v>54244246.875</v>
      </c>
      <c r="H50" s="2">
        <v>56747827.5</v>
      </c>
      <c r="I50" s="2">
        <v>59251408.125000007</v>
      </c>
      <c r="J50" s="2">
        <v>61754988.750000007</v>
      </c>
      <c r="K50" s="2">
        <v>64258569.374999993</v>
      </c>
      <c r="L50" s="2">
        <v>66762149.999999993</v>
      </c>
      <c r="M50" s="2">
        <v>69265730.625</v>
      </c>
      <c r="N50" s="2">
        <v>71769311.25</v>
      </c>
      <c r="O50" s="2">
        <v>74272891.875</v>
      </c>
      <c r="P50" s="2">
        <v>76776472.5</v>
      </c>
      <c r="Q50" s="2">
        <v>79280053.125</v>
      </c>
    </row>
    <row r="51" spans="1:17" x14ac:dyDescent="0.45">
      <c r="A51" s="19"/>
    </row>
    <row r="52" spans="1:17" x14ac:dyDescent="0.45">
      <c r="A52" s="20" t="s">
        <v>45</v>
      </c>
      <c r="B52" s="3">
        <v>1000000</v>
      </c>
      <c r="C52" s="3">
        <f>C4*0.2</f>
        <v>24235575</v>
      </c>
      <c r="D52" s="3">
        <f t="shared" ref="D52:P52" si="20">D4*0.2</f>
        <v>51214800</v>
      </c>
      <c r="E52" s="3">
        <f t="shared" si="20"/>
        <v>80937675</v>
      </c>
      <c r="F52" s="3">
        <f t="shared" si="20"/>
        <v>113404200</v>
      </c>
      <c r="G52" s="3">
        <f t="shared" si="20"/>
        <v>148614375</v>
      </c>
      <c r="H52" s="3">
        <f t="shared" si="20"/>
        <v>155473500</v>
      </c>
      <c r="I52" s="3">
        <f t="shared" si="20"/>
        <v>162332625.00000003</v>
      </c>
      <c r="J52" s="3">
        <f t="shared" si="20"/>
        <v>169191750.00000003</v>
      </c>
      <c r="K52" s="3">
        <f t="shared" si="20"/>
        <v>176050875</v>
      </c>
      <c r="L52" s="3">
        <f t="shared" si="20"/>
        <v>182910000</v>
      </c>
      <c r="M52" s="3">
        <f t="shared" si="20"/>
        <v>189769125</v>
      </c>
      <c r="N52" s="3">
        <f t="shared" si="20"/>
        <v>196628250</v>
      </c>
      <c r="O52" s="3">
        <f t="shared" si="20"/>
        <v>203487375</v>
      </c>
      <c r="P52" s="3">
        <f t="shared" si="20"/>
        <v>210346500</v>
      </c>
      <c r="Q52" s="3">
        <f>Q4*0.2</f>
        <v>204036105</v>
      </c>
    </row>
    <row r="53" spans="1:17" x14ac:dyDescent="0.45">
      <c r="A53" s="19" t="s">
        <v>40</v>
      </c>
      <c r="B53" s="3"/>
      <c r="C53" s="3"/>
      <c r="D53" s="2"/>
    </row>
    <row r="54" spans="1:17" x14ac:dyDescent="0.45">
      <c r="A54" s="19" t="s">
        <v>41</v>
      </c>
    </row>
    <row r="55" spans="1:17" x14ac:dyDescent="0.45">
      <c r="A55" s="19" t="s">
        <v>42</v>
      </c>
    </row>
    <row r="56" spans="1:17" x14ac:dyDescent="0.45">
      <c r="A56" s="19" t="s">
        <v>43</v>
      </c>
    </row>
    <row r="57" spans="1:17" x14ac:dyDescent="0.45">
      <c r="A57" s="24" t="s">
        <v>46</v>
      </c>
      <c r="B57" s="3">
        <v>0</v>
      </c>
      <c r="C57" s="3">
        <f>C4*0.25</f>
        <v>30294468.75</v>
      </c>
      <c r="D57" s="3">
        <f t="shared" ref="D57:Q57" si="21">D4*0.25</f>
        <v>64018500</v>
      </c>
      <c r="E57" s="3">
        <f t="shared" si="21"/>
        <v>101172093.75</v>
      </c>
      <c r="F57" s="3">
        <f t="shared" si="21"/>
        <v>141755250</v>
      </c>
      <c r="G57" s="3">
        <f t="shared" si="21"/>
        <v>185767968.75</v>
      </c>
      <c r="H57" s="3">
        <f t="shared" si="21"/>
        <v>194341875</v>
      </c>
      <c r="I57" s="3">
        <f t="shared" si="21"/>
        <v>202915781.25000003</v>
      </c>
      <c r="J57" s="3">
        <f t="shared" si="21"/>
        <v>211489687.50000003</v>
      </c>
      <c r="K57" s="3">
        <f t="shared" si="21"/>
        <v>220063593.75</v>
      </c>
      <c r="L57" s="3">
        <f t="shared" si="21"/>
        <v>228637500</v>
      </c>
      <c r="M57" s="3">
        <f t="shared" si="21"/>
        <v>237211406.25</v>
      </c>
      <c r="N57" s="3">
        <f t="shared" si="21"/>
        <v>245785312.5</v>
      </c>
      <c r="O57" s="3">
        <f t="shared" si="21"/>
        <v>254359218.75</v>
      </c>
      <c r="P57" s="3">
        <f t="shared" si="21"/>
        <v>262933125</v>
      </c>
      <c r="Q57" s="3">
        <f t="shared" si="21"/>
        <v>255045131.25</v>
      </c>
    </row>
    <row r="58" spans="1:17" x14ac:dyDescent="0.45">
      <c r="A58" s="24" t="s">
        <v>44</v>
      </c>
      <c r="B58">
        <v>0</v>
      </c>
      <c r="C58" s="3">
        <f>C57-B57</f>
        <v>30294468.75</v>
      </c>
      <c r="D58" s="3">
        <f>D57-C57</f>
        <v>33724031.25</v>
      </c>
      <c r="E58" s="3">
        <f t="shared" ref="E58:I58" si="22">E57-D57</f>
        <v>37153593.75</v>
      </c>
      <c r="F58" s="3">
        <f t="shared" si="22"/>
        <v>40583156.25</v>
      </c>
      <c r="G58" s="3">
        <f t="shared" si="22"/>
        <v>44012718.75</v>
      </c>
      <c r="H58" s="3">
        <f t="shared" si="22"/>
        <v>8573906.25</v>
      </c>
      <c r="I58" s="3">
        <f t="shared" si="22"/>
        <v>8573906.2500000298</v>
      </c>
      <c r="J58" s="3">
        <f t="shared" ref="J58" si="23">J57-I57</f>
        <v>8573906.25</v>
      </c>
      <c r="K58" s="3">
        <f t="shared" ref="K58" si="24">K57-J57</f>
        <v>8573906.2499999702</v>
      </c>
      <c r="L58" s="3">
        <f t="shared" ref="L58" si="25">L57-K57</f>
        <v>8573906.25</v>
      </c>
      <c r="M58" s="3">
        <f t="shared" ref="M58" si="26">M57-L57</f>
        <v>8573906.25</v>
      </c>
      <c r="N58" s="3">
        <f t="shared" ref="N58" si="27">N57-M57</f>
        <v>8573906.25</v>
      </c>
      <c r="O58" s="3">
        <f t="shared" ref="O58" si="28">O57-N57</f>
        <v>8573906.25</v>
      </c>
      <c r="P58" s="3">
        <f t="shared" ref="P58" si="29">P57-O57</f>
        <v>8573906.25</v>
      </c>
      <c r="Q58" s="3">
        <f t="shared" ref="Q58" si="30">Q57-P57</f>
        <v>-7887993.75</v>
      </c>
    </row>
    <row r="60" spans="1:17" x14ac:dyDescent="0.45">
      <c r="A60" s="27" t="s">
        <v>48</v>
      </c>
      <c r="B60" s="3">
        <f>B48+B50-B52-B58</f>
        <v>-91000000</v>
      </c>
      <c r="C60" s="3">
        <f t="shared" ref="C60:Q60" si="31">C48+C50-C52-C58</f>
        <v>-24477930.75</v>
      </c>
      <c r="D60" s="3">
        <f t="shared" si="31"/>
        <v>-21432479.25</v>
      </c>
      <c r="E60" s="3">
        <f t="shared" si="31"/>
        <v>-17728551.75</v>
      </c>
      <c r="F60" s="3">
        <f t="shared" si="31"/>
        <v>-13366148.25</v>
      </c>
      <c r="G60" s="3">
        <f t="shared" si="31"/>
        <v>-8345268.75</v>
      </c>
      <c r="H60" s="3">
        <f t="shared" si="31"/>
        <v>28739733.75</v>
      </c>
      <c r="I60" s="3">
        <f>I48+I50-I52-I58</f>
        <v>30385923.74999994</v>
      </c>
      <c r="J60" s="3">
        <f t="shared" si="31"/>
        <v>32032113.74999997</v>
      </c>
      <c r="K60" s="3">
        <f t="shared" si="31"/>
        <v>33678303.75000003</v>
      </c>
      <c r="L60" s="3">
        <f t="shared" si="31"/>
        <v>35324493.75</v>
      </c>
      <c r="M60" s="3">
        <f t="shared" si="31"/>
        <v>36970683.75</v>
      </c>
      <c r="N60" s="3">
        <f t="shared" si="31"/>
        <v>38616873.75</v>
      </c>
      <c r="O60" s="3">
        <f t="shared" si="31"/>
        <v>40263063.75</v>
      </c>
      <c r="P60" s="3">
        <f>P48+P50-P52-P58</f>
        <v>41909253.75</v>
      </c>
      <c r="Q60" s="3">
        <f t="shared" si="31"/>
        <v>61663533.75</v>
      </c>
    </row>
    <row r="61" spans="1:17" x14ac:dyDescent="0.45">
      <c r="A61" t="s">
        <v>0</v>
      </c>
      <c r="B61">
        <v>0.12</v>
      </c>
      <c r="C61" s="5">
        <v>0.12</v>
      </c>
      <c r="D61" s="5">
        <v>0.12</v>
      </c>
      <c r="E61" s="5">
        <v>0.12</v>
      </c>
      <c r="F61" s="5">
        <v>0.12</v>
      </c>
      <c r="G61" s="5">
        <v>0.12</v>
      </c>
      <c r="H61" s="5">
        <v>0.12</v>
      </c>
      <c r="I61" s="5">
        <v>0.12</v>
      </c>
      <c r="J61" s="5">
        <v>0.12</v>
      </c>
      <c r="K61" s="5">
        <v>0.12</v>
      </c>
      <c r="L61" s="5">
        <v>0.12</v>
      </c>
      <c r="M61" s="5">
        <v>0.1</v>
      </c>
      <c r="N61" s="5">
        <v>0.1</v>
      </c>
      <c r="O61" s="5">
        <v>0.1</v>
      </c>
      <c r="P61" s="5">
        <v>0.1</v>
      </c>
      <c r="Q61" s="5">
        <v>0.1</v>
      </c>
    </row>
    <row r="62" spans="1:17" x14ac:dyDescent="0.45">
      <c r="A62" s="26" t="s">
        <v>47</v>
      </c>
      <c r="B62" s="2">
        <f>(B60)/((1+B61)^0.5)</f>
        <v>-85986917.609599188</v>
      </c>
      <c r="C62" s="2">
        <f>(C60)/((1+C61)^1.5)</f>
        <v>-20651312.938125238</v>
      </c>
      <c r="D62" s="2">
        <f>(D60)/((1+D61)^2.5)</f>
        <v>-16144602.449393028</v>
      </c>
      <c r="E62" s="2">
        <f>(E60)/((1+E61)^3.5)</f>
        <v>-11923676.372393392</v>
      </c>
      <c r="F62" s="2">
        <f>(F60)/((1+F61)^4.5)</f>
        <v>-8026480.8109422512</v>
      </c>
      <c r="G62" s="2">
        <f>(G60)/((1+G61)^5.5)</f>
        <v>-4474465.8985293992</v>
      </c>
      <c r="H62" s="2">
        <f>(H60)/((1+H61)^6.5)</f>
        <v>13758325.915977137</v>
      </c>
      <c r="I62" s="2">
        <f>(I60)/((1+I61)^7.5)</f>
        <v>12987850.282939525</v>
      </c>
      <c r="J62" s="2">
        <f>(J60)/((1+J61)^8.5)</f>
        <v>12224536.605394961</v>
      </c>
      <c r="K62" s="2">
        <f>(K60)/((1+K61)^9.5)</f>
        <v>11475694.924382335</v>
      </c>
      <c r="L62" s="2">
        <f>(L60)/((1+L61)^10.5)</f>
        <v>10746986.62724923</v>
      </c>
      <c r="M62" s="2">
        <f>(M60)/((1+M61)^11.5)</f>
        <v>12354967.386705935</v>
      </c>
      <c r="N62" s="2">
        <f>(N60)/((1+N61)^12.5)</f>
        <v>11731905.27696988</v>
      </c>
      <c r="O62" s="2">
        <f>(O60)/((1+O61)^13.5)</f>
        <v>11120020.018700659</v>
      </c>
      <c r="P62" s="2">
        <f>(P60)/((1+P61)^14.5)</f>
        <v>10522428.730720308</v>
      </c>
      <c r="Q62" s="2">
        <f>(Q60)/((1+Q61)^15.5)</f>
        <v>14074785.640407017</v>
      </c>
    </row>
    <row r="64" spans="1:17" x14ac:dyDescent="0.45">
      <c r="A64" s="15" t="s">
        <v>49</v>
      </c>
      <c r="B64" s="31">
        <f>SUM(B62:P62)</f>
        <v>-40284740.309942573</v>
      </c>
    </row>
    <row r="65" spans="1:7" x14ac:dyDescent="0.45">
      <c r="A65" s="16"/>
      <c r="B65" s="16"/>
      <c r="C65" s="16"/>
      <c r="D65" s="16"/>
      <c r="E65" s="16"/>
      <c r="F65" s="16"/>
      <c r="G65" s="16"/>
    </row>
    <row r="66" spans="1:7" ht="15.75" x14ac:dyDescent="0.5">
      <c r="A66" s="28" t="s">
        <v>50</v>
      </c>
    </row>
    <row r="68" spans="1:7" x14ac:dyDescent="0.45">
      <c r="A68" t="s">
        <v>56</v>
      </c>
      <c r="B68" s="25">
        <f>Q48</f>
        <v>178531591.875</v>
      </c>
      <c r="D68" s="25"/>
      <c r="E68" s="25"/>
    </row>
    <row r="69" spans="1:7" x14ac:dyDescent="0.45">
      <c r="A69" t="s">
        <v>59</v>
      </c>
      <c r="B69" s="4">
        <v>0.1</v>
      </c>
    </row>
    <row r="70" spans="1:7" x14ac:dyDescent="0.45">
      <c r="A70" t="s">
        <v>51</v>
      </c>
      <c r="B70" s="4">
        <v>-0.03</v>
      </c>
    </row>
    <row r="71" spans="1:7" s="5" customFormat="1" x14ac:dyDescent="0.45">
      <c r="A71" s="5" t="s">
        <v>57</v>
      </c>
      <c r="B71" s="4">
        <v>0.1</v>
      </c>
    </row>
    <row r="72" spans="1:7" x14ac:dyDescent="0.45">
      <c r="A72" t="s">
        <v>58</v>
      </c>
      <c r="B72" s="25">
        <f>(B68*(1-(B70/B71)))/(B69-B70)</f>
        <v>1785315918.75</v>
      </c>
      <c r="C72" t="s">
        <v>60</v>
      </c>
      <c r="D72" s="29"/>
    </row>
    <row r="73" spans="1:7" x14ac:dyDescent="0.45">
      <c r="A73" t="s">
        <v>3</v>
      </c>
      <c r="B73">
        <v>14.5</v>
      </c>
    </row>
    <row r="74" spans="1:7" x14ac:dyDescent="0.45">
      <c r="A74" s="26" t="s">
        <v>52</v>
      </c>
      <c r="B74" s="31">
        <f>(B72)/((1+B69)^B73)</f>
        <v>448250871.48843163</v>
      </c>
    </row>
    <row r="75" spans="1:7" x14ac:dyDescent="0.45">
      <c r="A75" s="30"/>
      <c r="B75" s="30"/>
      <c r="C75" s="30"/>
      <c r="D75" s="30"/>
      <c r="E75" s="30"/>
      <c r="F75" s="30"/>
      <c r="G75" s="30"/>
    </row>
    <row r="77" spans="1:7" ht="15.75" x14ac:dyDescent="0.5">
      <c r="A77" s="28" t="s">
        <v>53</v>
      </c>
      <c r="B77" s="25">
        <f>B64+B74</f>
        <v>407966131.17848909</v>
      </c>
    </row>
    <row r="78" spans="1:7" x14ac:dyDescent="0.45">
      <c r="A78" t="s">
        <v>82</v>
      </c>
      <c r="B78">
        <v>46067276</v>
      </c>
    </row>
    <row r="80" spans="1:7" x14ac:dyDescent="0.45">
      <c r="A80" t="s">
        <v>91</v>
      </c>
      <c r="B80" s="29">
        <f>B77/B78</f>
        <v>8.8558770259932249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defaultColWidth="8.86328125" defaultRowHeight="14.25" x14ac:dyDescent="0.45"/>
  <cols>
    <col min="1" max="1" width="94.86328125" style="5" customWidth="1"/>
    <col min="2" max="2" width="16.265625" style="5" customWidth="1"/>
    <col min="3" max="16384" width="8.86328125" style="5"/>
  </cols>
  <sheetData>
    <row r="1" spans="1:5" x14ac:dyDescent="0.45">
      <c r="A1" s="15" t="s">
        <v>67</v>
      </c>
      <c r="B1" s="37">
        <v>25.78</v>
      </c>
      <c r="C1" s="36" t="s">
        <v>66</v>
      </c>
      <c r="D1" s="36"/>
      <c r="E1" s="36"/>
    </row>
    <row r="7" spans="1:5" x14ac:dyDescent="0.45">
      <c r="A7" s="5" t="s">
        <v>65</v>
      </c>
      <c r="B7" s="33">
        <v>1051732500</v>
      </c>
    </row>
    <row r="8" spans="1:5" x14ac:dyDescent="0.45">
      <c r="A8" s="5" t="s">
        <v>64</v>
      </c>
      <c r="B8" s="35">
        <f>B7*0.1752</f>
        <v>184263534</v>
      </c>
    </row>
    <row r="9" spans="1:5" x14ac:dyDescent="0.45">
      <c r="A9" s="5" t="s">
        <v>63</v>
      </c>
      <c r="B9" s="35">
        <f>B8*25.78</f>
        <v>4750313906.5200005</v>
      </c>
    </row>
    <row r="10" spans="1:5" x14ac:dyDescent="0.45">
      <c r="A10" s="5" t="s">
        <v>81</v>
      </c>
      <c r="B10" s="5">
        <v>0.1</v>
      </c>
    </row>
    <row r="11" spans="1:5" x14ac:dyDescent="0.45">
      <c r="A11" s="5" t="s">
        <v>62</v>
      </c>
      <c r="B11" s="5">
        <v>0.03</v>
      </c>
    </row>
    <row r="12" spans="1:5" x14ac:dyDescent="0.45">
      <c r="A12" s="5" t="s">
        <v>3</v>
      </c>
      <c r="B12" s="5">
        <v>14.5</v>
      </c>
    </row>
    <row r="13" spans="1:5" x14ac:dyDescent="0.45">
      <c r="A13" s="1" t="s">
        <v>61</v>
      </c>
      <c r="B13" s="34">
        <f>(B9)/(1.13^14.5)</f>
        <v>807392812.15982211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forecast sheet</vt:lpstr>
      <vt:lpstr>Operating value calculation</vt:lpstr>
      <vt:lpstr>Pharma Comparables valuation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2016-07-06T19:59:44Z</dcterms:modified>
</cp:coreProperties>
</file>