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esktop\Cidara Therapeutics\"/>
    </mc:Choice>
  </mc:AlternateContent>
  <bookViews>
    <workbookView xWindow="0" yWindow="0" windowWidth="18825" windowHeight="12023" activeTab="1"/>
  </bookViews>
  <sheets>
    <sheet name="Revenue forecast sheet" sheetId="7" r:id="rId1"/>
    <sheet name="Operating value calculation" sheetId="5" r:id="rId2"/>
    <sheet name="Pharma Comparables valuation" sheetId="9" r:id="rId3"/>
    <sheet name="Notes" sheetId="8" r:id="rId4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5" l="1"/>
  <c r="P7" i="5"/>
  <c r="Q7" i="5"/>
  <c r="R7" i="5"/>
  <c r="S7" i="5"/>
  <c r="F7" i="5"/>
  <c r="G7" i="5"/>
  <c r="H7" i="5"/>
  <c r="I7" i="5"/>
  <c r="J7" i="5"/>
  <c r="K7" i="5"/>
  <c r="L7" i="5"/>
  <c r="M7" i="5"/>
  <c r="N7" i="5"/>
  <c r="E7" i="5"/>
  <c r="S52" i="5"/>
  <c r="Q52" i="5"/>
  <c r="Q54" i="5" s="1"/>
  <c r="R52" i="5"/>
  <c r="R54" i="5" s="1"/>
  <c r="M52" i="5"/>
  <c r="N52" i="5"/>
  <c r="N54" i="5" s="1"/>
  <c r="O52" i="5"/>
  <c r="P52" i="5"/>
  <c r="P54" i="5" s="1"/>
  <c r="F52" i="5"/>
  <c r="G52" i="5"/>
  <c r="H52" i="5"/>
  <c r="I52" i="5"/>
  <c r="I54" i="5" s="1"/>
  <c r="J52" i="5"/>
  <c r="K52" i="5"/>
  <c r="L52" i="5"/>
  <c r="E52" i="5"/>
  <c r="E54" i="5" s="1"/>
  <c r="O54" i="5"/>
  <c r="S54" i="5"/>
  <c r="G54" i="5"/>
  <c r="H54" i="5"/>
  <c r="J54" i="5"/>
  <c r="K54" i="5"/>
  <c r="L54" i="5"/>
  <c r="M54" i="5"/>
  <c r="C54" i="5"/>
  <c r="D54" i="5"/>
  <c r="F54" i="5"/>
  <c r="B54" i="5"/>
  <c r="S7" i="7"/>
  <c r="J7" i="7"/>
  <c r="K7" i="7"/>
  <c r="L7" i="7"/>
  <c r="M7" i="7"/>
  <c r="N7" i="7"/>
  <c r="O7" i="7"/>
  <c r="P7" i="7"/>
  <c r="Q7" i="7"/>
  <c r="R7" i="7"/>
  <c r="C7" i="7"/>
  <c r="D7" i="7"/>
  <c r="E7" i="7"/>
  <c r="F7" i="7"/>
  <c r="G7" i="7"/>
  <c r="H7" i="7"/>
  <c r="I7" i="7"/>
  <c r="B7" i="7"/>
  <c r="P25" i="5" l="1"/>
  <c r="P32" i="5" s="1"/>
  <c r="P34" i="5" s="1"/>
  <c r="P45" i="5" s="1"/>
  <c r="P48" i="5" s="1"/>
  <c r="Q25" i="5"/>
  <c r="Q27" i="5" s="1"/>
  <c r="Q29" i="5" s="1"/>
  <c r="R25" i="5"/>
  <c r="R27" i="5" s="1"/>
  <c r="R29" i="5" s="1"/>
  <c r="S25" i="5"/>
  <c r="S27" i="5" s="1"/>
  <c r="S29" i="5" s="1"/>
  <c r="H25" i="5"/>
  <c r="I25" i="5"/>
  <c r="J25" i="5"/>
  <c r="K25" i="5"/>
  <c r="L25" i="5"/>
  <c r="M25" i="5"/>
  <c r="N25" i="5"/>
  <c r="O25" i="5"/>
  <c r="O27" i="5" s="1"/>
  <c r="O29" i="5" s="1"/>
  <c r="E25" i="5"/>
  <c r="F25" i="5"/>
  <c r="G25" i="5"/>
  <c r="R11" i="5"/>
  <c r="S11" i="5"/>
  <c r="O11" i="5"/>
  <c r="P11" i="5"/>
  <c r="Q11" i="5"/>
  <c r="I11" i="5"/>
  <c r="J11" i="5"/>
  <c r="K11" i="5"/>
  <c r="L11" i="5"/>
  <c r="M11" i="5"/>
  <c r="N11" i="5"/>
  <c r="E11" i="5"/>
  <c r="F11" i="5"/>
  <c r="G11" i="5"/>
  <c r="H11" i="5"/>
  <c r="S32" i="5" l="1"/>
  <c r="S34" i="5" s="1"/>
  <c r="S45" i="5" s="1"/>
  <c r="S48" i="5" s="1"/>
  <c r="S56" i="5" s="1"/>
  <c r="R32" i="5"/>
  <c r="R34" i="5" s="1"/>
  <c r="R45" i="5" s="1"/>
  <c r="R48" i="5" s="1"/>
  <c r="O32" i="5"/>
  <c r="O34" i="5" s="1"/>
  <c r="O45" i="5" s="1"/>
  <c r="O48" i="5" s="1"/>
  <c r="O56" i="5" s="1"/>
  <c r="P56" i="5"/>
  <c r="Q32" i="5"/>
  <c r="Q34" i="5" s="1"/>
  <c r="Q45" i="5" s="1"/>
  <c r="Q48" i="5" s="1"/>
  <c r="Q56" i="5" s="1"/>
  <c r="P27" i="5"/>
  <c r="P29" i="5" s="1"/>
  <c r="B62" i="5" l="1"/>
  <c r="R56" i="5"/>
  <c r="B8" i="9"/>
  <c r="B9" i="9" s="1"/>
  <c r="B13" i="9" s="1"/>
  <c r="B10" i="5"/>
  <c r="B12" i="5" s="1"/>
  <c r="B25" i="5" s="1"/>
  <c r="C10" i="5"/>
  <c r="C12" i="5" s="1"/>
  <c r="C25" i="5" s="1"/>
  <c r="D10" i="5"/>
  <c r="D12" i="5" s="1"/>
  <c r="D25" i="5" s="1"/>
  <c r="E32" i="5"/>
  <c r="E34" i="5" s="1"/>
  <c r="E45" i="5" s="1"/>
  <c r="E48" i="5" s="1"/>
  <c r="F32" i="5"/>
  <c r="F34" i="5" s="1"/>
  <c r="F45" i="5" s="1"/>
  <c r="F48" i="5" s="1"/>
  <c r="G32" i="5"/>
  <c r="G34" i="5" s="1"/>
  <c r="G45" i="5" s="1"/>
  <c r="G48" i="5" s="1"/>
  <c r="H32" i="5"/>
  <c r="H34" i="5" s="1"/>
  <c r="H45" i="5" s="1"/>
  <c r="H48" i="5" s="1"/>
  <c r="I27" i="5"/>
  <c r="I29" i="5" s="1"/>
  <c r="I32" i="5"/>
  <c r="I34" i="5" s="1"/>
  <c r="I45" i="5" s="1"/>
  <c r="I48" i="5" s="1"/>
  <c r="J32" i="5"/>
  <c r="J34" i="5" s="1"/>
  <c r="J45" i="5" s="1"/>
  <c r="J48" i="5" s="1"/>
  <c r="K32" i="5"/>
  <c r="K34" i="5" s="1"/>
  <c r="K45" i="5" s="1"/>
  <c r="K48" i="5" s="1"/>
  <c r="L32" i="5"/>
  <c r="L34" i="5" s="1"/>
  <c r="L45" i="5" s="1"/>
  <c r="L48" i="5" s="1"/>
  <c r="M32" i="5"/>
  <c r="M34" i="5" s="1"/>
  <c r="M45" i="5" s="1"/>
  <c r="M48" i="5" s="1"/>
  <c r="N32" i="5"/>
  <c r="N34" i="5" s="1"/>
  <c r="N45" i="5" s="1"/>
  <c r="N48" i="5" s="1"/>
  <c r="E27" i="5"/>
  <c r="E29" i="5" s="1"/>
  <c r="F27" i="5"/>
  <c r="F29" i="5" s="1"/>
  <c r="G27" i="5"/>
  <c r="G29" i="5" s="1"/>
  <c r="H27" i="5"/>
  <c r="H29" i="5" s="1"/>
  <c r="J27" i="5"/>
  <c r="J29" i="5" s="1"/>
  <c r="M27" i="5"/>
  <c r="M29" i="5" s="1"/>
  <c r="B66" i="5" l="1"/>
  <c r="B68" i="5" s="1"/>
  <c r="N27" i="5"/>
  <c r="N29" i="5" s="1"/>
  <c r="K27" i="5"/>
  <c r="K29" i="5" s="1"/>
  <c r="D32" i="5"/>
  <c r="D34" i="5" s="1"/>
  <c r="D45" i="5" s="1"/>
  <c r="D48" i="5" s="1"/>
  <c r="B32" i="5"/>
  <c r="B34" i="5" s="1"/>
  <c r="B45" i="5" s="1"/>
  <c r="B48" i="5" s="1"/>
  <c r="B56" i="5" s="1"/>
  <c r="B27" i="5"/>
  <c r="B29" i="5" s="1"/>
  <c r="L27" i="5"/>
  <c r="L29" i="5" s="1"/>
  <c r="N56" i="5"/>
  <c r="C32" i="5"/>
  <c r="C34" i="5" s="1"/>
  <c r="C45" i="5" s="1"/>
  <c r="C48" i="5" s="1"/>
  <c r="C27" i="5"/>
  <c r="C29" i="5" s="1"/>
  <c r="E56" i="5" l="1"/>
  <c r="D56" i="5"/>
  <c r="H56" i="5"/>
  <c r="I56" i="5"/>
  <c r="L56" i="5"/>
  <c r="F56" i="5"/>
  <c r="C56" i="5"/>
  <c r="G56" i="5"/>
  <c r="K56" i="5"/>
  <c r="J56" i="5"/>
  <c r="M56" i="5"/>
  <c r="D27" i="5"/>
  <c r="D29" i="5" s="1"/>
  <c r="B58" i="5" l="1"/>
  <c r="B71" i="5" s="1"/>
  <c r="B74" i="5" s="1"/>
</calcChain>
</file>

<file path=xl/sharedStrings.xml><?xml version="1.0" encoding="utf-8"?>
<sst xmlns="http://schemas.openxmlformats.org/spreadsheetml/2006/main" count="92" uniqueCount="87">
  <si>
    <t>Discount rate</t>
  </si>
  <si>
    <t>COGS</t>
  </si>
  <si>
    <t>Other operating expenses</t>
  </si>
  <si>
    <t>Time periods to discount back, years</t>
  </si>
  <si>
    <t>NOPLAT</t>
  </si>
  <si>
    <t>USD</t>
  </si>
  <si>
    <t xml:space="preserve">EBITDA </t>
  </si>
  <si>
    <t>EBITA</t>
  </si>
  <si>
    <t>Good will writedowns</t>
  </si>
  <si>
    <t>Amortization of intangibles</t>
  </si>
  <si>
    <t>Interest income</t>
  </si>
  <si>
    <t>Interest expense</t>
  </si>
  <si>
    <t>Restructuring charges</t>
  </si>
  <si>
    <t>Earnings before taxes</t>
  </si>
  <si>
    <t>Income taxes</t>
  </si>
  <si>
    <t>Minority interest</t>
  </si>
  <si>
    <t>Income before extraordinary items</t>
  </si>
  <si>
    <t>Extraordinary items, after tax</t>
  </si>
  <si>
    <t>Preferred share dividends</t>
  </si>
  <si>
    <t>Earnings for common shareholders</t>
  </si>
  <si>
    <t>Common dividends</t>
  </si>
  <si>
    <t>Retained profit</t>
  </si>
  <si>
    <t>Decrease/increase in operating deferred taxes</t>
  </si>
  <si>
    <t>Adjusted Net income</t>
  </si>
  <si>
    <t>Amortization, acquired intangibles</t>
  </si>
  <si>
    <t>Amortization, of past sale/leaseback gains</t>
  </si>
  <si>
    <t>Severence and other restructuring charges</t>
  </si>
  <si>
    <t>Gains (losses) on asset sales</t>
  </si>
  <si>
    <t>Pension adjustments</t>
  </si>
  <si>
    <t>Operating lease interest</t>
  </si>
  <si>
    <t>Less: Investment income</t>
  </si>
  <si>
    <t>Nonoperating taxes</t>
  </si>
  <si>
    <t xml:space="preserve">Non-operating income, exchange rate differences </t>
  </si>
  <si>
    <t>Other non-operating expenses (income)</t>
  </si>
  <si>
    <t>Step 1: Revenue and Net Income calculation</t>
  </si>
  <si>
    <t>Step 2: Reconciliation of Net Income to calculate NOPLAT</t>
  </si>
  <si>
    <t>Step 3: Free Cash flow calculation from NOPLAT</t>
  </si>
  <si>
    <t>Add non-cash operating expenses</t>
  </si>
  <si>
    <t>Discounted value of FCF , USD</t>
  </si>
  <si>
    <t>FCF from operations, adj. for R&amp;D, USD</t>
  </si>
  <si>
    <t>Sum of discounted FCFs till peak revenue, USD</t>
  </si>
  <si>
    <t>Terminal FCF value calculation</t>
  </si>
  <si>
    <t>Annual increase (decrease) in FCF after peak</t>
  </si>
  <si>
    <t>Discounted value of terminal FCF</t>
  </si>
  <si>
    <t xml:space="preserve">Forecasted Operating value </t>
  </si>
  <si>
    <t>Stock comp expense</t>
  </si>
  <si>
    <t xml:space="preserve">NOPLAT </t>
  </si>
  <si>
    <t>NOPLAT in the year after peak revenue, USD</t>
  </si>
  <si>
    <t>RONIC</t>
  </si>
  <si>
    <t xml:space="preserve">Terminal value </t>
  </si>
  <si>
    <t>Discount rate , WACC</t>
  </si>
  <si>
    <t>(McKinsey NOPLAT formula)</t>
  </si>
  <si>
    <t>Discounted fair value of operating EV at present</t>
  </si>
  <si>
    <t>Annual growth/decline after peak sales, percentage, 3%</t>
  </si>
  <si>
    <t>Estimated EV at peak revenue year, using EV/EBIT(1-t)=25.78</t>
  </si>
  <si>
    <t>Peak EBIT (1-t), at 17.52% of annual revenue, mean for sector, NYU data</t>
  </si>
  <si>
    <t xml:space="preserve">Peak forecasted revenue, USD </t>
  </si>
  <si>
    <t>Average for Pharmaceuticals</t>
  </si>
  <si>
    <t>EV/EBIT (1-t)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</si>
  <si>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</si>
  <si>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</si>
  <si>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</si>
  <si>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</si>
  <si>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</si>
  <si>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</si>
  <si>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</si>
  <si>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</si>
  <si>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</si>
  <si>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</si>
  <si>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</si>
  <si>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</si>
  <si>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Net Income (from line 25)</t>
  </si>
  <si>
    <t>Discount rate, 10%</t>
  </si>
  <si>
    <t>Undiluted share count</t>
  </si>
  <si>
    <t>Contribution to fair value/share</t>
  </si>
  <si>
    <t>Candidate patients in Europe/year</t>
  </si>
  <si>
    <t>Probability of success, 30%  for drug in phase 2 (Milken Model)</t>
  </si>
  <si>
    <t>Peak market share, 50%</t>
  </si>
  <si>
    <t>Risk adjusted revenue, peak 2032 at patent expiry</t>
  </si>
  <si>
    <t>Dep&amp;A, 7.3% x rev. after 2019 (operating fixed assets and operating intangible assets, capitalized software, operating P,P&amp;E)</t>
  </si>
  <si>
    <t xml:space="preserve">S, G&amp;A expenses, risk adjsuted </t>
  </si>
  <si>
    <t>CD-101 TOPICAL IN VVC</t>
  </si>
  <si>
    <t>Candidate cases in U.S./year</t>
  </si>
  <si>
    <t>Per patient cost of treatment, USD, similar to Monistat for 7 days</t>
  </si>
  <si>
    <t>Net Income(loss), 17.5% of rev after 2019</t>
  </si>
  <si>
    <t>Less reinvestment rate, at 87% of net income  after 2019</t>
  </si>
  <si>
    <t>R&amp;D expenses, risk adjusted at 30% probability for phase 3, 17.7% x revenue after 2019 and 30% probab.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</si>
</sst>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3" tint="-0.24994659260841701"/>
      <name val="Arial"/>
      <family val="2"/>
    </font>
    <font>
      <b/>
      <sz val="10"/>
      <color theme="3" tint="-0.2499465926084170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1" fontId="3" fillId="0" borderId="0" xfId="0" applyNumberFormat="1" applyFont="1"/>
    <xf numFmtId="0" fontId="2" fillId="0" borderId="0" xfId="0" applyFont="1"/>
    <xf numFmtId="0" fontId="3" fillId="4" borderId="0" xfId="0" applyFont="1" applyFill="1"/>
    <xf numFmtId="3" fontId="3" fillId="0" borderId="0" xfId="0" applyNumberFormat="1" applyFont="1"/>
    <xf numFmtId="0" fontId="3" fillId="2" borderId="0" xfId="0" applyFont="1" applyFill="1"/>
    <xf numFmtId="0" fontId="2" fillId="6" borderId="0" xfId="0" applyFont="1" applyFill="1"/>
    <xf numFmtId="0" fontId="1" fillId="6" borderId="0" xfId="0" applyFont="1" applyFill="1"/>
    <xf numFmtId="0" fontId="0" fillId="5" borderId="0" xfId="0" applyFill="1"/>
    <xf numFmtId="0" fontId="2" fillId="3" borderId="0" xfId="0" applyFont="1" applyFill="1"/>
    <xf numFmtId="0" fontId="0" fillId="3" borderId="0" xfId="0" applyFill="1"/>
    <xf numFmtId="0" fontId="5" fillId="0" borderId="0" xfId="0" applyFont="1"/>
    <xf numFmtId="0" fontId="5" fillId="7" borderId="0" xfId="0" applyFont="1" applyFill="1"/>
    <xf numFmtId="0" fontId="4" fillId="6" borderId="0" xfId="0" applyFont="1" applyFill="1"/>
    <xf numFmtId="0" fontId="2" fillId="7" borderId="0" xfId="0" applyFont="1" applyFill="1"/>
    <xf numFmtId="3" fontId="2" fillId="7" borderId="0" xfId="0" applyNumberFormat="1" applyFont="1" applyFill="1"/>
    <xf numFmtId="164" fontId="0" fillId="0" borderId="0" xfId="0" applyNumberFormat="1"/>
    <xf numFmtId="0" fontId="0" fillId="9" borderId="0" xfId="0" applyFill="1"/>
    <xf numFmtId="0" fontId="1" fillId="8" borderId="0" xfId="0" applyFont="1" applyFill="1"/>
    <xf numFmtId="0" fontId="6" fillId="6" borderId="0" xfId="0" applyFont="1" applyFill="1"/>
    <xf numFmtId="165" fontId="0" fillId="0" borderId="0" xfId="0" applyNumberFormat="1"/>
    <xf numFmtId="0" fontId="0" fillId="10" borderId="0" xfId="0" applyFill="1"/>
    <xf numFmtId="164" fontId="0" fillId="2" borderId="0" xfId="0" applyNumberFormat="1" applyFill="1"/>
    <xf numFmtId="0" fontId="7" fillId="6" borderId="0" xfId="0" applyFont="1" applyFill="1"/>
    <xf numFmtId="3" fontId="0" fillId="3" borderId="0" xfId="0" applyNumberFormat="1" applyFill="1"/>
    <xf numFmtId="42" fontId="1" fillId="0" borderId="0" xfId="0" applyNumberFormat="1" applyFont="1"/>
    <xf numFmtId="42" fontId="0" fillId="0" borderId="0" xfId="0" applyNumberFormat="1"/>
    <xf numFmtId="0" fontId="0" fillId="2" borderId="0" xfId="0" applyFill="1"/>
    <xf numFmtId="0" fontId="1" fillId="2" borderId="0" xfId="0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49" fontId="9" fillId="0" borderId="0" xfId="0" applyNumberFormat="1" applyFont="1" applyFill="1"/>
    <xf numFmtId="42" fontId="3" fillId="0" borderId="0" xfId="0" applyNumberFormat="1" applyFont="1"/>
    <xf numFmtId="41" fontId="2" fillId="6" borderId="0" xfId="0" applyNumberFormat="1" applyFont="1" applyFill="1"/>
    <xf numFmtId="41" fontId="2" fillId="7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J1" workbookViewId="0">
      <selection activeCell="R7" sqref="R7"/>
    </sheetView>
  </sheetViews>
  <sheetFormatPr defaultColWidth="8.86328125" defaultRowHeight="14.25" x14ac:dyDescent="0.45"/>
  <cols>
    <col min="1" max="1" width="60" customWidth="1"/>
    <col min="2" max="2" width="23.86328125" customWidth="1"/>
    <col min="3" max="3" width="15.59765625" customWidth="1"/>
    <col min="4" max="4" width="14.265625" customWidth="1"/>
    <col min="5" max="5" width="13.73046875" customWidth="1"/>
    <col min="6" max="6" width="14.73046875" customWidth="1"/>
    <col min="7" max="7" width="15.73046875" customWidth="1"/>
    <col min="8" max="9" width="15.1328125" customWidth="1"/>
    <col min="10" max="10" width="16.86328125" customWidth="1"/>
    <col min="11" max="12" width="15.73046875" customWidth="1"/>
    <col min="13" max="13" width="14.265625" customWidth="1"/>
    <col min="14" max="14" width="14.86328125" customWidth="1"/>
    <col min="15" max="15" width="14.796875" customWidth="1"/>
    <col min="16" max="16" width="15.9296875" customWidth="1"/>
    <col min="17" max="17" width="20.3984375" customWidth="1"/>
    <col min="18" max="18" width="14.796875" customWidth="1"/>
    <col min="19" max="19" width="15.1328125" customWidth="1"/>
  </cols>
  <sheetData>
    <row r="1" spans="1:19" s="38" customFormat="1" ht="13.15" x14ac:dyDescent="0.4">
      <c r="A1" s="38" t="s">
        <v>81</v>
      </c>
      <c r="B1" s="39">
        <v>2016</v>
      </c>
      <c r="C1" s="39" t="s">
        <v>59</v>
      </c>
      <c r="D1" s="39" t="s">
        <v>60</v>
      </c>
      <c r="E1" s="39" t="s">
        <v>61</v>
      </c>
      <c r="F1" s="39" t="s">
        <v>62</v>
      </c>
      <c r="G1" s="39" t="s">
        <v>63</v>
      </c>
      <c r="H1" s="39" t="s">
        <v>64</v>
      </c>
      <c r="I1" s="39" t="s">
        <v>65</v>
      </c>
      <c r="J1" s="39" t="s">
        <v>66</v>
      </c>
      <c r="K1" s="39" t="s">
        <v>67</v>
      </c>
      <c r="L1" s="39" t="s">
        <v>68</v>
      </c>
      <c r="M1" s="39" t="s">
        <v>69</v>
      </c>
      <c r="N1" s="39" t="s">
        <v>70</v>
      </c>
      <c r="O1" s="38">
        <v>2029</v>
      </c>
      <c r="P1" s="38">
        <v>2030</v>
      </c>
      <c r="Q1" s="38">
        <v>2031</v>
      </c>
      <c r="R1" s="38">
        <v>2032</v>
      </c>
      <c r="S1" s="38">
        <v>2033</v>
      </c>
    </row>
    <row r="2" spans="1:19" x14ac:dyDescent="0.45">
      <c r="A2" s="37" t="s">
        <v>82</v>
      </c>
      <c r="B2" s="3">
        <v>4400000</v>
      </c>
      <c r="C2" s="3">
        <v>4400000</v>
      </c>
      <c r="D2" s="3">
        <v>4400000</v>
      </c>
      <c r="E2" s="3">
        <v>4400000</v>
      </c>
      <c r="F2" s="3">
        <v>4400000</v>
      </c>
      <c r="G2" s="3">
        <v>4400000</v>
      </c>
      <c r="H2" s="3">
        <v>4400000</v>
      </c>
      <c r="I2" s="3">
        <v>4400000</v>
      </c>
      <c r="J2" s="3">
        <v>4400000</v>
      </c>
      <c r="K2" s="3">
        <v>4400000</v>
      </c>
      <c r="L2" s="3">
        <v>4400000</v>
      </c>
      <c r="M2" s="3">
        <v>4400000</v>
      </c>
      <c r="N2" s="3">
        <v>4400000</v>
      </c>
      <c r="O2" s="3">
        <v>4400000</v>
      </c>
      <c r="P2" s="3">
        <v>4400000</v>
      </c>
      <c r="Q2" s="3">
        <v>4400000</v>
      </c>
      <c r="R2" s="3">
        <v>4400000</v>
      </c>
      <c r="S2" s="3">
        <v>4400000</v>
      </c>
    </row>
    <row r="3" spans="1:19" s="5" customFormat="1" x14ac:dyDescent="0.45">
      <c r="A3" s="5" t="s">
        <v>75</v>
      </c>
      <c r="B3" s="3">
        <v>6400000</v>
      </c>
      <c r="C3" s="3">
        <v>6400000</v>
      </c>
      <c r="D3" s="3">
        <v>6400000</v>
      </c>
      <c r="E3" s="3">
        <v>6400000</v>
      </c>
      <c r="F3" s="3">
        <v>6400000</v>
      </c>
      <c r="G3" s="3">
        <v>6400000</v>
      </c>
      <c r="H3" s="3">
        <v>6400000</v>
      </c>
      <c r="I3" s="3">
        <v>6400000</v>
      </c>
      <c r="J3" s="3">
        <v>6400000</v>
      </c>
      <c r="K3" s="3">
        <v>6400000</v>
      </c>
      <c r="L3" s="3">
        <v>6400000</v>
      </c>
      <c r="M3" s="3">
        <v>6400000</v>
      </c>
      <c r="N3" s="3">
        <v>6400000</v>
      </c>
      <c r="O3" s="3">
        <v>6400000</v>
      </c>
      <c r="P3" s="3">
        <v>6400000</v>
      </c>
      <c r="Q3" s="3">
        <v>6400000</v>
      </c>
      <c r="R3" s="3">
        <v>6400000</v>
      </c>
      <c r="S3" s="3">
        <v>6400000</v>
      </c>
    </row>
    <row r="4" spans="1:19" s="5" customFormat="1" x14ac:dyDescent="0.45">
      <c r="A4" s="5" t="s">
        <v>83</v>
      </c>
      <c r="B4" s="3">
        <v>105</v>
      </c>
      <c r="C4" s="3">
        <v>105</v>
      </c>
      <c r="D4" s="3">
        <v>105</v>
      </c>
      <c r="E4" s="3">
        <v>105</v>
      </c>
      <c r="F4" s="3">
        <v>105</v>
      </c>
      <c r="G4" s="3">
        <v>105</v>
      </c>
      <c r="H4" s="3">
        <v>105</v>
      </c>
      <c r="I4" s="3">
        <v>105</v>
      </c>
      <c r="J4" s="3">
        <v>105</v>
      </c>
      <c r="K4" s="3">
        <v>105</v>
      </c>
      <c r="L4" s="3">
        <v>105</v>
      </c>
      <c r="M4" s="3">
        <v>105</v>
      </c>
      <c r="N4" s="3">
        <v>105</v>
      </c>
      <c r="O4" s="3">
        <v>105</v>
      </c>
      <c r="P4" s="3">
        <v>105</v>
      </c>
      <c r="Q4" s="3">
        <v>105</v>
      </c>
      <c r="R4" s="3">
        <v>105</v>
      </c>
      <c r="S4" s="3">
        <v>105</v>
      </c>
    </row>
    <row r="5" spans="1:19" s="5" customFormat="1" x14ac:dyDescent="0.45">
      <c r="A5" s="5" t="s">
        <v>76</v>
      </c>
      <c r="B5" s="5">
        <v>0.3</v>
      </c>
      <c r="C5" s="5">
        <v>0.3</v>
      </c>
      <c r="D5" s="5">
        <v>0.3</v>
      </c>
      <c r="E5" s="5">
        <v>0.3</v>
      </c>
      <c r="F5" s="5">
        <v>0.3</v>
      </c>
      <c r="G5" s="5">
        <v>0.3</v>
      </c>
      <c r="H5" s="5">
        <v>0.3</v>
      </c>
      <c r="I5" s="5">
        <v>0.3</v>
      </c>
      <c r="J5" s="5">
        <v>0.3</v>
      </c>
      <c r="K5" s="5">
        <v>0.3</v>
      </c>
      <c r="L5" s="5">
        <v>0.3</v>
      </c>
      <c r="M5" s="5">
        <v>0.3</v>
      </c>
      <c r="N5" s="5">
        <v>0.3</v>
      </c>
      <c r="O5" s="5">
        <v>0.3</v>
      </c>
      <c r="P5" s="5">
        <v>0.3</v>
      </c>
      <c r="Q5" s="5">
        <v>0.3</v>
      </c>
      <c r="R5" s="5">
        <v>0.3</v>
      </c>
      <c r="S5" s="5">
        <v>0.3</v>
      </c>
    </row>
    <row r="6" spans="1:19" s="5" customFormat="1" x14ac:dyDescent="0.45">
      <c r="A6" s="5" t="s">
        <v>77</v>
      </c>
      <c r="B6" s="5">
        <v>0</v>
      </c>
      <c r="C6" s="5">
        <v>0</v>
      </c>
      <c r="D6" s="5">
        <v>0</v>
      </c>
      <c r="E6" s="5">
        <v>0.1</v>
      </c>
      <c r="F6" s="5">
        <v>0.2</v>
      </c>
      <c r="G6" s="5">
        <v>0.3</v>
      </c>
      <c r="H6" s="5">
        <v>0.4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</row>
    <row r="7" spans="1:19" x14ac:dyDescent="0.45">
      <c r="A7" s="31" t="s">
        <v>78</v>
      </c>
      <c r="B7" s="32">
        <f>(B2+B3)*B4*B5*B6</f>
        <v>0</v>
      </c>
      <c r="C7" s="32">
        <f t="shared" ref="C7:J7" si="0">(C2+C3)*C4*C5*C6</f>
        <v>0</v>
      </c>
      <c r="D7" s="32">
        <f t="shared" si="0"/>
        <v>0</v>
      </c>
      <c r="E7" s="32">
        <f t="shared" si="0"/>
        <v>34020000</v>
      </c>
      <c r="F7" s="32">
        <f t="shared" si="0"/>
        <v>68040000</v>
      </c>
      <c r="G7" s="32">
        <f t="shared" si="0"/>
        <v>102060000</v>
      </c>
      <c r="H7" s="32">
        <f t="shared" si="0"/>
        <v>136080000</v>
      </c>
      <c r="I7" s="32">
        <f t="shared" si="0"/>
        <v>170100000</v>
      </c>
      <c r="J7" s="32">
        <f t="shared" si="0"/>
        <v>170100000</v>
      </c>
      <c r="K7" s="32">
        <f t="shared" ref="K7" si="1">(K2+K3)*K4*K5*K6</f>
        <v>170100000</v>
      </c>
      <c r="L7" s="32">
        <f t="shared" ref="L7" si="2">(L2+L3)*L4*L5*L6</f>
        <v>170100000</v>
      </c>
      <c r="M7" s="32">
        <f t="shared" ref="M7" si="3">(M2+M3)*M4*M5*M6</f>
        <v>170100000</v>
      </c>
      <c r="N7" s="32">
        <f t="shared" ref="N7" si="4">(N2+N3)*N4*N5*N6</f>
        <v>170100000</v>
      </c>
      <c r="O7" s="32">
        <f t="shared" ref="O7" si="5">(O2+O3)*O4*O5*O6</f>
        <v>170100000</v>
      </c>
      <c r="P7" s="32">
        <f t="shared" ref="P7" si="6">(P2+P3)*P4*P5*P6</f>
        <v>170100000</v>
      </c>
      <c r="Q7" s="32">
        <f t="shared" ref="Q7:R7" si="7">(Q2+Q3)*Q4*Q5*Q6</f>
        <v>170100000</v>
      </c>
      <c r="R7" s="32">
        <f t="shared" si="7"/>
        <v>170100000</v>
      </c>
      <c r="S7" s="32">
        <f>R7*0.97</f>
        <v>164997000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workbookViewId="0">
      <selection activeCell="B66" sqref="B66"/>
    </sheetView>
  </sheetViews>
  <sheetFormatPr defaultColWidth="8.86328125" defaultRowHeight="14.25" x14ac:dyDescent="0.45"/>
  <cols>
    <col min="1" max="1" width="86.3984375" customWidth="1"/>
    <col min="2" max="2" width="22" customWidth="1"/>
    <col min="3" max="3" width="12" customWidth="1"/>
    <col min="4" max="4" width="14.3984375" customWidth="1"/>
    <col min="5" max="5" width="15" customWidth="1"/>
    <col min="6" max="6" width="16.3984375" customWidth="1"/>
    <col min="7" max="7" width="16" customWidth="1"/>
    <col min="8" max="8" width="17" customWidth="1"/>
    <col min="9" max="9" width="15.265625" customWidth="1"/>
    <col min="10" max="10" width="13.3984375" customWidth="1"/>
    <col min="11" max="11" width="14.1328125" customWidth="1"/>
    <col min="12" max="12" width="14.265625" customWidth="1"/>
    <col min="13" max="13" width="13.1328125" customWidth="1"/>
    <col min="14" max="14" width="13.265625" customWidth="1"/>
    <col min="15" max="15" width="14.19921875" customWidth="1"/>
    <col min="16" max="16" width="15.796875" customWidth="1"/>
    <col min="17" max="17" width="13.86328125" customWidth="1"/>
    <col min="18" max="18" width="14.3984375" customWidth="1"/>
    <col min="19" max="19" width="14.33203125" customWidth="1"/>
  </cols>
  <sheetData>
    <row r="1" spans="1:19" s="7" customFormat="1" ht="26.85" customHeight="1" x14ac:dyDescent="0.4">
      <c r="A1" s="6" t="s">
        <v>34</v>
      </c>
    </row>
    <row r="2" spans="1:19" s="8" customFormat="1" ht="13.15" x14ac:dyDescent="0.4">
      <c r="A2" s="8" t="s">
        <v>5</v>
      </c>
      <c r="B2" s="8">
        <v>2016</v>
      </c>
      <c r="C2" s="8">
        <v>2017</v>
      </c>
      <c r="D2" s="8">
        <v>2018</v>
      </c>
      <c r="E2" s="8">
        <v>2019</v>
      </c>
      <c r="F2" s="8">
        <v>2020</v>
      </c>
      <c r="G2" s="8">
        <v>2021</v>
      </c>
      <c r="H2" s="8">
        <v>2022</v>
      </c>
      <c r="I2" s="8">
        <v>2023</v>
      </c>
      <c r="J2" s="8">
        <v>2024</v>
      </c>
      <c r="K2" s="8">
        <v>2025</v>
      </c>
      <c r="L2" s="8">
        <v>2026</v>
      </c>
      <c r="M2" s="8">
        <v>2027</v>
      </c>
      <c r="N2" s="8">
        <v>2028</v>
      </c>
      <c r="O2" s="8">
        <v>2029</v>
      </c>
      <c r="P2" s="8">
        <v>2030</v>
      </c>
      <c r="Q2" s="8">
        <v>2031</v>
      </c>
      <c r="R2" s="8">
        <v>2032</v>
      </c>
      <c r="S2" s="8">
        <v>2033</v>
      </c>
    </row>
    <row r="3" spans="1:19" s="8" customFormat="1" ht="13.15" x14ac:dyDescent="0.4"/>
    <row r="4" spans="1:19" s="42" customFormat="1" ht="29.1" customHeight="1" x14ac:dyDescent="0.4">
      <c r="A4" s="41" t="s">
        <v>78</v>
      </c>
      <c r="B4" s="42">
        <v>0</v>
      </c>
      <c r="C4" s="42">
        <v>0</v>
      </c>
      <c r="D4" s="42">
        <v>0</v>
      </c>
      <c r="E4" s="42">
        <v>34020000</v>
      </c>
      <c r="F4" s="42">
        <v>68040000</v>
      </c>
      <c r="G4" s="42">
        <v>102060000</v>
      </c>
      <c r="H4" s="42">
        <v>136080000</v>
      </c>
      <c r="I4" s="42">
        <v>170100000</v>
      </c>
      <c r="J4" s="42">
        <v>170100000</v>
      </c>
      <c r="K4" s="42">
        <v>170100000</v>
      </c>
      <c r="L4" s="42">
        <v>170100000</v>
      </c>
      <c r="M4" s="42">
        <v>170100000</v>
      </c>
      <c r="N4" s="42">
        <v>170100000</v>
      </c>
      <c r="O4" s="42">
        <v>170100000</v>
      </c>
      <c r="P4" s="42">
        <v>170100000</v>
      </c>
      <c r="Q4" s="42">
        <v>170100000</v>
      </c>
      <c r="R4" s="42">
        <v>170100000</v>
      </c>
      <c r="S4" s="42">
        <v>164997000</v>
      </c>
    </row>
    <row r="5" spans="1:19" s="22" customFormat="1" ht="29.1" customHeight="1" x14ac:dyDescent="0.4">
      <c r="A5" s="1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9" s="7" customFormat="1" ht="12.75" x14ac:dyDescent="0.35">
      <c r="A6" s="7" t="s">
        <v>1</v>
      </c>
    </row>
    <row r="7" spans="1:19" s="7" customFormat="1" ht="12.75" x14ac:dyDescent="0.35">
      <c r="A7" s="7" t="s">
        <v>86</v>
      </c>
      <c r="B7" s="12">
        <v>1000000</v>
      </c>
      <c r="C7" s="12">
        <v>750000</v>
      </c>
      <c r="D7" s="12">
        <v>1000000</v>
      </c>
      <c r="E7" s="12">
        <f>E4*0.177*0.3</f>
        <v>1806462</v>
      </c>
      <c r="F7" s="12">
        <f t="shared" ref="F7:S7" si="0">F4*0.177*0.3</f>
        <v>3612924</v>
      </c>
      <c r="G7" s="12">
        <f t="shared" si="0"/>
        <v>5419386</v>
      </c>
      <c r="H7" s="12">
        <f t="shared" si="0"/>
        <v>7225848</v>
      </c>
      <c r="I7" s="12">
        <f t="shared" si="0"/>
        <v>9032310</v>
      </c>
      <c r="J7" s="12">
        <f t="shared" si="0"/>
        <v>9032310</v>
      </c>
      <c r="K7" s="12">
        <f t="shared" si="0"/>
        <v>9032310</v>
      </c>
      <c r="L7" s="12">
        <f t="shared" si="0"/>
        <v>9032310</v>
      </c>
      <c r="M7" s="12">
        <f t="shared" si="0"/>
        <v>9032310</v>
      </c>
      <c r="N7" s="12">
        <f t="shared" si="0"/>
        <v>9032310</v>
      </c>
      <c r="O7" s="12">
        <f>O4*0.177*0.3</f>
        <v>9032310</v>
      </c>
      <c r="P7" s="12">
        <f t="shared" si="0"/>
        <v>9032310</v>
      </c>
      <c r="Q7" s="12">
        <f t="shared" si="0"/>
        <v>9032310</v>
      </c>
      <c r="R7" s="12">
        <f t="shared" si="0"/>
        <v>9032310</v>
      </c>
      <c r="S7" s="12">
        <f t="shared" si="0"/>
        <v>8761340.6999999993</v>
      </c>
    </row>
    <row r="8" spans="1:19" s="7" customFormat="1" ht="12.75" x14ac:dyDescent="0.35">
      <c r="A8" s="7" t="s">
        <v>80</v>
      </c>
      <c r="B8" s="40">
        <v>2000000</v>
      </c>
      <c r="C8" s="40">
        <v>1500000</v>
      </c>
      <c r="D8" s="40">
        <v>1500000</v>
      </c>
    </row>
    <row r="9" spans="1:19" s="7" customFormat="1" ht="12.75" x14ac:dyDescent="0.35">
      <c r="A9" s="7" t="s">
        <v>2</v>
      </c>
    </row>
    <row r="10" spans="1:19" s="7" customFormat="1" ht="32.85" customHeight="1" x14ac:dyDescent="0.4">
      <c r="A10" s="14" t="s">
        <v>6</v>
      </c>
      <c r="B10" s="12">
        <f>B4-B6-B7-B8-B9</f>
        <v>-3000000</v>
      </c>
      <c r="C10" s="12">
        <f t="shared" ref="C10:D10" si="1">C4-C6-C7-C8-C9</f>
        <v>-2250000</v>
      </c>
      <c r="D10" s="12">
        <f t="shared" si="1"/>
        <v>-2500000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7" customFormat="1" ht="12.75" x14ac:dyDescent="0.35">
      <c r="A11" s="7" t="s">
        <v>79</v>
      </c>
      <c r="B11" s="12">
        <v>300000</v>
      </c>
      <c r="C11" s="9">
        <v>300000</v>
      </c>
      <c r="D11" s="9">
        <v>300000</v>
      </c>
      <c r="E11" s="9">
        <f t="shared" ref="E11:S11" si="2">E4*0.073</f>
        <v>2483460</v>
      </c>
      <c r="F11" s="9">
        <f t="shared" si="2"/>
        <v>4966920</v>
      </c>
      <c r="G11" s="9">
        <f t="shared" si="2"/>
        <v>7450380</v>
      </c>
      <c r="H11" s="9">
        <f t="shared" si="2"/>
        <v>9933840</v>
      </c>
      <c r="I11" s="9">
        <f t="shared" si="2"/>
        <v>12417300</v>
      </c>
      <c r="J11" s="9">
        <f t="shared" si="2"/>
        <v>12417300</v>
      </c>
      <c r="K11" s="9">
        <f t="shared" si="2"/>
        <v>12417300</v>
      </c>
      <c r="L11" s="9">
        <f t="shared" si="2"/>
        <v>12417300</v>
      </c>
      <c r="M11" s="9">
        <f t="shared" si="2"/>
        <v>12417300</v>
      </c>
      <c r="N11" s="9">
        <f t="shared" si="2"/>
        <v>12417300</v>
      </c>
      <c r="O11" s="9">
        <f t="shared" si="2"/>
        <v>12417300</v>
      </c>
      <c r="P11" s="9">
        <f t="shared" si="2"/>
        <v>12417300</v>
      </c>
      <c r="Q11" s="9">
        <f t="shared" si="2"/>
        <v>12417300</v>
      </c>
      <c r="R11" s="9">
        <f t="shared" si="2"/>
        <v>12417300</v>
      </c>
      <c r="S11" s="9">
        <f t="shared" si="2"/>
        <v>12044781</v>
      </c>
    </row>
    <row r="12" spans="1:19" s="7" customFormat="1" ht="33.6" customHeight="1" x14ac:dyDescent="0.4">
      <c r="A12" s="10" t="s">
        <v>7</v>
      </c>
      <c r="B12" s="12">
        <f>B10-B11</f>
        <v>-3300000</v>
      </c>
      <c r="C12" s="12">
        <f t="shared" ref="C12:D12" si="3">C10-C11</f>
        <v>-2550000</v>
      </c>
      <c r="D12" s="12">
        <f t="shared" si="3"/>
        <v>-2800000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7" customFormat="1" ht="12.75" x14ac:dyDescent="0.35">
      <c r="A13" s="7" t="s">
        <v>8</v>
      </c>
    </row>
    <row r="14" spans="1:19" s="7" customFormat="1" ht="12.75" x14ac:dyDescent="0.35">
      <c r="A14" s="7" t="s">
        <v>9</v>
      </c>
      <c r="B14" s="12"/>
    </row>
    <row r="15" spans="1:19" s="7" customFormat="1" ht="12.75" x14ac:dyDescent="0.35">
      <c r="A15" s="7" t="s">
        <v>32</v>
      </c>
      <c r="B15" s="12"/>
      <c r="C15" s="12"/>
    </row>
    <row r="16" spans="1:19" s="7" customFormat="1" ht="12.75" x14ac:dyDescent="0.35">
      <c r="A16" s="7" t="s">
        <v>10</v>
      </c>
      <c r="B16" s="12"/>
    </row>
    <row r="17" spans="1:19" s="7" customFormat="1" ht="12.75" x14ac:dyDescent="0.35">
      <c r="A17" s="7" t="s">
        <v>11</v>
      </c>
    </row>
    <row r="18" spans="1:19" s="7" customFormat="1" ht="12.75" x14ac:dyDescent="0.35">
      <c r="A18" s="7" t="s">
        <v>12</v>
      </c>
    </row>
    <row r="19" spans="1:19" s="7" customFormat="1" ht="12.75" x14ac:dyDescent="0.35">
      <c r="A19" s="7" t="s">
        <v>45</v>
      </c>
      <c r="B19" s="12"/>
    </row>
    <row r="20" spans="1:19" s="7" customFormat="1" ht="31.35" customHeight="1" x14ac:dyDescent="0.4">
      <c r="A20" s="14" t="s">
        <v>13</v>
      </c>
      <c r="B20" s="12"/>
      <c r="C20" s="12"/>
    </row>
    <row r="21" spans="1:19" s="7" customFormat="1" ht="12.75" x14ac:dyDescent="0.35">
      <c r="A21" s="7" t="s">
        <v>14</v>
      </c>
    </row>
    <row r="22" spans="1:19" s="7" customFormat="1" ht="12.75" x14ac:dyDescent="0.35">
      <c r="A22" s="7" t="s">
        <v>15</v>
      </c>
    </row>
    <row r="23" spans="1:19" s="7" customFormat="1" ht="29.85" customHeight="1" x14ac:dyDescent="0.4">
      <c r="A23" s="10" t="s">
        <v>16</v>
      </c>
      <c r="B23" s="12"/>
      <c r="C23" s="12"/>
    </row>
    <row r="24" spans="1:19" s="7" customFormat="1" ht="12.75" x14ac:dyDescent="0.35">
      <c r="A24" s="7" t="s">
        <v>17</v>
      </c>
    </row>
    <row r="25" spans="1:19" s="7" customFormat="1" ht="32.1" customHeight="1" x14ac:dyDescent="0.4">
      <c r="A25" s="14" t="s">
        <v>84</v>
      </c>
      <c r="B25" s="12">
        <f>B12+B16-B19-B14</f>
        <v>-3300000</v>
      </c>
      <c r="C25" s="12">
        <f t="shared" ref="C25:D25" si="4">C12+C16-C19-C14</f>
        <v>-2550000</v>
      </c>
      <c r="D25" s="12">
        <f t="shared" si="4"/>
        <v>-2800000</v>
      </c>
      <c r="E25" s="12">
        <f t="shared" ref="E25:S25" si="5">E4*0.175</f>
        <v>5953500</v>
      </c>
      <c r="F25" s="12">
        <f t="shared" si="5"/>
        <v>11907000</v>
      </c>
      <c r="G25" s="12">
        <f t="shared" si="5"/>
        <v>17860500</v>
      </c>
      <c r="H25" s="12">
        <f t="shared" si="5"/>
        <v>23814000</v>
      </c>
      <c r="I25" s="12">
        <f t="shared" si="5"/>
        <v>29767499.999999996</v>
      </c>
      <c r="J25" s="12">
        <f t="shared" si="5"/>
        <v>29767499.999999996</v>
      </c>
      <c r="K25" s="12">
        <f t="shared" si="5"/>
        <v>29767499.999999996</v>
      </c>
      <c r="L25" s="12">
        <f t="shared" si="5"/>
        <v>29767499.999999996</v>
      </c>
      <c r="M25" s="12">
        <f t="shared" si="5"/>
        <v>29767499.999999996</v>
      </c>
      <c r="N25" s="12">
        <f t="shared" si="5"/>
        <v>29767499.999999996</v>
      </c>
      <c r="O25" s="12">
        <f t="shared" si="5"/>
        <v>29767499.999999996</v>
      </c>
      <c r="P25" s="12">
        <f>P4*0.175</f>
        <v>29767499.999999996</v>
      </c>
      <c r="Q25" s="12">
        <f t="shared" si="5"/>
        <v>29767499.999999996</v>
      </c>
      <c r="R25" s="12">
        <f t="shared" si="5"/>
        <v>29767499.999999996</v>
      </c>
      <c r="S25" s="12">
        <f t="shared" si="5"/>
        <v>28874475</v>
      </c>
    </row>
    <row r="26" spans="1:19" s="7" customFormat="1" ht="12.75" x14ac:dyDescent="0.35">
      <c r="A26" s="7" t="s">
        <v>18</v>
      </c>
    </row>
    <row r="27" spans="1:19" s="7" customFormat="1" ht="29.1" customHeight="1" x14ac:dyDescent="0.4">
      <c r="A27" s="10" t="s">
        <v>19</v>
      </c>
      <c r="B27" s="12">
        <f>B25-B26</f>
        <v>-3300000</v>
      </c>
      <c r="C27" s="12">
        <f>C25-C26</f>
        <v>-2550000</v>
      </c>
      <c r="D27" s="12">
        <f t="shared" ref="D27:S27" si="6">D25-D26</f>
        <v>-2800000</v>
      </c>
      <c r="E27" s="12">
        <f t="shared" si="6"/>
        <v>5953500</v>
      </c>
      <c r="F27" s="12">
        <f t="shared" si="6"/>
        <v>11907000</v>
      </c>
      <c r="G27" s="12">
        <f t="shared" si="6"/>
        <v>17860500</v>
      </c>
      <c r="H27" s="12">
        <f t="shared" si="6"/>
        <v>23814000</v>
      </c>
      <c r="I27" s="12">
        <f t="shared" si="6"/>
        <v>29767499.999999996</v>
      </c>
      <c r="J27" s="12">
        <f t="shared" si="6"/>
        <v>29767499.999999996</v>
      </c>
      <c r="K27" s="12">
        <f t="shared" si="6"/>
        <v>29767499.999999996</v>
      </c>
      <c r="L27" s="12">
        <f t="shared" si="6"/>
        <v>29767499.999999996</v>
      </c>
      <c r="M27" s="12">
        <f t="shared" si="6"/>
        <v>29767499.999999996</v>
      </c>
      <c r="N27" s="12">
        <f t="shared" si="6"/>
        <v>29767499.999999996</v>
      </c>
      <c r="O27" s="12">
        <f t="shared" si="6"/>
        <v>29767499.999999996</v>
      </c>
      <c r="P27" s="12">
        <f t="shared" si="6"/>
        <v>29767499.999999996</v>
      </c>
      <c r="Q27" s="12">
        <f t="shared" si="6"/>
        <v>29767499.999999996</v>
      </c>
      <c r="R27" s="12">
        <f t="shared" si="6"/>
        <v>29767499.999999996</v>
      </c>
      <c r="S27" s="12">
        <f t="shared" si="6"/>
        <v>28874475</v>
      </c>
    </row>
    <row r="28" spans="1:19" s="7" customFormat="1" ht="12.75" x14ac:dyDescent="0.35">
      <c r="A28" s="7" t="s">
        <v>20</v>
      </c>
    </row>
    <row r="29" spans="1:19" s="7" customFormat="1" ht="35.1" customHeight="1" x14ac:dyDescent="0.4">
      <c r="A29" s="14" t="s">
        <v>21</v>
      </c>
      <c r="B29" s="12">
        <f>B27-B28</f>
        <v>-3300000</v>
      </c>
      <c r="C29" s="12">
        <f>C27-C28</f>
        <v>-2550000</v>
      </c>
      <c r="D29" s="12">
        <f t="shared" ref="D29:J29" si="7">D27-D28</f>
        <v>-2800000</v>
      </c>
      <c r="E29" s="12">
        <f t="shared" si="7"/>
        <v>5953500</v>
      </c>
      <c r="F29" s="12">
        <f t="shared" si="7"/>
        <v>11907000</v>
      </c>
      <c r="G29" s="12">
        <f t="shared" si="7"/>
        <v>17860500</v>
      </c>
      <c r="H29" s="12">
        <f t="shared" si="7"/>
        <v>23814000</v>
      </c>
      <c r="I29" s="12">
        <f t="shared" si="7"/>
        <v>29767499.999999996</v>
      </c>
      <c r="J29" s="12">
        <f t="shared" si="7"/>
        <v>29767499.999999996</v>
      </c>
      <c r="K29" s="12">
        <f>K27-K28</f>
        <v>29767499.999999996</v>
      </c>
      <c r="L29" s="12">
        <f t="shared" ref="L29" si="8">L27-L28</f>
        <v>29767499.999999996</v>
      </c>
      <c r="M29" s="12">
        <f t="shared" ref="M29" si="9">M27-M28</f>
        <v>29767499.999999996</v>
      </c>
      <c r="N29" s="12">
        <f t="shared" ref="N29:S29" si="10">N27-N28</f>
        <v>29767499.999999996</v>
      </c>
      <c r="O29" s="12">
        <f t="shared" si="10"/>
        <v>29767499.999999996</v>
      </c>
      <c r="P29" s="12">
        <f t="shared" si="10"/>
        <v>29767499.999999996</v>
      </c>
      <c r="Q29" s="12">
        <f t="shared" si="10"/>
        <v>29767499.999999996</v>
      </c>
      <c r="R29" s="12">
        <f t="shared" si="10"/>
        <v>29767499.999999996</v>
      </c>
      <c r="S29" s="12">
        <f t="shared" si="10"/>
        <v>28874475</v>
      </c>
    </row>
    <row r="30" spans="1:19" s="11" customFormat="1" ht="12.75" x14ac:dyDescent="0.35"/>
    <row r="31" spans="1:19" s="7" customFormat="1" ht="26.1" customHeight="1" x14ac:dyDescent="0.4">
      <c r="A31" s="6" t="s">
        <v>35</v>
      </c>
      <c r="B31" s="13"/>
    </row>
    <row r="32" spans="1:19" s="7" customFormat="1" ht="24.75" customHeight="1" x14ac:dyDescent="0.4">
      <c r="A32" s="14" t="s">
        <v>71</v>
      </c>
      <c r="B32" s="12">
        <f>B25</f>
        <v>-3300000</v>
      </c>
      <c r="C32" s="12">
        <f t="shared" ref="C32:S32" si="11">C25</f>
        <v>-2550000</v>
      </c>
      <c r="D32" s="12">
        <f t="shared" si="11"/>
        <v>-2800000</v>
      </c>
      <c r="E32" s="12">
        <f t="shared" si="11"/>
        <v>5953500</v>
      </c>
      <c r="F32" s="12">
        <f t="shared" si="11"/>
        <v>11907000</v>
      </c>
      <c r="G32" s="12">
        <f t="shared" si="11"/>
        <v>17860500</v>
      </c>
      <c r="H32" s="12">
        <f t="shared" si="11"/>
        <v>23814000</v>
      </c>
      <c r="I32" s="12">
        <f t="shared" si="11"/>
        <v>29767499.999999996</v>
      </c>
      <c r="J32" s="12">
        <f t="shared" si="11"/>
        <v>29767499.999999996</v>
      </c>
      <c r="K32" s="12">
        <f t="shared" si="11"/>
        <v>29767499.999999996</v>
      </c>
      <c r="L32" s="12">
        <f t="shared" si="11"/>
        <v>29767499.999999996</v>
      </c>
      <c r="M32" s="12">
        <f t="shared" si="11"/>
        <v>29767499.999999996</v>
      </c>
      <c r="N32" s="12">
        <f t="shared" si="11"/>
        <v>29767499.999999996</v>
      </c>
      <c r="O32" s="12">
        <f t="shared" si="11"/>
        <v>29767499.999999996</v>
      </c>
      <c r="P32" s="12">
        <f t="shared" si="11"/>
        <v>29767499.999999996</v>
      </c>
      <c r="Q32" s="12">
        <f t="shared" si="11"/>
        <v>29767499.999999996</v>
      </c>
      <c r="R32" s="12">
        <f t="shared" si="11"/>
        <v>29767499.999999996</v>
      </c>
      <c r="S32" s="12">
        <f t="shared" si="11"/>
        <v>28874475</v>
      </c>
    </row>
    <row r="33" spans="1:19" s="7" customFormat="1" ht="12.75" x14ac:dyDescent="0.35">
      <c r="A33" s="7" t="s">
        <v>22</v>
      </c>
    </row>
    <row r="34" spans="1:19" s="7" customFormat="1" ht="33.6" customHeight="1" x14ac:dyDescent="0.4">
      <c r="A34" s="10" t="s">
        <v>23</v>
      </c>
      <c r="B34" s="12">
        <f>B32-B33</f>
        <v>-3300000</v>
      </c>
      <c r="C34" s="12">
        <f t="shared" ref="C34:S34" si="12">C32-C33</f>
        <v>-2550000</v>
      </c>
      <c r="D34" s="12">
        <f t="shared" si="12"/>
        <v>-2800000</v>
      </c>
      <c r="E34" s="12">
        <f t="shared" si="12"/>
        <v>5953500</v>
      </c>
      <c r="F34" s="12">
        <f t="shared" si="12"/>
        <v>11907000</v>
      </c>
      <c r="G34" s="12">
        <f t="shared" si="12"/>
        <v>17860500</v>
      </c>
      <c r="H34" s="12">
        <f t="shared" si="12"/>
        <v>23814000</v>
      </c>
      <c r="I34" s="12">
        <f t="shared" si="12"/>
        <v>29767499.999999996</v>
      </c>
      <c r="J34" s="12">
        <f t="shared" si="12"/>
        <v>29767499.999999996</v>
      </c>
      <c r="K34" s="12">
        <f t="shared" si="12"/>
        <v>29767499.999999996</v>
      </c>
      <c r="L34" s="12">
        <f t="shared" si="12"/>
        <v>29767499.999999996</v>
      </c>
      <c r="M34" s="12">
        <f t="shared" si="12"/>
        <v>29767499.999999996</v>
      </c>
      <c r="N34" s="12">
        <f t="shared" si="12"/>
        <v>29767499.999999996</v>
      </c>
      <c r="O34" s="12">
        <f t="shared" si="12"/>
        <v>29767499.999999996</v>
      </c>
      <c r="P34" s="12">
        <f t="shared" si="12"/>
        <v>29767499.999999996</v>
      </c>
      <c r="Q34" s="12">
        <f t="shared" si="12"/>
        <v>29767499.999999996</v>
      </c>
      <c r="R34" s="12">
        <f t="shared" si="12"/>
        <v>29767499.999999996</v>
      </c>
      <c r="S34" s="12">
        <f t="shared" si="12"/>
        <v>28874475</v>
      </c>
    </row>
    <row r="35" spans="1:19" s="7" customFormat="1" ht="12.75" x14ac:dyDescent="0.35">
      <c r="A35" s="7" t="s">
        <v>24</v>
      </c>
    </row>
    <row r="36" spans="1:19" s="7" customFormat="1" ht="12.75" x14ac:dyDescent="0.35">
      <c r="A36" s="7" t="s">
        <v>25</v>
      </c>
      <c r="B36" s="12"/>
    </row>
    <row r="37" spans="1:19" s="7" customFormat="1" ht="12.75" x14ac:dyDescent="0.35">
      <c r="A37" s="7" t="s">
        <v>26</v>
      </c>
    </row>
    <row r="38" spans="1:19" s="7" customFormat="1" ht="12.75" x14ac:dyDescent="0.35">
      <c r="A38" s="7" t="s">
        <v>27</v>
      </c>
    </row>
    <row r="39" spans="1:19" s="7" customFormat="1" ht="12.75" x14ac:dyDescent="0.35">
      <c r="A39" s="7" t="s">
        <v>28</v>
      </c>
    </row>
    <row r="40" spans="1:19" s="7" customFormat="1" ht="12.75" x14ac:dyDescent="0.35">
      <c r="A40" s="7" t="s">
        <v>29</v>
      </c>
    </row>
    <row r="41" spans="1:19" s="7" customFormat="1" ht="12.75" x14ac:dyDescent="0.35">
      <c r="A41" s="7" t="s">
        <v>11</v>
      </c>
    </row>
    <row r="42" spans="1:19" s="7" customFormat="1" ht="12.75" x14ac:dyDescent="0.35">
      <c r="A42" s="7" t="s">
        <v>30</v>
      </c>
      <c r="B42" s="12"/>
    </row>
    <row r="43" spans="1:19" s="7" customFormat="1" ht="12.75" x14ac:dyDescent="0.35">
      <c r="A43" s="7" t="s">
        <v>33</v>
      </c>
      <c r="B43" s="12"/>
      <c r="C43" s="12"/>
    </row>
    <row r="44" spans="1:19" s="7" customFormat="1" ht="12.75" x14ac:dyDescent="0.35">
      <c r="A44" s="7" t="s">
        <v>31</v>
      </c>
    </row>
    <row r="45" spans="1:19" s="7" customFormat="1" ht="32.85" customHeight="1" x14ac:dyDescent="0.4">
      <c r="A45" s="14" t="s">
        <v>46</v>
      </c>
      <c r="B45" s="12">
        <f>B34+B41-B42</f>
        <v>-3300000</v>
      </c>
      <c r="C45" s="12">
        <f>C34</f>
        <v>-2550000</v>
      </c>
      <c r="D45" s="12">
        <f>D34</f>
        <v>-2800000</v>
      </c>
      <c r="E45" s="12">
        <f t="shared" ref="E45:S45" si="13">E34</f>
        <v>5953500</v>
      </c>
      <c r="F45" s="12">
        <f t="shared" si="13"/>
        <v>11907000</v>
      </c>
      <c r="G45" s="12">
        <f t="shared" si="13"/>
        <v>17860500</v>
      </c>
      <c r="H45" s="12">
        <f t="shared" si="13"/>
        <v>23814000</v>
      </c>
      <c r="I45" s="12">
        <f t="shared" si="13"/>
        <v>29767499.999999996</v>
      </c>
      <c r="J45" s="12">
        <f t="shared" si="13"/>
        <v>29767499.999999996</v>
      </c>
      <c r="K45" s="12">
        <f t="shared" si="13"/>
        <v>29767499.999999996</v>
      </c>
      <c r="L45" s="12">
        <f>L34</f>
        <v>29767499.999999996</v>
      </c>
      <c r="M45" s="12">
        <f t="shared" si="13"/>
        <v>29767499.999999996</v>
      </c>
      <c r="N45" s="12">
        <f t="shared" si="13"/>
        <v>29767499.999999996</v>
      </c>
      <c r="O45" s="12">
        <f t="shared" si="13"/>
        <v>29767499.999999996</v>
      </c>
      <c r="P45" s="12">
        <f t="shared" si="13"/>
        <v>29767499.999999996</v>
      </c>
      <c r="Q45" s="12">
        <f t="shared" si="13"/>
        <v>29767499.999999996</v>
      </c>
      <c r="R45" s="12">
        <f t="shared" si="13"/>
        <v>29767499.999999996</v>
      </c>
      <c r="S45" s="12">
        <f t="shared" si="13"/>
        <v>28874475</v>
      </c>
    </row>
    <row r="46" spans="1:19" s="16" customFormat="1" x14ac:dyDescent="0.45"/>
    <row r="47" spans="1:19" x14ac:dyDescent="0.45">
      <c r="A47" s="17" t="s">
        <v>36</v>
      </c>
      <c r="B47" s="18"/>
    </row>
    <row r="48" spans="1:19" x14ac:dyDescent="0.45">
      <c r="A48" s="21" t="s">
        <v>4</v>
      </c>
      <c r="B48" s="3">
        <f>B45</f>
        <v>-3300000</v>
      </c>
      <c r="C48" s="3">
        <f t="shared" ref="C48:S48" si="14">C45</f>
        <v>-2550000</v>
      </c>
      <c r="D48" s="3">
        <f t="shared" si="14"/>
        <v>-2800000</v>
      </c>
      <c r="E48" s="3">
        <f t="shared" si="14"/>
        <v>5953500</v>
      </c>
      <c r="F48" s="3">
        <f t="shared" si="14"/>
        <v>11907000</v>
      </c>
      <c r="G48" s="3">
        <f t="shared" si="14"/>
        <v>17860500</v>
      </c>
      <c r="H48" s="3">
        <f t="shared" si="14"/>
        <v>23814000</v>
      </c>
      <c r="I48" s="3">
        <f t="shared" si="14"/>
        <v>29767499.999999996</v>
      </c>
      <c r="J48" s="3">
        <f t="shared" si="14"/>
        <v>29767499.999999996</v>
      </c>
      <c r="K48" s="3">
        <f t="shared" si="14"/>
        <v>29767499.999999996</v>
      </c>
      <c r="L48" s="3">
        <f>L45</f>
        <v>29767499.999999996</v>
      </c>
      <c r="M48" s="3">
        <f t="shared" si="14"/>
        <v>29767499.999999996</v>
      </c>
      <c r="N48" s="3">
        <f t="shared" si="14"/>
        <v>29767499.999999996</v>
      </c>
      <c r="O48" s="3">
        <f t="shared" si="14"/>
        <v>29767499.999999996</v>
      </c>
      <c r="P48" s="3">
        <f t="shared" si="14"/>
        <v>29767499.999999996</v>
      </c>
      <c r="Q48" s="3">
        <f t="shared" si="14"/>
        <v>29767499.999999996</v>
      </c>
      <c r="R48" s="3">
        <f t="shared" si="14"/>
        <v>29767499.999999996</v>
      </c>
      <c r="S48" s="3">
        <f t="shared" si="14"/>
        <v>28874475</v>
      </c>
    </row>
    <row r="49" spans="1:19" x14ac:dyDescent="0.45">
      <c r="A49" s="20" t="s">
        <v>37</v>
      </c>
    </row>
    <row r="50" spans="1:19" x14ac:dyDescent="0.45">
      <c r="A50" s="19" t="s">
        <v>79</v>
      </c>
      <c r="B50">
        <v>300000</v>
      </c>
      <c r="C50" s="5">
        <v>300000</v>
      </c>
      <c r="D50" s="2">
        <v>300000</v>
      </c>
      <c r="E50" s="2">
        <v>2146200</v>
      </c>
      <c r="F50" s="2">
        <v>4292400</v>
      </c>
      <c r="G50" s="2">
        <v>6438600</v>
      </c>
      <c r="H50" s="2">
        <v>8584800</v>
      </c>
      <c r="I50" s="2">
        <v>10731000</v>
      </c>
      <c r="J50" s="2">
        <v>10731000</v>
      </c>
      <c r="K50" s="2">
        <v>10731000</v>
      </c>
      <c r="L50" s="2">
        <v>10731000</v>
      </c>
      <c r="M50" s="2">
        <v>10731000</v>
      </c>
      <c r="N50" s="2">
        <v>10731000</v>
      </c>
      <c r="O50" s="2">
        <v>10731000</v>
      </c>
      <c r="P50" s="2">
        <v>10731000</v>
      </c>
      <c r="Q50" s="2">
        <v>10731000</v>
      </c>
      <c r="R50" s="34">
        <v>10731000</v>
      </c>
      <c r="S50" s="2">
        <v>10409070</v>
      </c>
    </row>
    <row r="51" spans="1:19" x14ac:dyDescent="0.45">
      <c r="A51" s="19" t="s">
        <v>86</v>
      </c>
      <c r="B51">
        <v>1000000</v>
      </c>
      <c r="C51">
        <v>750000</v>
      </c>
      <c r="D51">
        <v>1000000</v>
      </c>
      <c r="E51">
        <v>1806462</v>
      </c>
      <c r="F51">
        <v>3612924</v>
      </c>
      <c r="G51">
        <v>5419386</v>
      </c>
      <c r="H51">
        <v>7225848</v>
      </c>
      <c r="I51">
        <v>9032310</v>
      </c>
      <c r="J51">
        <v>9032310</v>
      </c>
      <c r="K51">
        <v>9032310</v>
      </c>
      <c r="L51">
        <v>9032310</v>
      </c>
      <c r="M51">
        <v>9032310</v>
      </c>
      <c r="N51">
        <v>9032310</v>
      </c>
      <c r="O51">
        <v>9032310</v>
      </c>
      <c r="P51">
        <v>9032310</v>
      </c>
      <c r="Q51">
        <v>9032310</v>
      </c>
      <c r="R51">
        <v>9032310</v>
      </c>
      <c r="S51">
        <v>8761340.6999999993</v>
      </c>
    </row>
    <row r="52" spans="1:19" x14ac:dyDescent="0.45">
      <c r="A52" s="20" t="s">
        <v>85</v>
      </c>
      <c r="B52" s="3">
        <v>1000000</v>
      </c>
      <c r="C52" s="3">
        <v>2000000</v>
      </c>
      <c r="D52" s="3">
        <v>2000000</v>
      </c>
      <c r="E52" s="3">
        <f>E48*0.87</f>
        <v>5179545</v>
      </c>
      <c r="F52" s="3">
        <f t="shared" ref="F52:S52" si="15">F48*0.87</f>
        <v>10359090</v>
      </c>
      <c r="G52" s="3">
        <f t="shared" si="15"/>
        <v>15538635</v>
      </c>
      <c r="H52" s="3">
        <f t="shared" si="15"/>
        <v>20718180</v>
      </c>
      <c r="I52" s="3">
        <f t="shared" si="15"/>
        <v>25897724.999999996</v>
      </c>
      <c r="J52" s="3">
        <f t="shared" si="15"/>
        <v>25897724.999999996</v>
      </c>
      <c r="K52" s="3">
        <f t="shared" si="15"/>
        <v>25897724.999999996</v>
      </c>
      <c r="L52" s="3">
        <f t="shared" si="15"/>
        <v>25897724.999999996</v>
      </c>
      <c r="M52" s="3">
        <f>M48*0.87</f>
        <v>25897724.999999996</v>
      </c>
      <c r="N52" s="3">
        <f t="shared" si="15"/>
        <v>25897724.999999996</v>
      </c>
      <c r="O52" s="3">
        <f t="shared" si="15"/>
        <v>25897724.999999996</v>
      </c>
      <c r="P52" s="3">
        <f t="shared" si="15"/>
        <v>25897724.999999996</v>
      </c>
      <c r="Q52" s="3">
        <f>Q48*0.87</f>
        <v>25897724.999999996</v>
      </c>
      <c r="R52" s="3">
        <f t="shared" si="15"/>
        <v>25897724.999999996</v>
      </c>
      <c r="S52" s="3">
        <f t="shared" si="15"/>
        <v>25120793.25</v>
      </c>
    </row>
    <row r="54" spans="1:19" x14ac:dyDescent="0.45">
      <c r="A54" s="26" t="s">
        <v>39</v>
      </c>
      <c r="B54" s="3">
        <f>B48+B50+B51-B52</f>
        <v>-3000000</v>
      </c>
      <c r="C54" s="3">
        <f t="shared" ref="C54:S54" si="16">C48+C50+C51-C52</f>
        <v>-3500000</v>
      </c>
      <c r="D54" s="3">
        <f t="shared" si="16"/>
        <v>-3500000</v>
      </c>
      <c r="E54" s="3">
        <f t="shared" si="16"/>
        <v>4726617</v>
      </c>
      <c r="F54" s="3">
        <f t="shared" si="16"/>
        <v>9453234</v>
      </c>
      <c r="G54" s="3">
        <f t="shared" si="16"/>
        <v>14179851</v>
      </c>
      <c r="H54" s="3">
        <f t="shared" si="16"/>
        <v>18906468</v>
      </c>
      <c r="I54" s="3">
        <f t="shared" si="16"/>
        <v>23633085.000000004</v>
      </c>
      <c r="J54" s="3">
        <f t="shared" si="16"/>
        <v>23633085.000000004</v>
      </c>
      <c r="K54" s="3">
        <f t="shared" si="16"/>
        <v>23633085.000000004</v>
      </c>
      <c r="L54" s="3">
        <f t="shared" si="16"/>
        <v>23633085.000000004</v>
      </c>
      <c r="M54" s="3">
        <f t="shared" si="16"/>
        <v>23633085.000000004</v>
      </c>
      <c r="N54" s="3">
        <f>N48+N50+N51-N52</f>
        <v>23633085.000000004</v>
      </c>
      <c r="O54" s="3">
        <f t="shared" si="16"/>
        <v>23633085.000000004</v>
      </c>
      <c r="P54" s="3">
        <f t="shared" si="16"/>
        <v>23633085.000000004</v>
      </c>
      <c r="Q54" s="3">
        <f t="shared" si="16"/>
        <v>23633085.000000004</v>
      </c>
      <c r="R54" s="3">
        <f t="shared" si="16"/>
        <v>23633085.000000004</v>
      </c>
      <c r="S54" s="3">
        <f t="shared" si="16"/>
        <v>22924092.450000003</v>
      </c>
    </row>
    <row r="55" spans="1:19" x14ac:dyDescent="0.45">
      <c r="A55" t="s">
        <v>0</v>
      </c>
      <c r="B55">
        <v>0.15</v>
      </c>
      <c r="C55" s="5">
        <v>0.15</v>
      </c>
      <c r="D55" s="5">
        <v>0.15</v>
      </c>
      <c r="E55" s="5">
        <v>0.15</v>
      </c>
      <c r="F55" s="5">
        <v>0.15</v>
      </c>
      <c r="G55" s="5">
        <v>0.15</v>
      </c>
      <c r="H55" s="5">
        <v>0.15</v>
      </c>
      <c r="I55" s="5">
        <v>0.15</v>
      </c>
      <c r="J55" s="5">
        <v>0.15</v>
      </c>
      <c r="K55" s="5">
        <v>0.15</v>
      </c>
      <c r="L55" s="5">
        <v>0.15</v>
      </c>
      <c r="M55" s="5">
        <v>0.15</v>
      </c>
      <c r="N55" s="5">
        <v>0.15</v>
      </c>
      <c r="O55" s="5">
        <v>0.15</v>
      </c>
      <c r="P55" s="5">
        <v>0.1</v>
      </c>
      <c r="Q55" s="5">
        <v>0.1</v>
      </c>
      <c r="R55" s="5">
        <v>0.1</v>
      </c>
      <c r="S55" s="5">
        <v>0.1</v>
      </c>
    </row>
    <row r="56" spans="1:19" x14ac:dyDescent="0.45">
      <c r="A56" s="25" t="s">
        <v>38</v>
      </c>
      <c r="B56" s="2">
        <f>(B54)/((1+B55)^0.5)</f>
        <v>-2797514.4247209411</v>
      </c>
      <c r="C56" s="2">
        <f>(C54)/((1+C55)^1.5)</f>
        <v>-2838058.1120357378</v>
      </c>
      <c r="D56" s="2">
        <f>(D54)/((1+D55)^2.5)</f>
        <v>-2467876.6191615113</v>
      </c>
      <c r="E56" s="2">
        <f>(E54)/((1+E55)^3.5)</f>
        <v>2898063.9955357332</v>
      </c>
      <c r="F56" s="2">
        <f>(F54)/((1+F55)^4.5)</f>
        <v>5040111.2965838844</v>
      </c>
      <c r="G56" s="2">
        <f>(G54)/((1+G55)^5.5)</f>
        <v>6574058.2129355017</v>
      </c>
      <c r="H56" s="2">
        <f>(H54)/((1+H55)^6.5)</f>
        <v>7622096.4787657997</v>
      </c>
      <c r="I56" s="2">
        <f>(I54)/((1+I55)^7.5)</f>
        <v>8284887.4769193493</v>
      </c>
      <c r="J56" s="2">
        <f>(J54)/((1+J55)^8.5)</f>
        <v>7204249.9799298691</v>
      </c>
      <c r="K56" s="2">
        <f>(K54)/((1+K55)^9.5)</f>
        <v>6264565.1999390172</v>
      </c>
      <c r="L56" s="2">
        <f>(L54)/((1+L55)^10.5)</f>
        <v>5447447.9999469714</v>
      </c>
      <c r="M56" s="2">
        <f>(M54)/((1+M55)^11.5)</f>
        <v>4736911.3043017155</v>
      </c>
      <c r="N56" s="2">
        <f>(N54)/((1+N55)^12.5)</f>
        <v>4119053.3080884484</v>
      </c>
      <c r="O56" s="2">
        <f>(O54)/((1+O55)^13.5)</f>
        <v>3581785.4852943029</v>
      </c>
      <c r="P56" s="2">
        <f>(P54)/((1+P55)^14.5)</f>
        <v>5933712.2556031002</v>
      </c>
      <c r="Q56" s="2">
        <f>(Q54)/((1+Q55)^15.5)</f>
        <v>5394283.8687300906</v>
      </c>
      <c r="R56" s="2">
        <f>(R54)/((1+R55)^16.5)</f>
        <v>4903894.426118264</v>
      </c>
      <c r="S56" s="2">
        <f>(S54)/((1+S55)^17.5)</f>
        <v>4324343.266667923</v>
      </c>
    </row>
    <row r="58" spans="1:19" x14ac:dyDescent="0.45">
      <c r="A58" s="15" t="s">
        <v>40</v>
      </c>
      <c r="B58" s="30">
        <f>SUM(B56:R56)</f>
        <v>69901672.132773861</v>
      </c>
    </row>
    <row r="59" spans="1:19" x14ac:dyDescent="0.45">
      <c r="A59" s="16"/>
      <c r="B59" s="16"/>
      <c r="C59" s="16"/>
      <c r="D59" s="16"/>
      <c r="E59" s="16"/>
      <c r="F59" s="16"/>
      <c r="G59" s="16"/>
    </row>
    <row r="60" spans="1:19" ht="15.75" x14ac:dyDescent="0.5">
      <c r="A60" s="27" t="s">
        <v>41</v>
      </c>
    </row>
    <row r="62" spans="1:19" x14ac:dyDescent="0.45">
      <c r="A62" t="s">
        <v>47</v>
      </c>
      <c r="B62" s="24">
        <f>S48</f>
        <v>28874475</v>
      </c>
      <c r="D62" s="24"/>
      <c r="E62" s="24"/>
    </row>
    <row r="63" spans="1:19" x14ac:dyDescent="0.45">
      <c r="A63" t="s">
        <v>50</v>
      </c>
      <c r="B63" s="4">
        <v>0.1</v>
      </c>
    </row>
    <row r="64" spans="1:19" x14ac:dyDescent="0.45">
      <c r="A64" t="s">
        <v>42</v>
      </c>
      <c r="B64" s="4">
        <v>0.03</v>
      </c>
    </row>
    <row r="65" spans="1:7" s="5" customFormat="1" x14ac:dyDescent="0.45">
      <c r="A65" s="5" t="s">
        <v>48</v>
      </c>
      <c r="B65" s="4">
        <v>0.1</v>
      </c>
    </row>
    <row r="66" spans="1:7" x14ac:dyDescent="0.45">
      <c r="A66" t="s">
        <v>49</v>
      </c>
      <c r="B66" s="24">
        <f>(B62*(1-(B64/B65)))/(B63-B64)</f>
        <v>288744750</v>
      </c>
      <c r="C66" t="s">
        <v>51</v>
      </c>
      <c r="D66" s="28"/>
    </row>
    <row r="67" spans="1:7" x14ac:dyDescent="0.45">
      <c r="A67" t="s">
        <v>3</v>
      </c>
      <c r="B67">
        <v>16.5</v>
      </c>
    </row>
    <row r="68" spans="1:7" x14ac:dyDescent="0.45">
      <c r="A68" s="25" t="s">
        <v>43</v>
      </c>
      <c r="B68" s="30">
        <f>(B66)/((1+B63)^B67)</f>
        <v>59914893.468030579</v>
      </c>
    </row>
    <row r="69" spans="1:7" x14ac:dyDescent="0.45">
      <c r="A69" s="29"/>
      <c r="B69" s="29"/>
      <c r="C69" s="29"/>
      <c r="D69" s="29"/>
      <c r="E69" s="29"/>
      <c r="F69" s="29"/>
      <c r="G69" s="29"/>
    </row>
    <row r="71" spans="1:7" ht="15.75" x14ac:dyDescent="0.5">
      <c r="A71" s="27" t="s">
        <v>44</v>
      </c>
      <c r="B71" s="24">
        <f>B58+B68</f>
        <v>129816565.60080445</v>
      </c>
    </row>
    <row r="72" spans="1:7" x14ac:dyDescent="0.45">
      <c r="A72" t="s">
        <v>73</v>
      </c>
      <c r="B72">
        <v>13854792</v>
      </c>
    </row>
    <row r="74" spans="1:7" x14ac:dyDescent="0.45">
      <c r="A74" t="s">
        <v>74</v>
      </c>
      <c r="B74" s="28">
        <f>B71/B72</f>
        <v>9.3697953459571561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31" sqref="B31"/>
    </sheetView>
  </sheetViews>
  <sheetFormatPr defaultColWidth="8.86328125" defaultRowHeight="14.25" x14ac:dyDescent="0.45"/>
  <cols>
    <col min="1" max="1" width="94.86328125" style="5" customWidth="1"/>
    <col min="2" max="2" width="16.265625" style="5" customWidth="1"/>
    <col min="3" max="16384" width="8.86328125" style="5"/>
  </cols>
  <sheetData>
    <row r="1" spans="1:5" x14ac:dyDescent="0.45">
      <c r="A1" s="15" t="s">
        <v>58</v>
      </c>
      <c r="B1" s="36">
        <v>25.78</v>
      </c>
      <c r="C1" s="35" t="s">
        <v>57</v>
      </c>
      <c r="D1" s="35"/>
      <c r="E1" s="35"/>
    </row>
    <row r="7" spans="1:5" x14ac:dyDescent="0.45">
      <c r="A7" s="5" t="s">
        <v>56</v>
      </c>
      <c r="B7" s="32">
        <v>170100000</v>
      </c>
    </row>
    <row r="8" spans="1:5" x14ac:dyDescent="0.45">
      <c r="A8" s="5" t="s">
        <v>55</v>
      </c>
      <c r="B8" s="34">
        <f>B7*0.1752</f>
        <v>29801520</v>
      </c>
    </row>
    <row r="9" spans="1:5" x14ac:dyDescent="0.45">
      <c r="A9" s="5" t="s">
        <v>54</v>
      </c>
      <c r="B9" s="34">
        <f>B8*25.78</f>
        <v>768283185.60000002</v>
      </c>
    </row>
    <row r="10" spans="1:5" x14ac:dyDescent="0.45">
      <c r="A10" s="5" t="s">
        <v>72</v>
      </c>
      <c r="B10" s="5">
        <v>0.1</v>
      </c>
    </row>
    <row r="11" spans="1:5" x14ac:dyDescent="0.45">
      <c r="A11" s="5" t="s">
        <v>53</v>
      </c>
      <c r="B11" s="5">
        <v>0.03</v>
      </c>
    </row>
    <row r="12" spans="1:5" x14ac:dyDescent="0.45">
      <c r="A12" s="5" t="s">
        <v>3</v>
      </c>
      <c r="B12" s="5">
        <v>16.5</v>
      </c>
    </row>
    <row r="13" spans="1:5" x14ac:dyDescent="0.45">
      <c r="A13" s="1" t="s">
        <v>52</v>
      </c>
      <c r="B13" s="33">
        <f>(B9)/(1.13^16.5)</f>
        <v>102264997.24424168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 forecast sheet</vt:lpstr>
      <vt:lpstr>Operating value calculation</vt:lpstr>
      <vt:lpstr>Pharma Comparables valuation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2016-04-22T19:03:12Z</dcterms:created>
  <dcterms:modified xsi:type="dcterms:W3CDTF">2016-07-08T20:50:23Z</dcterms:modified>
</cp:coreProperties>
</file>