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havn\Desktop\Keryx\"/>
    </mc:Choice>
  </mc:AlternateContent>
  <bookViews>
    <workbookView xWindow="0" yWindow="0" windowWidth="22500" windowHeight="12023" activeTab="2"/>
  </bookViews>
  <sheets>
    <sheet name="Revenue forecast sheet" sheetId="7" r:id="rId1"/>
    <sheet name="Operating value calculation" sheetId="5" r:id="rId2"/>
    <sheet name="Equity value calculation" sheetId="11" r:id="rId3"/>
    <sheet name="Pharma Comparables valuation" sheetId="9" r:id="rId4"/>
    <sheet name="Notes" sheetId="8" r:id="rId5"/>
  </sheet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11" l="1"/>
  <c r="D9" i="5"/>
  <c r="E9" i="5"/>
  <c r="F9" i="5"/>
  <c r="G9" i="5"/>
  <c r="H9" i="5"/>
  <c r="I9" i="5"/>
  <c r="J9" i="5"/>
  <c r="K9" i="5"/>
  <c r="L9" i="5"/>
  <c r="M9" i="5"/>
  <c r="C9" i="5"/>
  <c r="B9" i="5"/>
  <c r="B8" i="5"/>
  <c r="H6" i="5"/>
  <c r="I6" i="5"/>
  <c r="J6" i="5"/>
  <c r="K6" i="5"/>
  <c r="L6" i="5"/>
  <c r="M6" i="5"/>
  <c r="D6" i="5"/>
  <c r="E6" i="5"/>
  <c r="F6" i="5"/>
  <c r="G6" i="5"/>
  <c r="C6" i="5"/>
  <c r="H5" i="5"/>
  <c r="I5" i="5"/>
  <c r="J5" i="5"/>
  <c r="K5" i="5"/>
  <c r="L5" i="5"/>
  <c r="M5" i="5"/>
  <c r="C5" i="5"/>
  <c r="D5" i="5"/>
  <c r="E5" i="5"/>
  <c r="F5" i="5"/>
  <c r="G5" i="5"/>
  <c r="B5" i="5"/>
  <c r="C6" i="7"/>
  <c r="D6" i="7" s="1"/>
  <c r="B5" i="7"/>
  <c r="M2" i="7"/>
  <c r="C2" i="7"/>
  <c r="D2" i="7"/>
  <c r="E2" i="7"/>
  <c r="F2" i="7"/>
  <c r="G2" i="7"/>
  <c r="H2" i="7"/>
  <c r="I2" i="7"/>
  <c r="J2" i="7"/>
  <c r="K2" i="7"/>
  <c r="L2" i="7"/>
  <c r="B2" i="7"/>
  <c r="B6" i="7" s="1"/>
  <c r="E6" i="7" l="1"/>
  <c r="D4" i="7"/>
  <c r="D5" i="7" s="1"/>
  <c r="C4" i="7"/>
  <c r="C5" i="7" s="1"/>
  <c r="B24" i="11"/>
  <c r="B7" i="11"/>
  <c r="E4" i="7" l="1"/>
  <c r="E5" i="7" s="1"/>
  <c r="F6" i="7"/>
  <c r="B42" i="5"/>
  <c r="C49" i="5"/>
  <c r="D49" i="5"/>
  <c r="E49" i="5"/>
  <c r="F49" i="5"/>
  <c r="G49" i="5"/>
  <c r="H49" i="5"/>
  <c r="I49" i="5"/>
  <c r="J49" i="5"/>
  <c r="K49" i="5"/>
  <c r="L49" i="5"/>
  <c r="M49" i="5"/>
  <c r="B49" i="5"/>
  <c r="C7" i="5"/>
  <c r="D7" i="5" l="1"/>
  <c r="C8" i="5"/>
  <c r="C10" i="5" s="1"/>
  <c r="G6" i="7"/>
  <c r="F4" i="7"/>
  <c r="F5" i="7" s="1"/>
  <c r="C18" i="5" l="1"/>
  <c r="C21" i="5" s="1"/>
  <c r="C23" i="5" s="1"/>
  <c r="C31" i="5" s="1"/>
  <c r="E7" i="5"/>
  <c r="D8" i="5"/>
  <c r="D10" i="5" s="1"/>
  <c r="D18" i="5" s="1"/>
  <c r="D21" i="5" s="1"/>
  <c r="D23" i="5" s="1"/>
  <c r="G4" i="7"/>
  <c r="G5" i="7" s="1"/>
  <c r="H6" i="7"/>
  <c r="F7" i="5" l="1"/>
  <c r="E8" i="5"/>
  <c r="E10" i="5" s="1"/>
  <c r="I6" i="7"/>
  <c r="H4" i="7"/>
  <c r="H5" i="7" s="1"/>
  <c r="D31" i="5"/>
  <c r="G7" i="5" l="1"/>
  <c r="F8" i="5"/>
  <c r="F10" i="5" s="1"/>
  <c r="E19" i="5"/>
  <c r="E21" i="5" s="1"/>
  <c r="E23" i="5" s="1"/>
  <c r="E18" i="5"/>
  <c r="I4" i="7"/>
  <c r="I5" i="7" s="1"/>
  <c r="J6" i="7"/>
  <c r="B8" i="9"/>
  <c r="B9" i="9" s="1"/>
  <c r="B13" i="9" l="1"/>
  <c r="B17" i="9" s="1"/>
  <c r="H7" i="5"/>
  <c r="G8" i="5"/>
  <c r="G10" i="5" s="1"/>
  <c r="E24" i="5"/>
  <c r="E31" i="5"/>
  <c r="E33" i="5" s="1"/>
  <c r="E26" i="5"/>
  <c r="E28" i="5" s="1"/>
  <c r="F18" i="5"/>
  <c r="F19" i="5" s="1"/>
  <c r="F21" i="5" s="1"/>
  <c r="F23" i="5" s="1"/>
  <c r="K6" i="7"/>
  <c r="J4" i="7"/>
  <c r="J5" i="7" s="1"/>
  <c r="E44" i="5"/>
  <c r="E47" i="5" s="1"/>
  <c r="D33" i="5"/>
  <c r="D44" i="5" s="1"/>
  <c r="E50" i="5" l="1"/>
  <c r="E52" i="5" s="1"/>
  <c r="E54" i="5" s="1"/>
  <c r="F31" i="5"/>
  <c r="F33" i="5" s="1"/>
  <c r="F44" i="5" s="1"/>
  <c r="F47" i="5" s="1"/>
  <c r="F24" i="5"/>
  <c r="F26" i="5"/>
  <c r="F28" i="5" s="1"/>
  <c r="G18" i="5"/>
  <c r="I7" i="5"/>
  <c r="H8" i="5"/>
  <c r="H10" i="5" s="1"/>
  <c r="L6" i="7"/>
  <c r="K4" i="7"/>
  <c r="K5" i="7" s="1"/>
  <c r="D47" i="5"/>
  <c r="D52" i="5" s="1"/>
  <c r="D54" i="5" s="1"/>
  <c r="D26" i="5"/>
  <c r="D28" i="5" s="1"/>
  <c r="F52" i="5" l="1"/>
  <c r="F54" i="5" s="1"/>
  <c r="F50" i="5"/>
  <c r="G19" i="5"/>
  <c r="G21" i="5" s="1"/>
  <c r="G23" i="5" s="1"/>
  <c r="H18" i="5"/>
  <c r="H19" i="5" s="1"/>
  <c r="H21" i="5" s="1"/>
  <c r="H23" i="5" s="1"/>
  <c r="J7" i="5"/>
  <c r="I8" i="5"/>
  <c r="I10" i="5" s="1"/>
  <c r="M6" i="7"/>
  <c r="M4" i="7" s="1"/>
  <c r="M5" i="7" s="1"/>
  <c r="L4" i="7"/>
  <c r="L5" i="7" s="1"/>
  <c r="B10" i="5"/>
  <c r="H31" i="5" l="1"/>
  <c r="H33" i="5" s="1"/>
  <c r="H44" i="5" s="1"/>
  <c r="H47" i="5" s="1"/>
  <c r="H24" i="5"/>
  <c r="H26" i="5"/>
  <c r="H28" i="5" s="1"/>
  <c r="G24" i="5"/>
  <c r="G31" i="5"/>
  <c r="G33" i="5" s="1"/>
  <c r="G44" i="5" s="1"/>
  <c r="G47" i="5" s="1"/>
  <c r="G26" i="5"/>
  <c r="G28" i="5" s="1"/>
  <c r="K7" i="5"/>
  <c r="J8" i="5"/>
  <c r="J10" i="5" s="1"/>
  <c r="I18" i="5"/>
  <c r="I19" i="5" s="1"/>
  <c r="I21" i="5" s="1"/>
  <c r="I23" i="5" s="1"/>
  <c r="B18" i="5"/>
  <c r="B21" i="5" s="1"/>
  <c r="B23" i="5" s="1"/>
  <c r="G52" i="5" l="1"/>
  <c r="G54" i="5" s="1"/>
  <c r="G50" i="5"/>
  <c r="H52" i="5"/>
  <c r="H54" i="5" s="1"/>
  <c r="H50" i="5"/>
  <c r="B31" i="5"/>
  <c r="B33" i="5" s="1"/>
  <c r="B44" i="5" s="1"/>
  <c r="B26" i="5"/>
  <c r="B28" i="5" s="1"/>
  <c r="I31" i="5"/>
  <c r="I33" i="5" s="1"/>
  <c r="I44" i="5" s="1"/>
  <c r="I47" i="5" s="1"/>
  <c r="I24" i="5"/>
  <c r="I26" i="5"/>
  <c r="I28" i="5" s="1"/>
  <c r="J18" i="5"/>
  <c r="J19" i="5" s="1"/>
  <c r="J21" i="5" s="1"/>
  <c r="J23" i="5" s="1"/>
  <c r="L7" i="5"/>
  <c r="K8" i="5"/>
  <c r="K10" i="5" s="1"/>
  <c r="B47" i="5"/>
  <c r="B52" i="5" s="1"/>
  <c r="B54" i="5" s="1"/>
  <c r="C26" i="5"/>
  <c r="C28" i="5" s="1"/>
  <c r="C33" i="5"/>
  <c r="I52" i="5" l="1"/>
  <c r="I54" i="5" s="1"/>
  <c r="I50" i="5"/>
  <c r="J31" i="5"/>
  <c r="J33" i="5" s="1"/>
  <c r="J44" i="5" s="1"/>
  <c r="J47" i="5" s="1"/>
  <c r="J24" i="5"/>
  <c r="J26" i="5"/>
  <c r="J28" i="5" s="1"/>
  <c r="K18" i="5"/>
  <c r="K19" i="5" s="1"/>
  <c r="K21" i="5" s="1"/>
  <c r="K23" i="5" s="1"/>
  <c r="M7" i="5"/>
  <c r="M8" i="5" s="1"/>
  <c r="M10" i="5" s="1"/>
  <c r="L8" i="5"/>
  <c r="L10" i="5" s="1"/>
  <c r="L18" i="5" s="1"/>
  <c r="L19" i="5" s="1"/>
  <c r="L21" i="5" s="1"/>
  <c r="L23" i="5" s="1"/>
  <c r="C44" i="5"/>
  <c r="C47" i="5" s="1"/>
  <c r="C52" i="5" s="1"/>
  <c r="C54" i="5" s="1"/>
  <c r="J52" i="5" l="1"/>
  <c r="J54" i="5" s="1"/>
  <c r="J50" i="5"/>
  <c r="K24" i="5"/>
  <c r="K31" i="5"/>
  <c r="K33" i="5" s="1"/>
  <c r="K44" i="5" s="1"/>
  <c r="K47" i="5" s="1"/>
  <c r="K26" i="5"/>
  <c r="K28" i="5" s="1"/>
  <c r="L24" i="5"/>
  <c r="L31" i="5"/>
  <c r="L33" i="5" s="1"/>
  <c r="L44" i="5" s="1"/>
  <c r="L47" i="5" s="1"/>
  <c r="L26" i="5"/>
  <c r="L28" i="5" s="1"/>
  <c r="M19" i="5"/>
  <c r="M21" i="5" s="1"/>
  <c r="M23" i="5" s="1"/>
  <c r="M18" i="5"/>
  <c r="K50" i="5" l="1"/>
  <c r="K52" i="5" s="1"/>
  <c r="K54" i="5" s="1"/>
  <c r="B56" i="5" s="1"/>
  <c r="L52" i="5"/>
  <c r="L54" i="5" s="1"/>
  <c r="L50" i="5"/>
  <c r="M31" i="5"/>
  <c r="M33" i="5" s="1"/>
  <c r="M44" i="5" s="1"/>
  <c r="M47" i="5" s="1"/>
  <c r="M24" i="5"/>
  <c r="M26" i="5"/>
  <c r="M28" i="5" s="1"/>
  <c r="M52" i="5" l="1"/>
  <c r="M50" i="5"/>
  <c r="B60" i="5"/>
  <c r="B64" i="5" s="1"/>
  <c r="B66" i="5" s="1"/>
  <c r="B69" i="5" s="1"/>
  <c r="B1" i="11" s="1"/>
  <c r="M54" i="5"/>
  <c r="B5" i="11" l="1"/>
  <c r="B38" i="11"/>
  <c r="B42" i="11" s="1"/>
</calcChain>
</file>

<file path=xl/sharedStrings.xml><?xml version="1.0" encoding="utf-8"?>
<sst xmlns="http://schemas.openxmlformats.org/spreadsheetml/2006/main" count="130" uniqueCount="124">
  <si>
    <t>Discount rate</t>
  </si>
  <si>
    <t>Time periods to discount back, years</t>
  </si>
  <si>
    <t>NOPLAT</t>
  </si>
  <si>
    <t>USD</t>
  </si>
  <si>
    <t>Good will writedowns</t>
  </si>
  <si>
    <t>Interest income</t>
  </si>
  <si>
    <t>Interest expense</t>
  </si>
  <si>
    <t>Earnings before taxes</t>
  </si>
  <si>
    <t>Minority interest</t>
  </si>
  <si>
    <t>Income before extraordinary items</t>
  </si>
  <si>
    <t>Extraordinary items, after tax</t>
  </si>
  <si>
    <t>Preferred share dividends</t>
  </si>
  <si>
    <t>Earnings for common shareholders</t>
  </si>
  <si>
    <t>Common dividends</t>
  </si>
  <si>
    <t>Decrease/increase in operating deferred taxes</t>
  </si>
  <si>
    <t>Adjusted Net income</t>
  </si>
  <si>
    <t>Amortization, of past sale/leaseback gains</t>
  </si>
  <si>
    <t>Severence and other restructuring charges</t>
  </si>
  <si>
    <t>Gains (losses) on asset sales</t>
  </si>
  <si>
    <t>Pension adjustments</t>
  </si>
  <si>
    <t>Operating lease interest</t>
  </si>
  <si>
    <t>Less: Investment income</t>
  </si>
  <si>
    <t xml:space="preserve">Non-operating income, exchange rate differences </t>
  </si>
  <si>
    <t>Step 1: Revenue and Net Income calculation</t>
  </si>
  <si>
    <t>Step 2: Reconciliation of Net Income to calculate NOPLAT</t>
  </si>
  <si>
    <t>Step 3: Free Cash flow calculation from NOPLAT</t>
  </si>
  <si>
    <t>Add non-cash operating expenses</t>
  </si>
  <si>
    <t>Discounted value of FCF , USD</t>
  </si>
  <si>
    <t>Sum of discounted FCFs till peak revenue, USD</t>
  </si>
  <si>
    <t>Terminal FCF value calculation</t>
  </si>
  <si>
    <t>Annual increase (decrease) in FCF after peak</t>
  </si>
  <si>
    <t>Discounted value of terminal FCF</t>
  </si>
  <si>
    <t xml:space="preserve">Forecasted Operating value </t>
  </si>
  <si>
    <t xml:space="preserve">NOPLAT </t>
  </si>
  <si>
    <t>NOPLAT in the year after peak revenue, USD</t>
  </si>
  <si>
    <t>RONIC</t>
  </si>
  <si>
    <t xml:space="preserve">Terminal value </t>
  </si>
  <si>
    <t>Discount rate , WACC</t>
  </si>
  <si>
    <t>(McKinsey NOPLAT formula)</t>
  </si>
  <si>
    <t>Discounted fair value of operating EV at present</t>
  </si>
  <si>
    <t>Estimated EV at peak revenue year, using EV/EBIT(1-t)=25.78</t>
  </si>
  <si>
    <t>Peak EBIT (1-t), at 17.52% of annual revenue, mean for sector, NYU data</t>
  </si>
  <si>
    <t>Average for Pharmaceuticals</t>
  </si>
  <si>
    <t>EV/EBIT (1-t)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</si>
  <si>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</si>
  <si>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</si>
  <si>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</si>
  <si>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</si>
  <si>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</si>
  <si>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</si>
  <si>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</si>
  <si>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</si>
  <si>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</si>
  <si>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</si>
  <si>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</si>
  <si>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Discount rate, 10%</t>
  </si>
  <si>
    <t>Undiluted share count</t>
  </si>
  <si>
    <t>FCF from operations, , USD</t>
  </si>
  <si>
    <t>Less reinvestment rate, 90% of NOPLAT  after 2019</t>
  </si>
  <si>
    <t>Retained profit, Equal to NI after 2019</t>
  </si>
  <si>
    <t>Peak forecasted revenue, USD in 2034</t>
  </si>
  <si>
    <t>Per share contribution</t>
  </si>
  <si>
    <t>Dep&amp;A, 7.3% x rev., risk-adjusted at 30%</t>
  </si>
  <si>
    <t>EBITA</t>
  </si>
  <si>
    <t>EBITDA, USD</t>
  </si>
  <si>
    <t>Stock comp expense</t>
  </si>
  <si>
    <t>Net Income(loss)</t>
  </si>
  <si>
    <t>Net Income/ Revenue</t>
  </si>
  <si>
    <t>Stock-based compensation expense</t>
  </si>
  <si>
    <t>Contigent liabilities x (1-t) if tax deductible</t>
  </si>
  <si>
    <t>Non-controlling minority interest (in subsidiaries)</t>
  </si>
  <si>
    <t>Fair value of employee stock options</t>
  </si>
  <si>
    <t>Fair value of preferred stock</t>
  </si>
  <si>
    <t>Restructuring charges e.g. from layoffs</t>
  </si>
  <si>
    <t>Long-term operating provisions (e.g. plant decommissioning costs), book value</t>
  </si>
  <si>
    <t>Unfunded pension/retirement liabilities x (1-tax rate)</t>
  </si>
  <si>
    <t>Securitized receivables</t>
  </si>
  <si>
    <t>PV of Operating leases</t>
  </si>
  <si>
    <t>Market value/Fair value of all outstanding debt (fixed and floating-rate), commercial paper, notes etc.</t>
  </si>
  <si>
    <t>Debt and other liabilities, total</t>
  </si>
  <si>
    <t>Value of discontinued operations</t>
  </si>
  <si>
    <t>Overfunded pension assets</t>
  </si>
  <si>
    <t>NPV of any noncontrolling interests in subsidiaries</t>
  </si>
  <si>
    <t>Loans to nonconsolidated subsidiaries and other companies</t>
  </si>
  <si>
    <t>NPV of operating FCF from subsidiaries</t>
  </si>
  <si>
    <t>Investments in subsidiaries</t>
  </si>
  <si>
    <t>Receivables from financial subsidiaries</t>
  </si>
  <si>
    <t>Any investments in marketable securities</t>
  </si>
  <si>
    <t>Financial investments</t>
  </si>
  <si>
    <t>Available for sale securities, 98% of total</t>
  </si>
  <si>
    <t xml:space="preserve">Excess Cash and cash equivalents, 98% of total, incl marketable securities </t>
  </si>
  <si>
    <t>Non-Operating assets, total</t>
  </si>
  <si>
    <t>Fair value per common share</t>
  </si>
  <si>
    <t>Fair value of equity of the firm from the indications in revenue forecast sheet</t>
  </si>
  <si>
    <t>Excess real estate (investment)</t>
  </si>
  <si>
    <t>Derivatives</t>
  </si>
  <si>
    <t>Estimated Enterprise Value</t>
  </si>
  <si>
    <t>Excess pension assets</t>
  </si>
  <si>
    <t>Excess marketable securities</t>
  </si>
  <si>
    <t>DCF</t>
  </si>
  <si>
    <t>input</t>
  </si>
  <si>
    <t>Estimated fair operating value of firm, DCF</t>
  </si>
  <si>
    <t>Restricted cash</t>
  </si>
  <si>
    <t>Auryxia sales in U.S.</t>
  </si>
  <si>
    <t>Candidate CKD patients (2 million, non-DD CKD, stage 3,4 with IDA + DD-CKD</t>
  </si>
  <si>
    <t>Market penetration</t>
  </si>
  <si>
    <t>Annual sales, forecasted, U.S only, USD</t>
  </si>
  <si>
    <t>Patients treated per year</t>
  </si>
  <si>
    <t>Cost per patient per year, USD ($909/month)</t>
  </si>
  <si>
    <t>Patent expiry in 2026 (if granted), then 5% annual decline</t>
  </si>
  <si>
    <t>R&amp;D expenses, 17.6% of revenue after 2017</t>
  </si>
  <si>
    <t>Cost of revenue, 25% x revenue (includes 5% royalties payable on US sales to Panion)</t>
  </si>
  <si>
    <t>S, G&amp;A expenses, 3% annual growth after 2016</t>
  </si>
  <si>
    <t>Dep&amp;A, 7.3% x rev. after 2016</t>
  </si>
  <si>
    <t>Amortization of debt discount</t>
  </si>
  <si>
    <t>non-cash increase in derivative liability</t>
  </si>
  <si>
    <t>Income taxes, 35% rate, operating loss carryforwards are adjusted later in equity calculation</t>
  </si>
  <si>
    <t>Amortization, debt discount</t>
  </si>
  <si>
    <t>non-cash change, derivative liabiltiy</t>
  </si>
  <si>
    <t>Derivative liability</t>
  </si>
  <si>
    <t>Accumulated tax loss carryforwards times tax rate (valuation allowance per 10-K)</t>
  </si>
  <si>
    <t>Other liabilities (deferred tax liabilities)</t>
  </si>
  <si>
    <t>Annual growth/decline after peak sales, percentage,</t>
  </si>
  <si>
    <t>Sell-side analyst targets= $9-$11 (in last week)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</si>
</sst>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0.0000"/>
    <numFmt numFmtId="167" formatCode="0.000%"/>
    <numFmt numFmtId="168" formatCode="0.000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3" tint="-0.24994659260841701"/>
      <name val="Arial"/>
      <family val="2"/>
    </font>
    <font>
      <b/>
      <sz val="10"/>
      <color theme="3" tint="-0.24994659260841701"/>
      <name val="Arial"/>
      <family val="2"/>
    </font>
    <font>
      <b/>
      <sz val="10"/>
      <color rgb="FFFF0000"/>
      <name val="Arial"/>
      <family val="2"/>
    </font>
    <font>
      <sz val="1"/>
      <color theme="1"/>
      <name val="Times New Roman"/>
      <family val="1"/>
    </font>
    <font>
      <sz val="10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3" fontId="0" fillId="0" borderId="0" xfId="0" applyNumberFormat="1"/>
    <xf numFmtId="10" fontId="0" fillId="0" borderId="0" xfId="0" applyNumberFormat="1"/>
    <xf numFmtId="0" fontId="0" fillId="0" borderId="0" xfId="0"/>
    <xf numFmtId="0" fontId="2" fillId="2" borderId="0" xfId="0" applyFont="1" applyFill="1"/>
    <xf numFmtId="0" fontId="3" fillId="0" borderId="0" xfId="0" applyFont="1"/>
    <xf numFmtId="0" fontId="4" fillId="0" borderId="0" xfId="0" applyFont="1"/>
    <xf numFmtId="0" fontId="2" fillId="0" borderId="0" xfId="0" applyFont="1"/>
    <xf numFmtId="0" fontId="3" fillId="4" borderId="0" xfId="0" applyFont="1" applyFill="1"/>
    <xf numFmtId="3" fontId="3" fillId="0" borderId="0" xfId="0" applyNumberFormat="1" applyFont="1"/>
    <xf numFmtId="0" fontId="3" fillId="2" borderId="0" xfId="0" applyFont="1" applyFill="1"/>
    <xf numFmtId="0" fontId="2" fillId="6" borderId="0" xfId="0" applyFont="1" applyFill="1"/>
    <xf numFmtId="0" fontId="1" fillId="6" borderId="0" xfId="0" applyFont="1" applyFill="1"/>
    <xf numFmtId="0" fontId="0" fillId="5" borderId="0" xfId="0" applyFill="1"/>
    <xf numFmtId="0" fontId="2" fillId="3" borderId="0" xfId="0" applyFont="1" applyFill="1"/>
    <xf numFmtId="0" fontId="0" fillId="3" borderId="0" xfId="0" applyFill="1"/>
    <xf numFmtId="0" fontId="5" fillId="0" borderId="0" xfId="0" applyFont="1"/>
    <xf numFmtId="0" fontId="5" fillId="7" borderId="0" xfId="0" applyFont="1" applyFill="1"/>
    <xf numFmtId="0" fontId="4" fillId="6" borderId="0" xfId="0" applyFont="1" applyFill="1"/>
    <xf numFmtId="164" fontId="0" fillId="0" borderId="0" xfId="0" applyNumberFormat="1"/>
    <xf numFmtId="0" fontId="0" fillId="9" borderId="0" xfId="0" applyFill="1"/>
    <xf numFmtId="0" fontId="1" fillId="8" borderId="0" xfId="0" applyFont="1" applyFill="1"/>
    <xf numFmtId="0" fontId="6" fillId="6" borderId="0" xfId="0" applyFont="1" applyFill="1"/>
    <xf numFmtId="165" fontId="0" fillId="0" borderId="0" xfId="0" applyNumberFormat="1"/>
    <xf numFmtId="0" fontId="0" fillId="10" borderId="0" xfId="0" applyFill="1"/>
    <xf numFmtId="164" fontId="0" fillId="2" borderId="0" xfId="0" applyNumberFormat="1" applyFill="1"/>
    <xf numFmtId="3" fontId="0" fillId="3" borderId="0" xfId="0" applyNumberFormat="1" applyFill="1"/>
    <xf numFmtId="42" fontId="1" fillId="0" borderId="0" xfId="0" applyNumberFormat="1" applyFont="1"/>
    <xf numFmtId="42" fontId="0" fillId="0" borderId="0" xfId="0" applyNumberFormat="1"/>
    <xf numFmtId="0" fontId="0" fillId="2" borderId="0" xfId="0" applyFill="1"/>
    <xf numFmtId="0" fontId="1" fillId="2" borderId="0" xfId="0" applyFont="1" applyFill="1"/>
    <xf numFmtId="3" fontId="7" fillId="0" borderId="0" xfId="0" applyNumberFormat="1" applyFont="1" applyFill="1"/>
    <xf numFmtId="3" fontId="8" fillId="0" borderId="0" xfId="0" applyNumberFormat="1" applyFont="1" applyFill="1"/>
    <xf numFmtId="49" fontId="8" fillId="0" borderId="0" xfId="0" applyNumberFormat="1" applyFont="1" applyFill="1"/>
    <xf numFmtId="42" fontId="3" fillId="0" borderId="0" xfId="0" applyNumberFormat="1" applyFont="1"/>
    <xf numFmtId="41" fontId="2" fillId="6" borderId="0" xfId="0" applyNumberFormat="1" applyFont="1" applyFill="1"/>
    <xf numFmtId="41" fontId="2" fillId="7" borderId="0" xfId="0" applyNumberFormat="1" applyFont="1" applyFill="1"/>
    <xf numFmtId="44" fontId="0" fillId="0" borderId="0" xfId="0" applyNumberFormat="1"/>
    <xf numFmtId="3" fontId="9" fillId="0" borderId="0" xfId="0" applyNumberFormat="1" applyFont="1" applyFill="1"/>
    <xf numFmtId="3" fontId="1" fillId="6" borderId="0" xfId="0" applyNumberFormat="1" applyFont="1" applyFill="1"/>
    <xf numFmtId="0" fontId="0" fillId="0" borderId="0" xfId="0" applyFont="1"/>
    <xf numFmtId="37" fontId="3" fillId="0" borderId="0" xfId="0" applyNumberFormat="1" applyFont="1"/>
    <xf numFmtId="0" fontId="2" fillId="0" borderId="0" xfId="0" applyFont="1" applyFill="1"/>
    <xf numFmtId="3" fontId="3" fillId="0" borderId="0" xfId="0" applyNumberFormat="1" applyFont="1" applyFill="1"/>
    <xf numFmtId="0" fontId="3" fillId="0" borderId="0" xfId="0" applyFont="1" applyFill="1"/>
    <xf numFmtId="166" fontId="3" fillId="0" borderId="0" xfId="0" applyNumberFormat="1" applyFont="1" applyFill="1"/>
    <xf numFmtId="44" fontId="0" fillId="0" borderId="0" xfId="0" applyNumberFormat="1" applyFill="1"/>
    <xf numFmtId="42" fontId="0" fillId="3" borderId="1" xfId="0" applyNumberFormat="1" applyFill="1" applyBorder="1"/>
    <xf numFmtId="0" fontId="1" fillId="9" borderId="0" xfId="0" applyFont="1" applyFill="1"/>
    <xf numFmtId="164" fontId="0" fillId="11" borderId="1" xfId="0" applyNumberFormat="1" applyFill="1" applyBorder="1"/>
    <xf numFmtId="0" fontId="0" fillId="11" borderId="1" xfId="0" applyFill="1" applyBorder="1"/>
    <xf numFmtId="42" fontId="0" fillId="11" borderId="1" xfId="0" applyNumberFormat="1" applyFill="1" applyBorder="1"/>
    <xf numFmtId="0" fontId="10" fillId="0" borderId="0" xfId="0" applyFont="1"/>
    <xf numFmtId="3" fontId="11" fillId="0" borderId="0" xfId="0" applyNumberFormat="1" applyFont="1"/>
    <xf numFmtId="0" fontId="0" fillId="0" borderId="0" xfId="0" applyAlignment="1">
      <alignment wrapText="1"/>
    </xf>
    <xf numFmtId="0" fontId="1" fillId="0" borderId="0" xfId="0" applyFont="1" applyFill="1" applyBorder="1"/>
    <xf numFmtId="44" fontId="0" fillId="3" borderId="1" xfId="0" applyNumberFormat="1" applyFill="1" applyBorder="1"/>
    <xf numFmtId="3" fontId="5" fillId="2" borderId="0" xfId="0" applyNumberFormat="1" applyFont="1" applyFill="1" applyAlignment="1">
      <alignment horizontal="right" vertical="top"/>
    </xf>
    <xf numFmtId="0" fontId="0" fillId="0" borderId="0" xfId="0" applyFill="1" applyBorder="1"/>
    <xf numFmtId="42" fontId="0" fillId="3" borderId="0" xfId="0" applyNumberFormat="1" applyFill="1"/>
    <xf numFmtId="0" fontId="1" fillId="6" borderId="0" xfId="0" applyFont="1" applyFill="1" applyBorder="1"/>
    <xf numFmtId="165" fontId="1" fillId="0" borderId="0" xfId="0" applyNumberFormat="1" applyFont="1" applyFill="1"/>
    <xf numFmtId="3" fontId="3" fillId="3" borderId="0" xfId="0" applyNumberFormat="1" applyFont="1" applyFill="1"/>
    <xf numFmtId="0" fontId="3" fillId="3" borderId="0" xfId="0" applyFont="1" applyFill="1"/>
    <xf numFmtId="167" fontId="0" fillId="0" borderId="0" xfId="0" applyNumberFormat="1"/>
    <xf numFmtId="168" fontId="0" fillId="0" borderId="0" xfId="0" applyNumberFormat="1"/>
    <xf numFmtId="3" fontId="0" fillId="11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CD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opLeftCell="C1" workbookViewId="0">
      <selection activeCell="L6" sqref="L6"/>
    </sheetView>
  </sheetViews>
  <sheetFormatPr defaultColWidth="8.86328125" defaultRowHeight="14.25" x14ac:dyDescent="0.45"/>
  <cols>
    <col min="1" max="1" width="99.796875" customWidth="1"/>
    <col min="2" max="2" width="23.86328125" customWidth="1"/>
    <col min="3" max="3" width="15.59765625" customWidth="1"/>
    <col min="4" max="4" width="14.265625" customWidth="1"/>
    <col min="5" max="5" width="13.73046875" customWidth="1"/>
    <col min="6" max="6" width="14.73046875" customWidth="1"/>
    <col min="7" max="7" width="15.73046875" customWidth="1"/>
    <col min="8" max="9" width="15.1328125" customWidth="1"/>
    <col min="10" max="10" width="16.86328125" customWidth="1"/>
    <col min="11" max="12" width="15.73046875" customWidth="1"/>
    <col min="13" max="13" width="14.265625" customWidth="1"/>
  </cols>
  <sheetData>
    <row r="1" spans="1:13" s="33" customFormat="1" ht="13.15" x14ac:dyDescent="0.4">
      <c r="A1" s="39" t="s">
        <v>103</v>
      </c>
      <c r="B1" s="34">
        <v>2016</v>
      </c>
      <c r="C1" s="34" t="s">
        <v>44</v>
      </c>
      <c r="D1" s="34" t="s">
        <v>45</v>
      </c>
      <c r="E1" s="34" t="s">
        <v>46</v>
      </c>
      <c r="F1" s="34" t="s">
        <v>47</v>
      </c>
      <c r="G1" s="34" t="s">
        <v>48</v>
      </c>
      <c r="H1" s="34" t="s">
        <v>49</v>
      </c>
      <c r="I1" s="34" t="s">
        <v>50</v>
      </c>
      <c r="J1" s="34" t="s">
        <v>51</v>
      </c>
      <c r="K1" s="34" t="s">
        <v>52</v>
      </c>
      <c r="L1" s="34" t="s">
        <v>53</v>
      </c>
      <c r="M1" s="34" t="s">
        <v>54</v>
      </c>
    </row>
    <row r="2" spans="1:13" x14ac:dyDescent="0.45">
      <c r="A2" s="32" t="s">
        <v>108</v>
      </c>
      <c r="B2" s="2">
        <f>909*12</f>
        <v>10908</v>
      </c>
      <c r="C2" s="2">
        <f t="shared" ref="C2:L2" si="0">909*12</f>
        <v>10908</v>
      </c>
      <c r="D2" s="2">
        <f t="shared" si="0"/>
        <v>10908</v>
      </c>
      <c r="E2" s="2">
        <f t="shared" si="0"/>
        <v>10908</v>
      </c>
      <c r="F2" s="2">
        <f t="shared" si="0"/>
        <v>10908</v>
      </c>
      <c r="G2" s="2">
        <f t="shared" si="0"/>
        <v>10908</v>
      </c>
      <c r="H2" s="2">
        <f t="shared" si="0"/>
        <v>10908</v>
      </c>
      <c r="I2" s="2">
        <f t="shared" si="0"/>
        <v>10908</v>
      </c>
      <c r="J2" s="2">
        <f t="shared" si="0"/>
        <v>10908</v>
      </c>
      <c r="K2" s="2">
        <f t="shared" si="0"/>
        <v>10908</v>
      </c>
      <c r="L2" s="2">
        <f t="shared" si="0"/>
        <v>10908</v>
      </c>
      <c r="M2" s="2">
        <f>909*12</f>
        <v>10908</v>
      </c>
    </row>
    <row r="3" spans="1:13" s="4" customFormat="1" x14ac:dyDescent="0.45">
      <c r="A3" s="32" t="s">
        <v>104</v>
      </c>
      <c r="B3" s="2">
        <v>2000000</v>
      </c>
      <c r="C3" s="2">
        <v>2000000</v>
      </c>
      <c r="D3" s="2">
        <v>2000000</v>
      </c>
      <c r="E3" s="2">
        <v>2000000</v>
      </c>
      <c r="F3" s="2">
        <v>2000000</v>
      </c>
      <c r="G3" s="2">
        <v>2000000</v>
      </c>
      <c r="H3" s="2">
        <v>2000000</v>
      </c>
      <c r="I3" s="2">
        <v>2000000</v>
      </c>
      <c r="J3" s="2">
        <v>2000000</v>
      </c>
      <c r="K3" s="2">
        <v>2000000</v>
      </c>
      <c r="L3" s="2">
        <v>2000000</v>
      </c>
      <c r="M3" s="2">
        <v>2000000</v>
      </c>
    </row>
    <row r="4" spans="1:13" s="4" customFormat="1" x14ac:dyDescent="0.45">
      <c r="A4" s="4" t="s">
        <v>105</v>
      </c>
      <c r="B4" s="65">
        <v>8.9999999999999998E-4</v>
      </c>
      <c r="C4" s="66">
        <f>(C6)/(C2*C3)</f>
        <v>2.0704987165383205E-3</v>
      </c>
      <c r="D4" s="66">
        <f>(D6)/(D2*D3)</f>
        <v>4.7621470480381364E-3</v>
      </c>
      <c r="E4" s="66">
        <f>(E6)/(E2*E3)</f>
        <v>1.0952938210487713E-2</v>
      </c>
      <c r="F4" s="66">
        <f>(F6)/(F2*F3)</f>
        <v>2.5191757884121736E-2</v>
      </c>
      <c r="G4" s="66">
        <f>(G6)/(G2*G3)</f>
        <v>3.7787636826182601E-2</v>
      </c>
      <c r="H4" s="66">
        <f t="shared" ref="H4:L4" si="1">(H6)/(H2*H3)</f>
        <v>3.967701866749173E-2</v>
      </c>
      <c r="I4" s="66">
        <f t="shared" si="1"/>
        <v>4.1660869600866318E-2</v>
      </c>
      <c r="J4" s="66">
        <f t="shared" si="1"/>
        <v>4.3743913080909642E-2</v>
      </c>
      <c r="K4" s="66">
        <f t="shared" si="1"/>
        <v>4.5931108734955123E-2</v>
      </c>
      <c r="L4" s="66">
        <f t="shared" si="1"/>
        <v>4.8227664171702878E-2</v>
      </c>
      <c r="M4" s="66">
        <f>(M6)/(M2*M3)</f>
        <v>4.5816280963117732E-2</v>
      </c>
    </row>
    <row r="5" spans="1:13" s="4" customFormat="1" x14ac:dyDescent="0.45">
      <c r="A5" s="4" t="s">
        <v>107</v>
      </c>
      <c r="B5" s="2">
        <f t="shared" ref="B5:G5" si="2">B3*B4</f>
        <v>1800</v>
      </c>
      <c r="C5" s="2">
        <f t="shared" si="2"/>
        <v>4140.9974330766408</v>
      </c>
      <c r="D5" s="2">
        <f t="shared" si="2"/>
        <v>9524.2940960762735</v>
      </c>
      <c r="E5" s="2">
        <f t="shared" si="2"/>
        <v>21905.876420975426</v>
      </c>
      <c r="F5" s="2">
        <f t="shared" si="2"/>
        <v>50383.515768243473</v>
      </c>
      <c r="G5" s="2">
        <f t="shared" si="2"/>
        <v>75575.273652365198</v>
      </c>
      <c r="H5" s="2">
        <f t="shared" ref="H5:M5" si="3">H3*H4</f>
        <v>79354.037334983455</v>
      </c>
      <c r="I5" s="2">
        <f t="shared" si="3"/>
        <v>83321.739201732635</v>
      </c>
      <c r="J5" s="2">
        <f t="shared" si="3"/>
        <v>87487.826161819292</v>
      </c>
      <c r="K5" s="2">
        <f t="shared" si="3"/>
        <v>91862.217469910247</v>
      </c>
      <c r="L5" s="2">
        <f t="shared" si="3"/>
        <v>96455.328343405752</v>
      </c>
      <c r="M5" s="2">
        <f t="shared" si="3"/>
        <v>91632.561926235459</v>
      </c>
    </row>
    <row r="6" spans="1:13" s="13" customFormat="1" x14ac:dyDescent="0.45">
      <c r="A6" s="13" t="s">
        <v>106</v>
      </c>
      <c r="B6" s="40">
        <f>B2*B3*B4</f>
        <v>19634400</v>
      </c>
      <c r="C6" s="40">
        <f>45170000</f>
        <v>45170000</v>
      </c>
      <c r="D6" s="40">
        <f>C6*2.3</f>
        <v>103890999.99999999</v>
      </c>
      <c r="E6" s="40">
        <f>D6*2.3</f>
        <v>238949299.99999994</v>
      </c>
      <c r="F6" s="40">
        <f>E6*2.3</f>
        <v>549583389.99999976</v>
      </c>
      <c r="G6" s="40">
        <f>F6*1.5</f>
        <v>824375084.99999964</v>
      </c>
      <c r="H6" s="40">
        <f>G6*1.05</f>
        <v>865593839.24999964</v>
      </c>
      <c r="I6" s="40">
        <f t="shared" ref="I6:L6" si="4">H6*1.05</f>
        <v>908873531.21249962</v>
      </c>
      <c r="J6" s="40">
        <f t="shared" si="4"/>
        <v>954317207.77312469</v>
      </c>
      <c r="K6" s="40">
        <f t="shared" si="4"/>
        <v>1002033068.161781</v>
      </c>
      <c r="L6" s="40">
        <f t="shared" si="4"/>
        <v>1052134721.56987</v>
      </c>
      <c r="M6" s="40">
        <f>L6*0.95</f>
        <v>999527985.4913764</v>
      </c>
    </row>
    <row r="7" spans="1:13" s="4" customFormat="1" x14ac:dyDescent="0.45"/>
    <row r="8" spans="1:13" x14ac:dyDescent="0.45">
      <c r="A8" t="s">
        <v>109</v>
      </c>
    </row>
    <row r="9" spans="1:13" s="14" customFormat="1" x14ac:dyDescent="0.45"/>
    <row r="12" spans="1:13" x14ac:dyDescent="0.45">
      <c r="F12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opLeftCell="A46" workbookViewId="0">
      <selection activeCell="E50" sqref="E50"/>
    </sheetView>
  </sheetViews>
  <sheetFormatPr defaultColWidth="8.86328125" defaultRowHeight="14.25" x14ac:dyDescent="0.45"/>
  <cols>
    <col min="1" max="1" width="86.3984375" customWidth="1"/>
    <col min="2" max="2" width="22" customWidth="1"/>
    <col min="3" max="3" width="12" customWidth="1"/>
    <col min="4" max="4" width="14.3984375" customWidth="1"/>
    <col min="5" max="5" width="15" customWidth="1"/>
    <col min="6" max="6" width="16.3984375" customWidth="1"/>
    <col min="7" max="7" width="16" customWidth="1"/>
    <col min="8" max="8" width="17" customWidth="1"/>
    <col min="9" max="9" width="15.265625" customWidth="1"/>
    <col min="10" max="10" width="13.3984375" customWidth="1"/>
    <col min="11" max="11" width="14.1328125" customWidth="1"/>
    <col min="12" max="12" width="14.265625" customWidth="1"/>
    <col min="13" max="13" width="16.796875" customWidth="1"/>
  </cols>
  <sheetData>
    <row r="1" spans="1:13" s="6" customFormat="1" ht="26.85" customHeight="1" x14ac:dyDescent="0.4">
      <c r="A1" s="5" t="s">
        <v>23</v>
      </c>
    </row>
    <row r="2" spans="1:13" s="7" customFormat="1" ht="13.15" x14ac:dyDescent="0.4">
      <c r="A2" s="7" t="s">
        <v>3</v>
      </c>
      <c r="B2" s="7">
        <v>2016</v>
      </c>
      <c r="C2" s="7">
        <v>2017</v>
      </c>
      <c r="D2" s="7">
        <v>2018</v>
      </c>
      <c r="E2" s="7">
        <v>2019</v>
      </c>
      <c r="F2" s="7">
        <v>2020</v>
      </c>
      <c r="G2" s="7">
        <v>2021</v>
      </c>
      <c r="H2" s="7">
        <v>2022</v>
      </c>
      <c r="I2" s="7">
        <v>2023</v>
      </c>
      <c r="J2" s="7">
        <v>2024</v>
      </c>
      <c r="K2" s="7">
        <v>2025</v>
      </c>
      <c r="L2" s="7">
        <v>2026</v>
      </c>
      <c r="M2" s="7">
        <v>2027</v>
      </c>
    </row>
    <row r="3" spans="1:13" s="7" customFormat="1" ht="13.15" x14ac:dyDescent="0.4"/>
    <row r="4" spans="1:13" s="37" customFormat="1" ht="29.1" customHeight="1" x14ac:dyDescent="0.4">
      <c r="A4" s="36" t="s">
        <v>106</v>
      </c>
      <c r="B4" s="37">
        <v>19634400</v>
      </c>
      <c r="C4" s="37">
        <v>45170000</v>
      </c>
      <c r="D4" s="37">
        <v>103890999.99999999</v>
      </c>
      <c r="E4" s="37">
        <v>238949299.99999994</v>
      </c>
      <c r="F4" s="37">
        <v>549583389.99999976</v>
      </c>
      <c r="G4" s="37">
        <v>824375084.99999964</v>
      </c>
      <c r="H4" s="37">
        <v>865593839.24999964</v>
      </c>
      <c r="I4" s="37">
        <v>908873531.21249962</v>
      </c>
      <c r="J4" s="37">
        <v>954317207.77312469</v>
      </c>
      <c r="K4" s="37">
        <v>1002033068.161781</v>
      </c>
      <c r="L4" s="37">
        <v>1052134721.56987</v>
      </c>
      <c r="M4" s="37">
        <v>999527985.4913764</v>
      </c>
    </row>
    <row r="5" spans="1:13" s="6" customFormat="1" ht="25.25" customHeight="1" x14ac:dyDescent="0.35">
      <c r="A5" s="6" t="s">
        <v>111</v>
      </c>
      <c r="B5" s="42">
        <f>B4*0.25</f>
        <v>4908600</v>
      </c>
      <c r="C5" s="42">
        <f t="shared" ref="C5:G5" si="0">C4*0.25</f>
        <v>11292500</v>
      </c>
      <c r="D5" s="42">
        <f t="shared" si="0"/>
        <v>25972749.999999996</v>
      </c>
      <c r="E5" s="42">
        <f t="shared" si="0"/>
        <v>59737324.999999985</v>
      </c>
      <c r="F5" s="42">
        <f t="shared" si="0"/>
        <v>137395847.49999994</v>
      </c>
      <c r="G5" s="42">
        <f t="shared" si="0"/>
        <v>206093771.24999991</v>
      </c>
      <c r="H5" s="42">
        <f>H4*0.25</f>
        <v>216398459.81249991</v>
      </c>
      <c r="I5" s="42">
        <f t="shared" ref="I5" si="1">I4*0.25</f>
        <v>227218382.8031249</v>
      </c>
      <c r="J5" s="42">
        <f t="shared" ref="J5" si="2">J4*0.25</f>
        <v>238579301.94328117</v>
      </c>
      <c r="K5" s="42">
        <f t="shared" ref="K5" si="3">K4*0.25</f>
        <v>250508267.04044524</v>
      </c>
      <c r="L5" s="42">
        <f t="shared" ref="L5" si="4">L4*0.25</f>
        <v>263033680.3924675</v>
      </c>
      <c r="M5" s="42">
        <f t="shared" ref="M5" si="5">M4*0.25</f>
        <v>249881996.3728441</v>
      </c>
    </row>
    <row r="6" spans="1:13" s="6" customFormat="1" ht="25.15" customHeight="1" x14ac:dyDescent="0.35">
      <c r="A6" s="6" t="s">
        <v>110</v>
      </c>
      <c r="B6" s="10">
        <v>28000000</v>
      </c>
      <c r="C6" s="10">
        <f>C4*0.176</f>
        <v>7949920</v>
      </c>
      <c r="D6" s="10">
        <f t="shared" ref="D6:M6" si="6">D4*0.176</f>
        <v>18284815.999999996</v>
      </c>
      <c r="E6" s="10">
        <f t="shared" si="6"/>
        <v>42055076.79999999</v>
      </c>
      <c r="F6" s="10">
        <f t="shared" si="6"/>
        <v>96726676.639999956</v>
      </c>
      <c r="G6" s="10">
        <f t="shared" si="6"/>
        <v>145090014.95999992</v>
      </c>
      <c r="H6" s="10">
        <f t="shared" si="6"/>
        <v>152344515.70799991</v>
      </c>
      <c r="I6" s="10">
        <f t="shared" si="6"/>
        <v>159961741.49339992</v>
      </c>
      <c r="J6" s="10">
        <f t="shared" si="6"/>
        <v>167959828.56806993</v>
      </c>
      <c r="K6" s="10">
        <f t="shared" si="6"/>
        <v>176357819.99647343</v>
      </c>
      <c r="L6" s="10">
        <f t="shared" si="6"/>
        <v>185175710.99629712</v>
      </c>
      <c r="M6" s="10">
        <f t="shared" si="6"/>
        <v>175916925.44648224</v>
      </c>
    </row>
    <row r="7" spans="1:13" s="6" customFormat="1" ht="23.25" customHeight="1" x14ac:dyDescent="0.35">
      <c r="A7" s="6" t="s">
        <v>112</v>
      </c>
      <c r="B7" s="35">
        <v>80000000</v>
      </c>
      <c r="C7" s="35">
        <f>B7*1.03</f>
        <v>82400000</v>
      </c>
      <c r="D7" s="35">
        <f t="shared" ref="D7:M7" si="7">C7*1.03</f>
        <v>84872000</v>
      </c>
      <c r="E7" s="35">
        <f t="shared" si="7"/>
        <v>87418160</v>
      </c>
      <c r="F7" s="35">
        <f t="shared" si="7"/>
        <v>90040704.799999997</v>
      </c>
      <c r="G7" s="35">
        <f t="shared" si="7"/>
        <v>92741925.944000006</v>
      </c>
      <c r="H7" s="35">
        <f t="shared" si="7"/>
        <v>95524183.722320005</v>
      </c>
      <c r="I7" s="35">
        <f>H7*1.03</f>
        <v>98389909.233989611</v>
      </c>
      <c r="J7" s="35">
        <f t="shared" si="7"/>
        <v>101341606.51100931</v>
      </c>
      <c r="K7" s="35">
        <f t="shared" si="7"/>
        <v>104381854.70633958</v>
      </c>
      <c r="L7" s="35">
        <f t="shared" si="7"/>
        <v>107513310.34752977</v>
      </c>
      <c r="M7" s="35">
        <f t="shared" si="7"/>
        <v>110738709.65795566</v>
      </c>
    </row>
    <row r="8" spans="1:13" s="64" customFormat="1" ht="32.85" customHeight="1" x14ac:dyDescent="0.4">
      <c r="A8" s="15" t="s">
        <v>64</v>
      </c>
      <c r="B8" s="63">
        <f>B4-B5-B6-B7</f>
        <v>-93274200</v>
      </c>
      <c r="C8" s="63">
        <f t="shared" ref="C8:G8" si="8">C4-C5-C6-C7</f>
        <v>-56472420</v>
      </c>
      <c r="D8" s="63">
        <f t="shared" si="8"/>
        <v>-25238566.000000015</v>
      </c>
      <c r="E8" s="63">
        <f t="shared" si="8"/>
        <v>49738738.199999958</v>
      </c>
      <c r="F8" s="63">
        <f t="shared" si="8"/>
        <v>225420161.05999988</v>
      </c>
      <c r="G8" s="63">
        <f t="shared" si="8"/>
        <v>380449372.84599984</v>
      </c>
      <c r="H8" s="63">
        <f>H4-H5-H6-H7</f>
        <v>401326680.0071798</v>
      </c>
      <c r="I8" s="63">
        <f t="shared" ref="I8" si="9">I4-I5-I6-I7</f>
        <v>423303497.6819852</v>
      </c>
      <c r="J8" s="63">
        <f t="shared" ref="J8" si="10">J4-J5-J6-J7</f>
        <v>446436470.75076425</v>
      </c>
      <c r="K8" s="63">
        <f t="shared" ref="K8" si="11">K4-K5-K6-K7</f>
        <v>470785126.41852272</v>
      </c>
      <c r="L8" s="63">
        <f t="shared" ref="L8" si="12">L4-L5-L6-L7</f>
        <v>496412019.83357561</v>
      </c>
      <c r="M8" s="63">
        <f t="shared" ref="M8" si="13">M4-M5-M6-M7</f>
        <v>462990354.01409435</v>
      </c>
    </row>
    <row r="9" spans="1:13" s="6" customFormat="1" ht="28.9" customHeight="1" x14ac:dyDescent="0.35">
      <c r="A9" s="6" t="s">
        <v>113</v>
      </c>
      <c r="B9" s="10">
        <f>261000*4</f>
        <v>1044000</v>
      </c>
      <c r="C9" s="10">
        <f>C4*0.073</f>
        <v>3297410</v>
      </c>
      <c r="D9" s="10">
        <f t="shared" ref="D9:M9" si="14">D4*0.073</f>
        <v>7584042.9999999981</v>
      </c>
      <c r="E9" s="10">
        <f t="shared" si="14"/>
        <v>17443298.899999995</v>
      </c>
      <c r="F9" s="10">
        <f t="shared" si="14"/>
        <v>40119587.469999976</v>
      </c>
      <c r="G9" s="10">
        <f t="shared" si="14"/>
        <v>60179381.204999968</v>
      </c>
      <c r="H9" s="10">
        <f t="shared" si="14"/>
        <v>63188350.265249968</v>
      </c>
      <c r="I9" s="10">
        <f t="shared" si="14"/>
        <v>66347767.77851247</v>
      </c>
      <c r="J9" s="10">
        <f t="shared" si="14"/>
        <v>69665156.167438105</v>
      </c>
      <c r="K9" s="10">
        <f t="shared" si="14"/>
        <v>73148413.975810006</v>
      </c>
      <c r="L9" s="10">
        <f t="shared" si="14"/>
        <v>76805834.674600512</v>
      </c>
      <c r="M9" s="10">
        <f t="shared" si="14"/>
        <v>72965542.940870479</v>
      </c>
    </row>
    <row r="10" spans="1:13" s="6" customFormat="1" ht="33.6" customHeight="1" x14ac:dyDescent="0.4">
      <c r="A10" s="12" t="s">
        <v>63</v>
      </c>
      <c r="B10" s="10">
        <f>B8-B9</f>
        <v>-94318200</v>
      </c>
      <c r="C10" s="10">
        <f t="shared" ref="C10:G10" si="15">C8-C9</f>
        <v>-59769830</v>
      </c>
      <c r="D10" s="10">
        <f t="shared" si="15"/>
        <v>-32822609.000000015</v>
      </c>
      <c r="E10" s="10">
        <f t="shared" si="15"/>
        <v>32295439.299999963</v>
      </c>
      <c r="F10" s="10">
        <f t="shared" si="15"/>
        <v>185300573.58999991</v>
      </c>
      <c r="G10" s="10">
        <f t="shared" si="15"/>
        <v>320269991.64099985</v>
      </c>
      <c r="H10" s="10">
        <f t="shared" ref="H10" si="16">H8-H9</f>
        <v>338138329.74192983</v>
      </c>
      <c r="I10" s="10">
        <f t="shared" ref="I10" si="17">I8-I9</f>
        <v>356955729.90347272</v>
      </c>
      <c r="J10" s="10">
        <f t="shared" ref="J10" si="18">J8-J9</f>
        <v>376771314.58332616</v>
      </c>
      <c r="K10" s="10">
        <f t="shared" ref="K10:L10" si="19">K8-K9</f>
        <v>397636712.44271272</v>
      </c>
      <c r="L10" s="10">
        <f t="shared" si="19"/>
        <v>419606185.15897512</v>
      </c>
      <c r="M10" s="10">
        <f>M8-M9</f>
        <v>390024811.07322389</v>
      </c>
    </row>
    <row r="11" spans="1:13" s="6" customFormat="1" ht="12.75" x14ac:dyDescent="0.35">
      <c r="A11" s="6" t="s">
        <v>4</v>
      </c>
    </row>
    <row r="12" spans="1:13" s="6" customFormat="1" ht="12.75" x14ac:dyDescent="0.35">
      <c r="A12" s="6" t="s">
        <v>114</v>
      </c>
      <c r="B12" s="10">
        <v>18500000</v>
      </c>
    </row>
    <row r="13" spans="1:13" s="6" customFormat="1" ht="12.75" x14ac:dyDescent="0.35">
      <c r="A13" s="6" t="s">
        <v>22</v>
      </c>
      <c r="B13" s="10"/>
      <c r="C13" s="10"/>
    </row>
    <row r="14" spans="1:13" s="6" customFormat="1" ht="12.75" x14ac:dyDescent="0.35">
      <c r="A14" s="6" t="s">
        <v>5</v>
      </c>
      <c r="B14" s="10"/>
    </row>
    <row r="15" spans="1:13" s="6" customFormat="1" ht="12.75" x14ac:dyDescent="0.35">
      <c r="A15" s="6" t="s">
        <v>6</v>
      </c>
    </row>
    <row r="16" spans="1:13" s="6" customFormat="1" ht="12.75" x14ac:dyDescent="0.35">
      <c r="A16" s="6" t="s">
        <v>115</v>
      </c>
      <c r="B16" s="10">
        <v>2700000</v>
      </c>
    </row>
    <row r="17" spans="1:15" s="6" customFormat="1" ht="12.75" x14ac:dyDescent="0.35">
      <c r="A17" s="6" t="s">
        <v>65</v>
      </c>
      <c r="B17" s="10">
        <v>3293000</v>
      </c>
      <c r="C17" s="10"/>
      <c r="D17" s="10"/>
    </row>
    <row r="18" spans="1:15" s="6" customFormat="1" ht="31.35" customHeight="1" x14ac:dyDescent="0.4">
      <c r="A18" s="12" t="s">
        <v>7</v>
      </c>
      <c r="B18" s="10">
        <f>(B10)-((SUM(B11:B17)))</f>
        <v>-118811200</v>
      </c>
      <c r="C18" s="10">
        <f t="shared" ref="C18:H18" si="20">(C10)-((SUM(C11:C17)))</f>
        <v>-59769830</v>
      </c>
      <c r="D18" s="10">
        <f t="shared" si="20"/>
        <v>-32822609.000000015</v>
      </c>
      <c r="E18" s="10">
        <f t="shared" si="20"/>
        <v>32295439.299999963</v>
      </c>
      <c r="F18" s="10">
        <f t="shared" si="20"/>
        <v>185300573.58999991</v>
      </c>
      <c r="G18" s="10">
        <f t="shared" si="20"/>
        <v>320269991.64099985</v>
      </c>
      <c r="H18" s="10">
        <f t="shared" si="20"/>
        <v>338138329.74192983</v>
      </c>
      <c r="I18" s="10">
        <f t="shared" ref="I18" si="21">(I10)-((SUM(I11:I17)))</f>
        <v>356955729.90347272</v>
      </c>
      <c r="J18" s="10">
        <f t="shared" ref="J18" si="22">(J10)-((SUM(J11:J17)))</f>
        <v>376771314.58332616</v>
      </c>
      <c r="K18" s="10">
        <f t="shared" ref="K18" si="23">(K10)-((SUM(K11:K17)))</f>
        <v>397636712.44271272</v>
      </c>
      <c r="L18" s="10">
        <f t="shared" ref="L18" si="24">(L10)-((SUM(L11:L17)))</f>
        <v>419606185.15897512</v>
      </c>
      <c r="M18" s="10">
        <f t="shared" ref="M18" si="25">(M10)-((SUM(M11:M17)))</f>
        <v>390024811.07322389</v>
      </c>
      <c r="N18" s="10"/>
      <c r="O18" s="10"/>
    </row>
    <row r="19" spans="1:15" s="6" customFormat="1" ht="27" customHeight="1" x14ac:dyDescent="0.35">
      <c r="A19" s="6" t="s">
        <v>116</v>
      </c>
      <c r="B19" s="6">
        <v>0</v>
      </c>
      <c r="C19" s="6">
        <v>0</v>
      </c>
      <c r="D19" s="10">
        <v>0</v>
      </c>
      <c r="E19" s="10">
        <f t="shared" ref="E19:K19" si="26">E18*0.35</f>
        <v>11303403.754999986</v>
      </c>
      <c r="F19" s="10">
        <f t="shared" si="26"/>
        <v>64855200.756499968</v>
      </c>
      <c r="G19" s="10">
        <f t="shared" si="26"/>
        <v>112094497.07434994</v>
      </c>
      <c r="H19" s="10">
        <f t="shared" si="26"/>
        <v>118348415.40967543</v>
      </c>
      <c r="I19" s="10">
        <f t="shared" si="26"/>
        <v>124934505.46621545</v>
      </c>
      <c r="J19" s="10">
        <f t="shared" si="26"/>
        <v>131869960.10416415</v>
      </c>
      <c r="K19" s="10">
        <f t="shared" si="26"/>
        <v>139172849.35494944</v>
      </c>
      <c r="L19" s="10">
        <f>L18*0.35</f>
        <v>146862164.80564129</v>
      </c>
      <c r="M19" s="10">
        <f t="shared" ref="M19" si="27">M18*0.35</f>
        <v>136508683.87562835</v>
      </c>
    </row>
    <row r="20" spans="1:15" s="6" customFormat="1" ht="27.4" customHeight="1" x14ac:dyDescent="0.35">
      <c r="A20" s="6" t="s">
        <v>8</v>
      </c>
    </row>
    <row r="21" spans="1:15" s="6" customFormat="1" ht="29.85" customHeight="1" x14ac:dyDescent="0.4">
      <c r="A21" s="12" t="s">
        <v>9</v>
      </c>
      <c r="B21" s="10">
        <f>B18-B19</f>
        <v>-118811200</v>
      </c>
      <c r="C21" s="10">
        <f t="shared" ref="C21:M21" si="28">C18-C19</f>
        <v>-59769830</v>
      </c>
      <c r="D21" s="10">
        <f t="shared" si="28"/>
        <v>-32822609.000000015</v>
      </c>
      <c r="E21" s="10">
        <f t="shared" si="28"/>
        <v>20992035.544999979</v>
      </c>
      <c r="F21" s="10">
        <f t="shared" si="28"/>
        <v>120445372.83349994</v>
      </c>
      <c r="G21" s="10">
        <f t="shared" si="28"/>
        <v>208175494.56664991</v>
      </c>
      <c r="H21" s="10">
        <f>H18-H19</f>
        <v>219789914.33225441</v>
      </c>
      <c r="I21" s="10">
        <f t="shared" si="28"/>
        <v>232021224.43725729</v>
      </c>
      <c r="J21" s="10">
        <f t="shared" si="28"/>
        <v>244901354.47916201</v>
      </c>
      <c r="K21" s="10">
        <f t="shared" si="28"/>
        <v>258463863.08776328</v>
      </c>
      <c r="L21" s="10">
        <f t="shared" si="28"/>
        <v>272744020.35333383</v>
      </c>
      <c r="M21" s="10">
        <f t="shared" si="28"/>
        <v>253516127.19759554</v>
      </c>
    </row>
    <row r="22" spans="1:15" s="6" customFormat="1" ht="12.75" x14ac:dyDescent="0.35">
      <c r="A22" s="6" t="s">
        <v>10</v>
      </c>
    </row>
    <row r="23" spans="1:15" s="64" customFormat="1" ht="32.1" customHeight="1" x14ac:dyDescent="0.4">
      <c r="A23" s="15" t="s">
        <v>66</v>
      </c>
      <c r="B23" s="63">
        <f>B21</f>
        <v>-118811200</v>
      </c>
      <c r="C23" s="63">
        <f t="shared" ref="C23:M23" si="29">C21</f>
        <v>-59769830</v>
      </c>
      <c r="D23" s="63">
        <f t="shared" si="29"/>
        <v>-32822609.000000015</v>
      </c>
      <c r="E23" s="63">
        <f t="shared" si="29"/>
        <v>20992035.544999979</v>
      </c>
      <c r="F23" s="63">
        <f t="shared" si="29"/>
        <v>120445372.83349994</v>
      </c>
      <c r="G23" s="63">
        <f t="shared" si="29"/>
        <v>208175494.56664991</v>
      </c>
      <c r="H23" s="63">
        <f t="shared" si="29"/>
        <v>219789914.33225441</v>
      </c>
      <c r="I23" s="63">
        <f t="shared" si="29"/>
        <v>232021224.43725729</v>
      </c>
      <c r="J23" s="63">
        <f t="shared" si="29"/>
        <v>244901354.47916201</v>
      </c>
      <c r="K23" s="63">
        <f t="shared" si="29"/>
        <v>258463863.08776328</v>
      </c>
      <c r="L23" s="63">
        <f t="shared" si="29"/>
        <v>272744020.35333383</v>
      </c>
      <c r="M23" s="63">
        <f t="shared" si="29"/>
        <v>253516127.19759554</v>
      </c>
      <c r="N23" s="63"/>
    </row>
    <row r="24" spans="1:15" s="45" customFormat="1" ht="32.1" customHeight="1" x14ac:dyDescent="0.4">
      <c r="A24" s="43" t="s">
        <v>67</v>
      </c>
      <c r="B24" s="44"/>
      <c r="C24" s="44"/>
      <c r="D24" s="46"/>
      <c r="E24" s="46">
        <f t="shared" ref="E24:M24" si="30">E23/E4</f>
        <v>8.7851420970892088E-2</v>
      </c>
      <c r="F24" s="46">
        <f t="shared" si="30"/>
        <v>0.21915759286957343</v>
      </c>
      <c r="G24" s="46">
        <f t="shared" si="30"/>
        <v>0.25252521377044046</v>
      </c>
      <c r="H24" s="46">
        <f t="shared" si="30"/>
        <v>0.25391806684147966</v>
      </c>
      <c r="I24" s="46">
        <f t="shared" si="30"/>
        <v>0.25528438937783243</v>
      </c>
      <c r="J24" s="46">
        <f t="shared" si="30"/>
        <v>0.25662468672301653</v>
      </c>
      <c r="K24" s="46">
        <f t="shared" si="30"/>
        <v>0.25793945459495915</v>
      </c>
      <c r="L24" s="46">
        <f t="shared" si="30"/>
        <v>0.25922917926934086</v>
      </c>
      <c r="M24" s="46">
        <f t="shared" si="30"/>
        <v>0.25363584699728531</v>
      </c>
      <c r="N24" s="44"/>
    </row>
    <row r="25" spans="1:15" s="6" customFormat="1" ht="12.75" x14ac:dyDescent="0.35">
      <c r="A25" s="6" t="s">
        <v>11</v>
      </c>
    </row>
    <row r="26" spans="1:15" s="6" customFormat="1" ht="29.1" customHeight="1" x14ac:dyDescent="0.4">
      <c r="A26" s="12" t="s">
        <v>12</v>
      </c>
      <c r="B26" s="10">
        <f>B23-B25</f>
        <v>-118811200</v>
      </c>
      <c r="C26" s="10">
        <f>C23-C25</f>
        <v>-59769830</v>
      </c>
      <c r="D26" s="10">
        <f t="shared" ref="D26:M26" si="31">D23-D25</f>
        <v>-32822609.000000015</v>
      </c>
      <c r="E26" s="10">
        <f t="shared" si="31"/>
        <v>20992035.544999979</v>
      </c>
      <c r="F26" s="10">
        <f t="shared" si="31"/>
        <v>120445372.83349994</v>
      </c>
      <c r="G26" s="10">
        <f t="shared" si="31"/>
        <v>208175494.56664991</v>
      </c>
      <c r="H26" s="10">
        <f t="shared" si="31"/>
        <v>219789914.33225441</v>
      </c>
      <c r="I26" s="10">
        <f t="shared" si="31"/>
        <v>232021224.43725729</v>
      </c>
      <c r="J26" s="10">
        <f t="shared" si="31"/>
        <v>244901354.47916201</v>
      </c>
      <c r="K26" s="10">
        <f t="shared" si="31"/>
        <v>258463863.08776328</v>
      </c>
      <c r="L26" s="10">
        <f t="shared" si="31"/>
        <v>272744020.35333383</v>
      </c>
      <c r="M26" s="10">
        <f t="shared" si="31"/>
        <v>253516127.19759554</v>
      </c>
    </row>
    <row r="27" spans="1:15" s="6" customFormat="1" ht="12.75" x14ac:dyDescent="0.35">
      <c r="A27" s="6" t="s">
        <v>13</v>
      </c>
    </row>
    <row r="28" spans="1:15" s="6" customFormat="1" ht="35.1" customHeight="1" x14ac:dyDescent="0.4">
      <c r="A28" s="12" t="s">
        <v>59</v>
      </c>
      <c r="B28" s="10">
        <f>B26-B27</f>
        <v>-118811200</v>
      </c>
      <c r="C28" s="10">
        <f>C26-C27</f>
        <v>-59769830</v>
      </c>
      <c r="D28" s="10">
        <f t="shared" ref="D28:J28" si="32">D26-D27</f>
        <v>-32822609.000000015</v>
      </c>
      <c r="E28" s="10">
        <f t="shared" si="32"/>
        <v>20992035.544999979</v>
      </c>
      <c r="F28" s="10">
        <f t="shared" si="32"/>
        <v>120445372.83349994</v>
      </c>
      <c r="G28" s="10">
        <f t="shared" si="32"/>
        <v>208175494.56664991</v>
      </c>
      <c r="H28" s="10">
        <f t="shared" si="32"/>
        <v>219789914.33225441</v>
      </c>
      <c r="I28" s="10">
        <f t="shared" si="32"/>
        <v>232021224.43725729</v>
      </c>
      <c r="J28" s="10">
        <f t="shared" si="32"/>
        <v>244901354.47916201</v>
      </c>
      <c r="K28" s="10">
        <f>K26-K27</f>
        <v>258463863.08776328</v>
      </c>
      <c r="L28" s="10">
        <f t="shared" ref="L28" si="33">L26-L27</f>
        <v>272744020.35333383</v>
      </c>
      <c r="M28" s="10">
        <f t="shared" ref="M28" si="34">M26-M27</f>
        <v>253516127.19759554</v>
      </c>
    </row>
    <row r="29" spans="1:15" s="9" customFormat="1" ht="12.75" x14ac:dyDescent="0.35"/>
    <row r="30" spans="1:15" s="6" customFormat="1" ht="26.65" customHeight="1" x14ac:dyDescent="0.4">
      <c r="A30" s="5" t="s">
        <v>24</v>
      </c>
      <c r="B30" s="11"/>
    </row>
    <row r="31" spans="1:15" s="64" customFormat="1" ht="24.75" customHeight="1" x14ac:dyDescent="0.4">
      <c r="A31" s="15" t="s">
        <v>66</v>
      </c>
      <c r="B31" s="63">
        <f>B23</f>
        <v>-118811200</v>
      </c>
      <c r="C31" s="63">
        <f t="shared" ref="C31:M31" si="35">C23</f>
        <v>-59769830</v>
      </c>
      <c r="D31" s="63">
        <f t="shared" si="35"/>
        <v>-32822609.000000015</v>
      </c>
      <c r="E31" s="63">
        <f t="shared" si="35"/>
        <v>20992035.544999979</v>
      </c>
      <c r="F31" s="63">
        <f t="shared" si="35"/>
        <v>120445372.83349994</v>
      </c>
      <c r="G31" s="63">
        <f t="shared" si="35"/>
        <v>208175494.56664991</v>
      </c>
      <c r="H31" s="63">
        <f>H23</f>
        <v>219789914.33225441</v>
      </c>
      <c r="I31" s="63">
        <f t="shared" si="35"/>
        <v>232021224.43725729</v>
      </c>
      <c r="J31" s="63">
        <f t="shared" si="35"/>
        <v>244901354.47916201</v>
      </c>
      <c r="K31" s="63">
        <f t="shared" si="35"/>
        <v>258463863.08776328</v>
      </c>
      <c r="L31" s="63">
        <f t="shared" si="35"/>
        <v>272744020.35333383</v>
      </c>
      <c r="M31" s="63">
        <f t="shared" si="35"/>
        <v>253516127.19759554</v>
      </c>
    </row>
    <row r="32" spans="1:15" s="6" customFormat="1" ht="12.75" x14ac:dyDescent="0.35">
      <c r="A32" s="6" t="s">
        <v>14</v>
      </c>
    </row>
    <row r="33" spans="1:17" s="6" customFormat="1" ht="33.6" customHeight="1" x14ac:dyDescent="0.4">
      <c r="A33" s="8" t="s">
        <v>15</v>
      </c>
      <c r="B33" s="10">
        <f>B31-B32</f>
        <v>-118811200</v>
      </c>
      <c r="C33" s="10">
        <f t="shared" ref="C33:M33" si="36">C31-C32</f>
        <v>-59769830</v>
      </c>
      <c r="D33" s="10">
        <f t="shared" si="36"/>
        <v>-32822609.000000015</v>
      </c>
      <c r="E33" s="10">
        <f t="shared" si="36"/>
        <v>20992035.544999979</v>
      </c>
      <c r="F33" s="10">
        <f t="shared" si="36"/>
        <v>120445372.83349994</v>
      </c>
      <c r="G33" s="10">
        <f t="shared" si="36"/>
        <v>208175494.56664991</v>
      </c>
      <c r="H33" s="10">
        <f t="shared" si="36"/>
        <v>219789914.33225441</v>
      </c>
      <c r="I33" s="10">
        <f t="shared" si="36"/>
        <v>232021224.43725729</v>
      </c>
      <c r="J33" s="10">
        <f t="shared" si="36"/>
        <v>244901354.47916201</v>
      </c>
      <c r="K33" s="10">
        <f t="shared" si="36"/>
        <v>258463863.08776328</v>
      </c>
      <c r="L33" s="10">
        <f t="shared" si="36"/>
        <v>272744020.35333383</v>
      </c>
      <c r="M33" s="10">
        <f t="shared" si="36"/>
        <v>253516127.19759554</v>
      </c>
      <c r="N33" s="10"/>
      <c r="O33" s="10"/>
      <c r="P33" s="10"/>
      <c r="Q33" s="10"/>
    </row>
    <row r="34" spans="1:17" s="6" customFormat="1" ht="12.75" x14ac:dyDescent="0.35">
      <c r="A34" s="6" t="s">
        <v>117</v>
      </c>
      <c r="B34" s="10">
        <v>18500000</v>
      </c>
      <c r="C34" s="10"/>
      <c r="D34" s="10"/>
    </row>
    <row r="35" spans="1:17" s="6" customFormat="1" ht="12.75" x14ac:dyDescent="0.35">
      <c r="A35" s="6" t="s">
        <v>16</v>
      </c>
      <c r="B35" s="10"/>
    </row>
    <row r="36" spans="1:17" s="6" customFormat="1" ht="12.75" x14ac:dyDescent="0.35">
      <c r="A36" s="6" t="s">
        <v>17</v>
      </c>
    </row>
    <row r="37" spans="1:17" s="6" customFormat="1" ht="12.75" x14ac:dyDescent="0.35">
      <c r="A37" s="6" t="s">
        <v>18</v>
      </c>
    </row>
    <row r="38" spans="1:17" s="6" customFormat="1" ht="12.75" x14ac:dyDescent="0.35">
      <c r="A38" s="6" t="s">
        <v>19</v>
      </c>
    </row>
    <row r="39" spans="1:17" s="6" customFormat="1" ht="12.75" x14ac:dyDescent="0.35">
      <c r="A39" s="6" t="s">
        <v>20</v>
      </c>
    </row>
    <row r="40" spans="1:17" s="6" customFormat="1" ht="12.75" x14ac:dyDescent="0.35">
      <c r="A40" s="6" t="s">
        <v>6</v>
      </c>
    </row>
    <row r="41" spans="1:17" s="6" customFormat="1" ht="12.75" x14ac:dyDescent="0.35">
      <c r="A41" s="6" t="s">
        <v>21</v>
      </c>
      <c r="B41" s="10"/>
    </row>
    <row r="42" spans="1:17" s="6" customFormat="1" ht="12.75" x14ac:dyDescent="0.35">
      <c r="A42" s="6" t="s">
        <v>68</v>
      </c>
      <c r="B42" s="10">
        <f>B17</f>
        <v>3293000</v>
      </c>
      <c r="C42" s="10"/>
    </row>
    <row r="43" spans="1:17" s="6" customFormat="1" ht="12.75" x14ac:dyDescent="0.35">
      <c r="A43" s="6" t="s">
        <v>118</v>
      </c>
      <c r="B43" s="10">
        <v>2700000</v>
      </c>
    </row>
    <row r="44" spans="1:17" s="6" customFormat="1" ht="32.85" customHeight="1" x14ac:dyDescent="0.4">
      <c r="A44" s="12" t="s">
        <v>33</v>
      </c>
      <c r="B44" s="10">
        <f>B33+B34+B41+B42</f>
        <v>-97018200</v>
      </c>
      <c r="C44" s="10">
        <f t="shared" ref="C44:M44" si="37">C33+C40+C42</f>
        <v>-59769830</v>
      </c>
      <c r="D44" s="10">
        <f t="shared" si="37"/>
        <v>-32822609.000000015</v>
      </c>
      <c r="E44" s="10">
        <f t="shared" si="37"/>
        <v>20992035.544999979</v>
      </c>
      <c r="F44" s="10">
        <f t="shared" si="37"/>
        <v>120445372.83349994</v>
      </c>
      <c r="G44" s="10">
        <f t="shared" si="37"/>
        <v>208175494.56664991</v>
      </c>
      <c r="H44" s="10">
        <f>H33+H40+H42</f>
        <v>219789914.33225441</v>
      </c>
      <c r="I44" s="10">
        <f t="shared" si="37"/>
        <v>232021224.43725729</v>
      </c>
      <c r="J44" s="10">
        <f t="shared" si="37"/>
        <v>244901354.47916201</v>
      </c>
      <c r="K44" s="10">
        <f t="shared" si="37"/>
        <v>258463863.08776328</v>
      </c>
      <c r="L44" s="10">
        <f t="shared" si="37"/>
        <v>272744020.35333383</v>
      </c>
      <c r="M44" s="10">
        <f t="shared" si="37"/>
        <v>253516127.19759554</v>
      </c>
    </row>
    <row r="45" spans="1:17" s="14" customFormat="1" x14ac:dyDescent="0.45"/>
    <row r="46" spans="1:17" x14ac:dyDescent="0.45">
      <c r="A46" s="15" t="s">
        <v>25</v>
      </c>
      <c r="B46" s="16"/>
    </row>
    <row r="47" spans="1:17" x14ac:dyDescent="0.45">
      <c r="A47" s="19" t="s">
        <v>2</v>
      </c>
      <c r="B47" s="2">
        <f>B44</f>
        <v>-97018200</v>
      </c>
      <c r="C47" s="2">
        <f t="shared" ref="C47:M47" si="38">C44</f>
        <v>-59769830</v>
      </c>
      <c r="D47" s="2">
        <f t="shared" si="38"/>
        <v>-32822609.000000015</v>
      </c>
      <c r="E47" s="2">
        <f t="shared" si="38"/>
        <v>20992035.544999979</v>
      </c>
      <c r="F47" s="2">
        <f t="shared" si="38"/>
        <v>120445372.83349994</v>
      </c>
      <c r="G47" s="2">
        <f t="shared" si="38"/>
        <v>208175494.56664991</v>
      </c>
      <c r="H47" s="2">
        <f t="shared" si="38"/>
        <v>219789914.33225441</v>
      </c>
      <c r="I47" s="2">
        <f t="shared" si="38"/>
        <v>232021224.43725729</v>
      </c>
      <c r="J47" s="2">
        <f t="shared" si="38"/>
        <v>244901354.47916201</v>
      </c>
      <c r="K47" s="2">
        <f t="shared" si="38"/>
        <v>258463863.08776328</v>
      </c>
      <c r="L47" s="2">
        <f>L44</f>
        <v>272744020.35333383</v>
      </c>
      <c r="M47" s="2">
        <f t="shared" si="38"/>
        <v>253516127.19759554</v>
      </c>
    </row>
    <row r="48" spans="1:17" x14ac:dyDescent="0.45">
      <c r="A48" s="18" t="s">
        <v>26</v>
      </c>
    </row>
    <row r="49" spans="1:13" x14ac:dyDescent="0.45">
      <c r="A49" s="17" t="s">
        <v>62</v>
      </c>
      <c r="B49" s="2">
        <f>B9</f>
        <v>1044000</v>
      </c>
      <c r="C49" s="2">
        <f t="shared" ref="C49:M49" si="39">C9</f>
        <v>3297410</v>
      </c>
      <c r="D49" s="2">
        <f t="shared" si="39"/>
        <v>7584042.9999999981</v>
      </c>
      <c r="E49" s="2">
        <f t="shared" si="39"/>
        <v>17443298.899999995</v>
      </c>
      <c r="F49" s="2">
        <f t="shared" si="39"/>
        <v>40119587.469999976</v>
      </c>
      <c r="G49" s="2">
        <f t="shared" si="39"/>
        <v>60179381.204999968</v>
      </c>
      <c r="H49" s="2">
        <f>H9</f>
        <v>63188350.265249968</v>
      </c>
      <c r="I49" s="2">
        <f t="shared" si="39"/>
        <v>66347767.77851247</v>
      </c>
      <c r="J49" s="2">
        <f t="shared" si="39"/>
        <v>69665156.167438105</v>
      </c>
      <c r="K49" s="2">
        <f t="shared" si="39"/>
        <v>73148413.975810006</v>
      </c>
      <c r="L49" s="2">
        <f t="shared" si="39"/>
        <v>76805834.674600512</v>
      </c>
      <c r="M49" s="2">
        <f t="shared" si="39"/>
        <v>72965542.940870479</v>
      </c>
    </row>
    <row r="50" spans="1:13" x14ac:dyDescent="0.45">
      <c r="A50" s="18" t="s">
        <v>58</v>
      </c>
      <c r="B50" s="2">
        <v>2037000</v>
      </c>
      <c r="C50" s="2">
        <v>2000000</v>
      </c>
      <c r="D50" s="2">
        <v>2000000</v>
      </c>
      <c r="E50" s="2">
        <f>E47*0.9</f>
        <v>18892831.990499981</v>
      </c>
      <c r="F50" s="2">
        <f t="shared" ref="F50:M50" si="40">F47*0.9</f>
        <v>108400835.55014995</v>
      </c>
      <c r="G50" s="2">
        <f t="shared" si="40"/>
        <v>187357945.10998493</v>
      </c>
      <c r="H50" s="2">
        <f t="shared" si="40"/>
        <v>197810922.89902899</v>
      </c>
      <c r="I50" s="2">
        <f t="shared" si="40"/>
        <v>208819101.99353155</v>
      </c>
      <c r="J50" s="2">
        <f t="shared" si="40"/>
        <v>220411219.0312458</v>
      </c>
      <c r="K50" s="2">
        <f t="shared" si="40"/>
        <v>232617476.77898696</v>
      </c>
      <c r="L50" s="2">
        <f t="shared" si="40"/>
        <v>245469618.31800047</v>
      </c>
      <c r="M50" s="2">
        <f t="shared" si="40"/>
        <v>228164514.47783598</v>
      </c>
    </row>
    <row r="52" spans="1:13" x14ac:dyDescent="0.45">
      <c r="A52" s="22" t="s">
        <v>57</v>
      </c>
      <c r="B52" s="2">
        <f>B47+B49-B50</f>
        <v>-98011200</v>
      </c>
      <c r="C52" s="2">
        <f t="shared" ref="C52:M52" si="41">C47+C49-C50</f>
        <v>-58472420</v>
      </c>
      <c r="D52" s="2">
        <f t="shared" si="41"/>
        <v>-27238566.000000015</v>
      </c>
      <c r="E52" s="2">
        <f t="shared" si="41"/>
        <v>19542502.454499997</v>
      </c>
      <c r="F52" s="2">
        <f t="shared" si="41"/>
        <v>52164124.75334996</v>
      </c>
      <c r="G52" s="2">
        <f>G47+G49-G50</f>
        <v>80996930.661664963</v>
      </c>
      <c r="H52" s="2">
        <f t="shared" si="41"/>
        <v>85167341.698475391</v>
      </c>
      <c r="I52" s="2">
        <f t="shared" si="41"/>
        <v>89549890.222238213</v>
      </c>
      <c r="J52" s="2">
        <f t="shared" si="41"/>
        <v>94155291.615354329</v>
      </c>
      <c r="K52" s="2">
        <f>K47+K49-K50</f>
        <v>98994800.28458634</v>
      </c>
      <c r="L52" s="2">
        <f t="shared" si="41"/>
        <v>104080236.70993385</v>
      </c>
      <c r="M52" s="2">
        <f t="shared" si="41"/>
        <v>98317155.660630018</v>
      </c>
    </row>
    <row r="53" spans="1:13" x14ac:dyDescent="0.45">
      <c r="A53" t="s">
        <v>0</v>
      </c>
      <c r="B53">
        <v>0.15</v>
      </c>
      <c r="C53" s="4">
        <v>0.15</v>
      </c>
      <c r="D53" s="4">
        <v>0.15</v>
      </c>
      <c r="E53" s="4">
        <v>0.15</v>
      </c>
      <c r="F53" s="4">
        <v>0.15</v>
      </c>
      <c r="G53" s="4">
        <v>0.12</v>
      </c>
      <c r="H53" s="4">
        <v>0.12</v>
      </c>
      <c r="I53" s="4">
        <v>0.12</v>
      </c>
      <c r="J53" s="4">
        <v>0.12</v>
      </c>
      <c r="K53" s="4">
        <v>0.1</v>
      </c>
      <c r="L53" s="4">
        <v>0.1</v>
      </c>
      <c r="M53" s="4">
        <v>0.1</v>
      </c>
    </row>
    <row r="54" spans="1:13" x14ac:dyDescent="0.45">
      <c r="A54" s="21" t="s">
        <v>27</v>
      </c>
      <c r="B54" s="2">
        <f>(B52)/((1+B53)^0.5)</f>
        <v>-91395915.261403039</v>
      </c>
      <c r="C54" s="2">
        <f>(C52)/((1+C53)^1.5)</f>
        <v>-47413750.260388777</v>
      </c>
      <c r="D54" s="2">
        <f>(D52)/((1+D53)^2.5)</f>
        <v>-19206120.048825067</v>
      </c>
      <c r="E54" s="2">
        <f>(E52)/((1+E53)^3.5)</f>
        <v>11982232.27015329</v>
      </c>
      <c r="F54" s="2">
        <f>(F52)/((1+F53)^4.5)</f>
        <v>27811963.02194256</v>
      </c>
      <c r="G54" s="2">
        <f>(G52)/((1+G53)^5.5)</f>
        <v>43427960.798886217</v>
      </c>
      <c r="H54" s="2">
        <f>(H52)/((1+H53)^6.5)</f>
        <v>40771430.058394827</v>
      </c>
      <c r="I54" s="2">
        <f>(I52)/((1+I53)^7.5)</f>
        <v>38276294.531282835</v>
      </c>
      <c r="J54" s="2">
        <f>(J52)/((1+J53)^8.5)</f>
        <v>35932839.709759623</v>
      </c>
      <c r="K54" s="2">
        <f>(K52)/((1+K53)^9.5)</f>
        <v>40029657.554091997</v>
      </c>
      <c r="L54" s="2">
        <f>(L52)/((1+L53)^10.5)</f>
        <v>38260009.815670595</v>
      </c>
      <c r="M54" s="2">
        <f>(M52)/((1+M53)^11.5)</f>
        <v>32855904.42294091</v>
      </c>
    </row>
    <row r="56" spans="1:13" x14ac:dyDescent="0.45">
      <c r="A56" s="13" t="s">
        <v>28</v>
      </c>
      <c r="B56" s="26">
        <f>SUM(B54:L54)</f>
        <v>118476602.18956505</v>
      </c>
    </row>
    <row r="57" spans="1:13" x14ac:dyDescent="0.45">
      <c r="A57" s="14"/>
      <c r="B57" s="14"/>
      <c r="C57" s="14"/>
      <c r="D57" s="14"/>
      <c r="E57" s="14"/>
      <c r="F57" s="14"/>
      <c r="G57" s="14"/>
    </row>
    <row r="58" spans="1:13" ht="15.75" x14ac:dyDescent="0.5">
      <c r="A58" s="23" t="s">
        <v>29</v>
      </c>
    </row>
    <row r="60" spans="1:13" x14ac:dyDescent="0.45">
      <c r="A60" t="s">
        <v>34</v>
      </c>
      <c r="B60" s="20">
        <f>M47</f>
        <v>253516127.19759554</v>
      </c>
      <c r="D60" s="20"/>
      <c r="E60" s="20"/>
    </row>
    <row r="61" spans="1:13" x14ac:dyDescent="0.45">
      <c r="A61" t="s">
        <v>37</v>
      </c>
      <c r="B61" s="3">
        <v>0.1</v>
      </c>
    </row>
    <row r="62" spans="1:13" x14ac:dyDescent="0.45">
      <c r="A62" t="s">
        <v>30</v>
      </c>
      <c r="B62" s="3">
        <v>-0.05</v>
      </c>
    </row>
    <row r="63" spans="1:13" s="4" customFormat="1" x14ac:dyDescent="0.45">
      <c r="A63" s="4" t="s">
        <v>35</v>
      </c>
      <c r="B63" s="3">
        <v>0.1</v>
      </c>
    </row>
    <row r="64" spans="1:13" x14ac:dyDescent="0.45">
      <c r="A64" t="s">
        <v>36</v>
      </c>
      <c r="B64" s="20">
        <f>(B60*(1-(B62/B63)))/(B61-B62)</f>
        <v>2535161271.975955</v>
      </c>
      <c r="C64" t="s">
        <v>38</v>
      </c>
      <c r="D64" s="24"/>
    </row>
    <row r="65" spans="1:7" x14ac:dyDescent="0.45">
      <c r="A65" t="s">
        <v>1</v>
      </c>
      <c r="B65">
        <v>10.5</v>
      </c>
    </row>
    <row r="66" spans="1:7" x14ac:dyDescent="0.45">
      <c r="A66" s="21" t="s">
        <v>31</v>
      </c>
      <c r="B66" s="26">
        <f>(B64)/((1+B61)^B65)</f>
        <v>931928079.87580562</v>
      </c>
    </row>
    <row r="67" spans="1:7" x14ac:dyDescent="0.45">
      <c r="A67" s="25"/>
      <c r="B67" s="25"/>
      <c r="C67" s="25"/>
      <c r="D67" s="25"/>
      <c r="E67" s="25"/>
      <c r="F67" s="25"/>
      <c r="G67" s="25"/>
    </row>
    <row r="68" spans="1:7" x14ac:dyDescent="0.45">
      <c r="E68" s="1"/>
    </row>
    <row r="69" spans="1:7" ht="15.75" x14ac:dyDescent="0.5">
      <c r="A69" s="23" t="s">
        <v>32</v>
      </c>
      <c r="B69" s="20">
        <f>B56+B66</f>
        <v>1050404682.0653707</v>
      </c>
    </row>
    <row r="70" spans="1:7" x14ac:dyDescent="0.45">
      <c r="B70" s="2"/>
    </row>
    <row r="72" spans="1:7" x14ac:dyDescent="0.45">
      <c r="B72" s="6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selection activeCell="F9" sqref="F9"/>
    </sheetView>
  </sheetViews>
  <sheetFormatPr defaultColWidth="8.86328125" defaultRowHeight="14.25" x14ac:dyDescent="0.45"/>
  <cols>
    <col min="1" max="1" width="91" style="4" customWidth="1"/>
    <col min="2" max="2" width="16" style="4" customWidth="1"/>
    <col min="3" max="3" width="8.86328125" style="4"/>
    <col min="4" max="4" width="9.73046875" style="4" bestFit="1" customWidth="1"/>
    <col min="5" max="6" width="8.86328125" style="4"/>
    <col min="7" max="7" width="10.73046875" style="4" customWidth="1"/>
    <col min="8" max="16384" width="8.86328125" style="4"/>
  </cols>
  <sheetData>
    <row r="1" spans="1:4" x14ac:dyDescent="0.45">
      <c r="A1" s="13" t="s">
        <v>101</v>
      </c>
      <c r="B1" s="48">
        <f>'Operating value calculation'!$B$69</f>
        <v>1050404682.0653707</v>
      </c>
      <c r="C1" s="4" t="s">
        <v>100</v>
      </c>
      <c r="D1" s="4" t="s">
        <v>99</v>
      </c>
    </row>
    <row r="2" spans="1:4" x14ac:dyDescent="0.45">
      <c r="A2" s="4" t="s">
        <v>98</v>
      </c>
      <c r="B2" s="2"/>
    </row>
    <row r="3" spans="1:4" x14ac:dyDescent="0.45">
      <c r="A3" s="4" t="s">
        <v>88</v>
      </c>
    </row>
    <row r="4" spans="1:4" x14ac:dyDescent="0.45">
      <c r="A4" s="4" t="s">
        <v>97</v>
      </c>
    </row>
    <row r="5" spans="1:4" x14ac:dyDescent="0.45">
      <c r="A5" s="61" t="s">
        <v>96</v>
      </c>
      <c r="B5" s="60">
        <f>SUM(B1:B4)</f>
        <v>1050404682.0653707</v>
      </c>
    </row>
    <row r="6" spans="1:4" x14ac:dyDescent="0.45">
      <c r="A6" s="56"/>
    </row>
    <row r="7" spans="1:4" x14ac:dyDescent="0.45">
      <c r="A7" s="49" t="s">
        <v>91</v>
      </c>
      <c r="B7" s="48">
        <f>SUM(B8:B22)</f>
        <v>385384000</v>
      </c>
    </row>
    <row r="8" spans="1:4" x14ac:dyDescent="0.45">
      <c r="A8" s="4" t="s">
        <v>90</v>
      </c>
      <c r="B8" s="52">
        <f>155800000*0.98</f>
        <v>152684000</v>
      </c>
    </row>
    <row r="9" spans="1:4" x14ac:dyDescent="0.45">
      <c r="A9" s="4" t="s">
        <v>89</v>
      </c>
      <c r="B9" s="52"/>
    </row>
    <row r="10" spans="1:4" x14ac:dyDescent="0.45">
      <c r="A10" s="4" t="s">
        <v>88</v>
      </c>
      <c r="B10" s="52"/>
    </row>
    <row r="11" spans="1:4" x14ac:dyDescent="0.45">
      <c r="A11" s="59" t="s">
        <v>102</v>
      </c>
      <c r="B11" s="52"/>
    </row>
    <row r="12" spans="1:4" x14ac:dyDescent="0.45">
      <c r="A12" s="4" t="s">
        <v>87</v>
      </c>
      <c r="B12" s="52"/>
    </row>
    <row r="13" spans="1:4" x14ac:dyDescent="0.45">
      <c r="A13" s="4" t="s">
        <v>86</v>
      </c>
      <c r="B13" s="52"/>
    </row>
    <row r="14" spans="1:4" x14ac:dyDescent="0.45">
      <c r="A14" s="4" t="s">
        <v>85</v>
      </c>
      <c r="B14" s="52"/>
    </row>
    <row r="15" spans="1:4" x14ac:dyDescent="0.45">
      <c r="A15" s="4" t="s">
        <v>84</v>
      </c>
      <c r="B15" s="52"/>
    </row>
    <row r="16" spans="1:4" x14ac:dyDescent="0.45">
      <c r="A16" s="4" t="s">
        <v>83</v>
      </c>
      <c r="B16" s="52"/>
    </row>
    <row r="17" spans="1:8" x14ac:dyDescent="0.45">
      <c r="A17" s="4" t="s">
        <v>82</v>
      </c>
      <c r="B17" s="52"/>
    </row>
    <row r="18" spans="1:8" x14ac:dyDescent="0.45">
      <c r="A18" s="4" t="s">
        <v>81</v>
      </c>
      <c r="B18" s="52"/>
      <c r="G18" s="55"/>
    </row>
    <row r="19" spans="1:8" x14ac:dyDescent="0.45">
      <c r="A19" s="41" t="s">
        <v>120</v>
      </c>
      <c r="B19" s="52">
        <v>232700000</v>
      </c>
      <c r="G19" s="54"/>
      <c r="H19" s="53"/>
    </row>
    <row r="20" spans="1:8" x14ac:dyDescent="0.45">
      <c r="A20" s="4" t="s">
        <v>95</v>
      </c>
      <c r="B20" s="52"/>
    </row>
    <row r="21" spans="1:8" x14ac:dyDescent="0.45">
      <c r="A21" s="4" t="s">
        <v>80</v>
      </c>
      <c r="B21" s="52"/>
      <c r="G21" s="2"/>
    </row>
    <row r="22" spans="1:8" x14ac:dyDescent="0.45">
      <c r="A22" s="4" t="s">
        <v>94</v>
      </c>
      <c r="B22" s="52"/>
    </row>
    <row r="24" spans="1:8" x14ac:dyDescent="0.45">
      <c r="A24" s="49" t="s">
        <v>79</v>
      </c>
      <c r="B24" s="48">
        <f>SUM(B25:B36)</f>
        <v>160548992</v>
      </c>
    </row>
    <row r="25" spans="1:8" x14ac:dyDescent="0.45">
      <c r="A25" s="4" t="s">
        <v>78</v>
      </c>
      <c r="B25" s="67">
        <v>106521000</v>
      </c>
    </row>
    <row r="26" spans="1:8" x14ac:dyDescent="0.45">
      <c r="A26" s="4" t="s">
        <v>77</v>
      </c>
      <c r="B26" s="67">
        <v>1000000</v>
      </c>
    </row>
    <row r="27" spans="1:8" x14ac:dyDescent="0.45">
      <c r="A27" s="4" t="s">
        <v>76</v>
      </c>
      <c r="B27" s="51"/>
    </row>
    <row r="28" spans="1:8" x14ac:dyDescent="0.45">
      <c r="A28" s="4" t="s">
        <v>75</v>
      </c>
      <c r="B28" s="51"/>
    </row>
    <row r="29" spans="1:8" x14ac:dyDescent="0.45">
      <c r="A29" s="4" t="s">
        <v>74</v>
      </c>
      <c r="B29" s="51"/>
    </row>
    <row r="30" spans="1:8" x14ac:dyDescent="0.45">
      <c r="A30" s="4" t="s">
        <v>73</v>
      </c>
      <c r="B30" s="51"/>
    </row>
    <row r="31" spans="1:8" x14ac:dyDescent="0.45">
      <c r="A31" s="4" t="s">
        <v>72</v>
      </c>
      <c r="B31" s="51"/>
    </row>
    <row r="32" spans="1:8" x14ac:dyDescent="0.45">
      <c r="A32" s="4" t="s">
        <v>119</v>
      </c>
      <c r="B32" s="52">
        <v>48693000</v>
      </c>
    </row>
    <row r="33" spans="1:2" x14ac:dyDescent="0.45">
      <c r="A33" s="41" t="s">
        <v>71</v>
      </c>
      <c r="B33" s="52">
        <v>3544992</v>
      </c>
    </row>
    <row r="34" spans="1:2" x14ac:dyDescent="0.45">
      <c r="A34" s="4" t="s">
        <v>70</v>
      </c>
      <c r="B34" s="51"/>
    </row>
    <row r="35" spans="1:2" x14ac:dyDescent="0.45">
      <c r="A35" s="4" t="s">
        <v>69</v>
      </c>
      <c r="B35" s="51"/>
    </row>
    <row r="36" spans="1:2" x14ac:dyDescent="0.45">
      <c r="A36" s="4" t="s">
        <v>121</v>
      </c>
      <c r="B36" s="50">
        <v>790000</v>
      </c>
    </row>
    <row r="37" spans="1:2" x14ac:dyDescent="0.45">
      <c r="B37" s="50"/>
    </row>
    <row r="38" spans="1:2" x14ac:dyDescent="0.45">
      <c r="A38" s="49" t="s">
        <v>93</v>
      </c>
      <c r="B38" s="48">
        <f>B1+B7-B24</f>
        <v>1275239690.0653706</v>
      </c>
    </row>
    <row r="40" spans="1:2" x14ac:dyDescent="0.45">
      <c r="A40" s="1" t="s">
        <v>56</v>
      </c>
      <c r="B40" s="58">
        <v>105818783</v>
      </c>
    </row>
    <row r="42" spans="1:2" x14ac:dyDescent="0.45">
      <c r="A42" s="1" t="s">
        <v>92</v>
      </c>
      <c r="B42" s="57">
        <f>B38/B40</f>
        <v>12.051165718522491</v>
      </c>
    </row>
    <row r="43" spans="1:2" x14ac:dyDescent="0.45">
      <c r="B43" s="47"/>
    </row>
    <row r="45" spans="1:2" x14ac:dyDescent="0.45">
      <c r="A45" s="4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7" sqref="B7"/>
    </sheetView>
  </sheetViews>
  <sheetFormatPr defaultColWidth="8.86328125" defaultRowHeight="14.25" x14ac:dyDescent="0.45"/>
  <cols>
    <col min="1" max="1" width="94.86328125" style="4" customWidth="1"/>
    <col min="2" max="2" width="16.265625" style="4" customWidth="1"/>
    <col min="3" max="16384" width="8.86328125" style="4"/>
  </cols>
  <sheetData>
    <row r="1" spans="1:5" x14ac:dyDescent="0.45">
      <c r="A1" s="13" t="s">
        <v>43</v>
      </c>
      <c r="B1" s="31">
        <v>25.78</v>
      </c>
      <c r="C1" s="30" t="s">
        <v>42</v>
      </c>
      <c r="D1" s="30"/>
      <c r="E1" s="30"/>
    </row>
    <row r="7" spans="1:5" x14ac:dyDescent="0.45">
      <c r="A7" s="4" t="s">
        <v>60</v>
      </c>
      <c r="B7" s="27">
        <v>1052134721.56987</v>
      </c>
    </row>
    <row r="8" spans="1:5" x14ac:dyDescent="0.45">
      <c r="A8" s="4" t="s">
        <v>41</v>
      </c>
      <c r="B8" s="29">
        <f>B7*0.1752</f>
        <v>184334003.21904123</v>
      </c>
    </row>
    <row r="9" spans="1:5" x14ac:dyDescent="0.45">
      <c r="A9" s="4" t="s">
        <v>40</v>
      </c>
      <c r="B9" s="29">
        <f>B8*25.78</f>
        <v>4752130602.9868832</v>
      </c>
    </row>
    <row r="10" spans="1:5" x14ac:dyDescent="0.45">
      <c r="A10" s="4" t="s">
        <v>55</v>
      </c>
      <c r="B10" s="4">
        <v>0.1</v>
      </c>
    </row>
    <row r="11" spans="1:5" x14ac:dyDescent="0.45">
      <c r="A11" s="4" t="s">
        <v>122</v>
      </c>
      <c r="B11" s="4">
        <v>0.05</v>
      </c>
    </row>
    <row r="12" spans="1:5" x14ac:dyDescent="0.45">
      <c r="A12" s="4" t="s">
        <v>1</v>
      </c>
      <c r="B12" s="4">
        <v>10.5</v>
      </c>
    </row>
    <row r="13" spans="1:5" x14ac:dyDescent="0.45">
      <c r="A13" s="1" t="s">
        <v>39</v>
      </c>
      <c r="B13" s="28">
        <f>(B9)/(1.15^10.5)</f>
        <v>1095370509.1285241</v>
      </c>
    </row>
    <row r="15" spans="1:5" x14ac:dyDescent="0.45">
      <c r="A15" s="4" t="s">
        <v>56</v>
      </c>
      <c r="B15" s="2">
        <v>105818783</v>
      </c>
    </row>
    <row r="16" spans="1:5" x14ac:dyDescent="0.45">
      <c r="B16" s="38"/>
    </row>
    <row r="17" spans="1:2" x14ac:dyDescent="0.45">
      <c r="A17" s="4" t="s">
        <v>61</v>
      </c>
      <c r="B17" s="38">
        <f>B13/B15</f>
        <v>10.351380710251828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0" sqref="G20"/>
    </sheetView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Revenue forecast sheet</vt:lpstr>
      <vt:lpstr>Operating value calculation</vt:lpstr>
      <vt:lpstr>Equity value calculation</vt:lpstr>
      <vt:lpstr>Pharma Comparables valuation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Bhavneesh Sharma</dc:creator>
  <cp:lastModifiedBy>Bhavneesh Sharma</cp:lastModifiedBy>
  <dcterms:created xsi:type="dcterms:W3CDTF">2016-04-22T19:03:12Z</dcterms:created>
  <dcterms:modified xsi:type="dcterms:W3CDTF">2016-08-07T22:31:59Z</dcterms:modified>
</cp:coreProperties>
</file>