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ana\OneDrive\Documents\MCTO\Articles\NVDA &amp; AAPL\"/>
    </mc:Choice>
  </mc:AlternateContent>
  <bookViews>
    <workbookView xWindow="1020" yWindow="0" windowWidth="22020" windowHeight="9672" tabRatio="794" firstSheet="3" activeTab="8"/>
  </bookViews>
  <sheets>
    <sheet name="Product Breakdown" sheetId="1" r:id="rId1"/>
    <sheet name="IS" sheetId="2" r:id="rId2"/>
    <sheet name="BS" sheetId="3" r:id="rId3"/>
    <sheet name="DCF" sheetId="4" r:id="rId4"/>
    <sheet name="Product Breakdown (iPhone Bump)" sheetId="7" r:id="rId5"/>
    <sheet name="IS (iPhone Bump) " sheetId="5" r:id="rId6"/>
    <sheet name="DCF (iPhone Bump)" sheetId="6" r:id="rId7"/>
    <sheet name="Product Breakdown (Services)" sheetId="8" r:id="rId8"/>
    <sheet name="IS (Services)" sheetId="9" r:id="rId9"/>
    <sheet name="DCF (Services)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9" l="1"/>
  <c r="H15" i="9"/>
  <c r="G15" i="9"/>
  <c r="I15" i="5"/>
  <c r="H15" i="5"/>
  <c r="G15" i="5"/>
  <c r="B39" i="10" l="1"/>
  <c r="B37" i="10"/>
  <c r="E20" i="10"/>
  <c r="D20" i="10"/>
  <c r="E21" i="10" s="1"/>
  <c r="E26" i="10" s="1"/>
  <c r="C20" i="10"/>
  <c r="B20" i="10"/>
  <c r="C21" i="10" s="1"/>
  <c r="C26" i="10" s="1"/>
  <c r="E13" i="10"/>
  <c r="D13" i="10"/>
  <c r="C13" i="10"/>
  <c r="B13" i="10"/>
  <c r="E12" i="10"/>
  <c r="D12" i="10"/>
  <c r="C12" i="10"/>
  <c r="B12" i="10"/>
  <c r="E11" i="10"/>
  <c r="E14" i="10" s="1"/>
  <c r="D11" i="10"/>
  <c r="D14" i="10" s="1"/>
  <c r="C11" i="10"/>
  <c r="C14" i="10" s="1"/>
  <c r="B11" i="10"/>
  <c r="B14" i="10" s="1"/>
  <c r="E7" i="10"/>
  <c r="D7" i="10"/>
  <c r="C7" i="10"/>
  <c r="B7" i="10"/>
  <c r="E6" i="10"/>
  <c r="D6" i="10"/>
  <c r="C6" i="10"/>
  <c r="B6" i="10"/>
  <c r="E5" i="10"/>
  <c r="E8" i="10" s="1"/>
  <c r="E16" i="10" s="1"/>
  <c r="D5" i="10"/>
  <c r="D8" i="10" s="1"/>
  <c r="D16" i="10" s="1"/>
  <c r="D17" i="10" s="1"/>
  <c r="D25" i="10" s="1"/>
  <c r="C5" i="10"/>
  <c r="C8" i="10" s="1"/>
  <c r="C16" i="10" s="1"/>
  <c r="B5" i="10"/>
  <c r="B8" i="10" s="1"/>
  <c r="B16" i="10" s="1"/>
  <c r="E1" i="10"/>
  <c r="D1" i="10"/>
  <c r="K25" i="9"/>
  <c r="D12" i="9"/>
  <c r="C12" i="9"/>
  <c r="B12" i="9"/>
  <c r="F12" i="9" s="1"/>
  <c r="D10" i="9"/>
  <c r="D9" i="9"/>
  <c r="C9" i="9"/>
  <c r="B9" i="9"/>
  <c r="C10" i="9" s="1"/>
  <c r="D5" i="9"/>
  <c r="C5" i="9"/>
  <c r="B5" i="9"/>
  <c r="F5" i="9" s="1"/>
  <c r="D31" i="8"/>
  <c r="O30" i="8"/>
  <c r="N30" i="8"/>
  <c r="M30" i="8"/>
  <c r="N31" i="8" s="1"/>
  <c r="L30" i="8"/>
  <c r="K30" i="8"/>
  <c r="K31" i="8" s="1"/>
  <c r="J30" i="8"/>
  <c r="I30" i="8"/>
  <c r="J31" i="8" s="1"/>
  <c r="H30" i="8"/>
  <c r="G30" i="8"/>
  <c r="G31" i="8" s="1"/>
  <c r="F30" i="8"/>
  <c r="E30" i="8"/>
  <c r="F31" i="8" s="1"/>
  <c r="S31" i="8" s="1"/>
  <c r="W31" i="8" s="1"/>
  <c r="AA31" i="8" s="1"/>
  <c r="D30" i="8"/>
  <c r="C30" i="8"/>
  <c r="K29" i="8"/>
  <c r="G29" i="8"/>
  <c r="O28" i="8"/>
  <c r="N28" i="8"/>
  <c r="N29" i="8" s="1"/>
  <c r="M28" i="8"/>
  <c r="L28" i="8"/>
  <c r="M29" i="8" s="1"/>
  <c r="K28" i="8"/>
  <c r="J28" i="8"/>
  <c r="J29" i="8" s="1"/>
  <c r="I28" i="8"/>
  <c r="H28" i="8"/>
  <c r="I29" i="8" s="1"/>
  <c r="G28" i="8"/>
  <c r="F28" i="8"/>
  <c r="F29" i="8" s="1"/>
  <c r="S29" i="8" s="1"/>
  <c r="W29" i="8" s="1"/>
  <c r="AA29" i="8" s="1"/>
  <c r="E28" i="8"/>
  <c r="D28" i="8"/>
  <c r="E29" i="8" s="1"/>
  <c r="R29" i="8" s="1"/>
  <c r="V29" i="8" s="1"/>
  <c r="Z29" i="8" s="1"/>
  <c r="C28" i="8"/>
  <c r="O26" i="8"/>
  <c r="N26" i="8"/>
  <c r="M26" i="8"/>
  <c r="M27" i="8" s="1"/>
  <c r="L26" i="8"/>
  <c r="K26" i="8"/>
  <c r="L27" i="8" s="1"/>
  <c r="J26" i="8"/>
  <c r="I26" i="8"/>
  <c r="I27" i="8" s="1"/>
  <c r="H26" i="8"/>
  <c r="G26" i="8"/>
  <c r="H27" i="8" s="1"/>
  <c r="F26" i="8"/>
  <c r="E26" i="8"/>
  <c r="E27" i="8" s="1"/>
  <c r="R27" i="8" s="1"/>
  <c r="V27" i="8" s="1"/>
  <c r="Z27" i="8" s="1"/>
  <c r="D26" i="8"/>
  <c r="C26" i="8"/>
  <c r="D27" i="8" s="1"/>
  <c r="Q27" i="8" s="1"/>
  <c r="U27" i="8" s="1"/>
  <c r="Y27" i="8" s="1"/>
  <c r="E25" i="8"/>
  <c r="O24" i="8"/>
  <c r="N24" i="8"/>
  <c r="O25" i="8" s="1"/>
  <c r="M24" i="8"/>
  <c r="L24" i="8"/>
  <c r="L25" i="8" s="1"/>
  <c r="K24" i="8"/>
  <c r="J24" i="8"/>
  <c r="K25" i="8" s="1"/>
  <c r="I24" i="8"/>
  <c r="H24" i="8"/>
  <c r="H25" i="8" s="1"/>
  <c r="G24" i="8"/>
  <c r="F24" i="8"/>
  <c r="E24" i="8"/>
  <c r="D24" i="8"/>
  <c r="D25" i="8" s="1"/>
  <c r="Q25" i="8" s="1"/>
  <c r="U25" i="8" s="1"/>
  <c r="Y25" i="8" s="1"/>
  <c r="C24" i="8"/>
  <c r="L23" i="8"/>
  <c r="D23" i="8"/>
  <c r="O22" i="8"/>
  <c r="N22" i="8"/>
  <c r="M22" i="8"/>
  <c r="M23" i="8" s="1"/>
  <c r="L22" i="8"/>
  <c r="K22" i="8"/>
  <c r="K23" i="8" s="1"/>
  <c r="J22" i="8"/>
  <c r="I22" i="8"/>
  <c r="I23" i="8" s="1"/>
  <c r="H22" i="8"/>
  <c r="G22" i="8"/>
  <c r="G23" i="8" s="1"/>
  <c r="F22" i="8"/>
  <c r="E22" i="8"/>
  <c r="E23" i="8" s="1"/>
  <c r="R23" i="8" s="1"/>
  <c r="V23" i="8" s="1"/>
  <c r="Z23" i="8" s="1"/>
  <c r="D22" i="8"/>
  <c r="C22" i="8"/>
  <c r="K18" i="8"/>
  <c r="G18" i="8"/>
  <c r="C18" i="8"/>
  <c r="K16" i="8"/>
  <c r="G16" i="8"/>
  <c r="C16" i="8"/>
  <c r="K15" i="8"/>
  <c r="G15" i="8"/>
  <c r="C15" i="8"/>
  <c r="K14" i="8"/>
  <c r="G14" i="8"/>
  <c r="C14" i="8"/>
  <c r="K13" i="8"/>
  <c r="K17" i="8" s="1"/>
  <c r="G13" i="8"/>
  <c r="C13" i="8"/>
  <c r="K12" i="8"/>
  <c r="G12" i="8"/>
  <c r="G17" i="8" s="1"/>
  <c r="C12" i="8"/>
  <c r="C17" i="8" s="1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J4" i="8"/>
  <c r="N4" i="8" s="1"/>
  <c r="S4" i="8" s="1"/>
  <c r="W4" i="8" s="1"/>
  <c r="AA4" i="8" s="1"/>
  <c r="I4" i="8"/>
  <c r="M4" i="8" s="1"/>
  <c r="R4" i="8" s="1"/>
  <c r="V4" i="8" s="1"/>
  <c r="Z4" i="8" s="1"/>
  <c r="H4" i="8"/>
  <c r="L4" i="8" s="1"/>
  <c r="Q4" i="8" s="1"/>
  <c r="U4" i="8" s="1"/>
  <c r="Y4" i="8" s="1"/>
  <c r="G4" i="8"/>
  <c r="K4" i="8" s="1"/>
  <c r="O4" i="8" s="1"/>
  <c r="T4" i="8" s="1"/>
  <c r="X4" i="8" s="1"/>
  <c r="Q3" i="8"/>
  <c r="U3" i="8" s="1"/>
  <c r="Y3" i="8" s="1"/>
  <c r="L3" i="8"/>
  <c r="H3" i="8"/>
  <c r="C25" i="6"/>
  <c r="G9" i="2"/>
  <c r="G9" i="5"/>
  <c r="H9" i="5" s="1"/>
  <c r="Y31" i="7"/>
  <c r="X31" i="7"/>
  <c r="W31" i="7"/>
  <c r="AA31" i="7" s="1"/>
  <c r="V31" i="7"/>
  <c r="Z31" i="7" s="1"/>
  <c r="U31" i="7"/>
  <c r="Y29" i="7"/>
  <c r="X29" i="7"/>
  <c r="W29" i="7"/>
  <c r="AA29" i="7" s="1"/>
  <c r="V29" i="7"/>
  <c r="Z29" i="7" s="1"/>
  <c r="U29" i="7"/>
  <c r="Y27" i="7"/>
  <c r="X27" i="7"/>
  <c r="W27" i="7"/>
  <c r="AA27" i="7" s="1"/>
  <c r="V27" i="7"/>
  <c r="Z27" i="7" s="1"/>
  <c r="U27" i="7"/>
  <c r="O31" i="7"/>
  <c r="N31" i="7"/>
  <c r="M31" i="7"/>
  <c r="L31" i="7"/>
  <c r="K31" i="7"/>
  <c r="J31" i="7"/>
  <c r="I31" i="7"/>
  <c r="H31" i="7"/>
  <c r="G31" i="7"/>
  <c r="T31" i="7" s="1"/>
  <c r="F31" i="7"/>
  <c r="S31" i="7" s="1"/>
  <c r="E31" i="7"/>
  <c r="R31" i="7" s="1"/>
  <c r="D31" i="7"/>
  <c r="Q31" i="7" s="1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9" i="7"/>
  <c r="M29" i="7"/>
  <c r="L29" i="7"/>
  <c r="K29" i="7"/>
  <c r="J29" i="7"/>
  <c r="I29" i="7"/>
  <c r="H29" i="7"/>
  <c r="G29" i="7"/>
  <c r="T29" i="7" s="1"/>
  <c r="F29" i="7"/>
  <c r="S29" i="7" s="1"/>
  <c r="E29" i="7"/>
  <c r="R29" i="7" s="1"/>
  <c r="D29" i="7"/>
  <c r="Q29" i="7" s="1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O27" i="7"/>
  <c r="N27" i="7"/>
  <c r="M27" i="7"/>
  <c r="L27" i="7"/>
  <c r="K27" i="7"/>
  <c r="J27" i="7"/>
  <c r="I27" i="7"/>
  <c r="H27" i="7"/>
  <c r="G27" i="7"/>
  <c r="T27" i="7" s="1"/>
  <c r="F27" i="7"/>
  <c r="S27" i="7" s="1"/>
  <c r="E27" i="7"/>
  <c r="R27" i="7" s="1"/>
  <c r="D27" i="7"/>
  <c r="Q27" i="7" s="1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O25" i="7"/>
  <c r="N25" i="7"/>
  <c r="M25" i="7"/>
  <c r="L25" i="7"/>
  <c r="K25" i="7"/>
  <c r="J25" i="7"/>
  <c r="I25" i="7"/>
  <c r="H25" i="7"/>
  <c r="G25" i="7"/>
  <c r="T25" i="7" s="1"/>
  <c r="X25" i="7" s="1"/>
  <c r="F25" i="7"/>
  <c r="S25" i="7" s="1"/>
  <c r="W25" i="7" s="1"/>
  <c r="AA25" i="7" s="1"/>
  <c r="E25" i="7"/>
  <c r="R25" i="7" s="1"/>
  <c r="V25" i="7" s="1"/>
  <c r="Z25" i="7" s="1"/>
  <c r="D25" i="7"/>
  <c r="Q25" i="7" s="1"/>
  <c r="U25" i="7" s="1"/>
  <c r="Y25" i="7" s="1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O23" i="7"/>
  <c r="N23" i="7"/>
  <c r="M23" i="7"/>
  <c r="L23" i="7"/>
  <c r="K23" i="7"/>
  <c r="J23" i="7"/>
  <c r="I23" i="7"/>
  <c r="H23" i="7"/>
  <c r="G23" i="7"/>
  <c r="T23" i="7" s="1"/>
  <c r="X23" i="7" s="1"/>
  <c r="F23" i="7"/>
  <c r="S23" i="7" s="1"/>
  <c r="W23" i="7" s="1"/>
  <c r="AA23" i="7" s="1"/>
  <c r="E23" i="7"/>
  <c r="R23" i="7" s="1"/>
  <c r="V23" i="7" s="1"/>
  <c r="Z23" i="7" s="1"/>
  <c r="D23" i="7"/>
  <c r="Q23" i="7" s="1"/>
  <c r="U23" i="7" s="1"/>
  <c r="Y23" i="7" s="1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K18" i="7"/>
  <c r="G18" i="7"/>
  <c r="C18" i="7"/>
  <c r="K17" i="7"/>
  <c r="G17" i="7"/>
  <c r="C17" i="7"/>
  <c r="K16" i="7"/>
  <c r="G16" i="7"/>
  <c r="C16" i="7"/>
  <c r="K15" i="7"/>
  <c r="G15" i="7"/>
  <c r="C15" i="7"/>
  <c r="K14" i="7"/>
  <c r="G14" i="7"/>
  <c r="C14" i="7"/>
  <c r="K13" i="7"/>
  <c r="G13" i="7"/>
  <c r="C13" i="7"/>
  <c r="K12" i="7"/>
  <c r="G12" i="7"/>
  <c r="C12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N4" i="7"/>
  <c r="S4" i="7" s="1"/>
  <c r="W4" i="7" s="1"/>
  <c r="AA4" i="7" s="1"/>
  <c r="M4" i="7"/>
  <c r="R4" i="7" s="1"/>
  <c r="V4" i="7" s="1"/>
  <c r="Z4" i="7" s="1"/>
  <c r="L4" i="7"/>
  <c r="Q4" i="7" s="1"/>
  <c r="U4" i="7" s="1"/>
  <c r="Y4" i="7" s="1"/>
  <c r="K4" i="7"/>
  <c r="O4" i="7" s="1"/>
  <c r="T4" i="7" s="1"/>
  <c r="X4" i="7" s="1"/>
  <c r="J4" i="7"/>
  <c r="I4" i="7"/>
  <c r="H4" i="7"/>
  <c r="G4" i="7"/>
  <c r="Q3" i="7"/>
  <c r="U3" i="7" s="1"/>
  <c r="Y3" i="7" s="1"/>
  <c r="L3" i="7"/>
  <c r="H3" i="7"/>
  <c r="B39" i="6"/>
  <c r="B37" i="6"/>
  <c r="B20" i="6"/>
  <c r="B13" i="6"/>
  <c r="B12" i="6"/>
  <c r="B11" i="6"/>
  <c r="B14" i="6" s="1"/>
  <c r="B7" i="6"/>
  <c r="B6" i="6"/>
  <c r="B5" i="6"/>
  <c r="B8" i="6" s="1"/>
  <c r="B16" i="6" s="1"/>
  <c r="E1" i="6"/>
  <c r="D1" i="6"/>
  <c r="K25" i="5"/>
  <c r="F12" i="5"/>
  <c r="D12" i="5"/>
  <c r="C12" i="5"/>
  <c r="B12" i="5"/>
  <c r="D10" i="5"/>
  <c r="D9" i="5"/>
  <c r="C9" i="5"/>
  <c r="C10" i="5" s="1"/>
  <c r="B9" i="5"/>
  <c r="F9" i="5" s="1"/>
  <c r="D5" i="5"/>
  <c r="F5" i="5" s="1"/>
  <c r="C5" i="5"/>
  <c r="B5" i="5"/>
  <c r="D10" i="2"/>
  <c r="C10" i="2"/>
  <c r="K24" i="2"/>
  <c r="B9" i="2"/>
  <c r="Q23" i="8" l="1"/>
  <c r="U23" i="8" s="1"/>
  <c r="Y23" i="8" s="1"/>
  <c r="N27" i="8"/>
  <c r="F23" i="8"/>
  <c r="N23" i="8"/>
  <c r="O31" i="8"/>
  <c r="T31" i="8" s="1"/>
  <c r="X31" i="8" s="1"/>
  <c r="E17" i="10"/>
  <c r="E25" i="10" s="1"/>
  <c r="O23" i="8"/>
  <c r="T23" i="8" s="1"/>
  <c r="X23" i="8" s="1"/>
  <c r="H23" i="8"/>
  <c r="M25" i="8"/>
  <c r="R25" i="8" s="1"/>
  <c r="V25" i="8" s="1"/>
  <c r="Z25" i="8" s="1"/>
  <c r="Q26" i="8"/>
  <c r="R26" i="8" s="1"/>
  <c r="F27" i="8"/>
  <c r="O29" i="8"/>
  <c r="T29" i="8" s="1"/>
  <c r="X29" i="8" s="1"/>
  <c r="L31" i="8"/>
  <c r="Q31" i="8" s="1"/>
  <c r="Q24" i="8"/>
  <c r="I25" i="8"/>
  <c r="H31" i="8"/>
  <c r="J23" i="8"/>
  <c r="G25" i="8"/>
  <c r="T25" i="8" s="1"/>
  <c r="X25" i="8" s="1"/>
  <c r="F25" i="8"/>
  <c r="J27" i="8"/>
  <c r="C17" i="10"/>
  <c r="C25" i="10" s="1"/>
  <c r="J25" i="8"/>
  <c r="N25" i="8"/>
  <c r="G27" i="8"/>
  <c r="K27" i="8"/>
  <c r="O27" i="8"/>
  <c r="D29" i="8"/>
  <c r="H29" i="8"/>
  <c r="L29" i="8"/>
  <c r="E31" i="8"/>
  <c r="I31" i="8"/>
  <c r="M31" i="8"/>
  <c r="D21" i="10"/>
  <c r="D26" i="10" s="1"/>
  <c r="F9" i="9"/>
  <c r="G9" i="9" s="1"/>
  <c r="H9" i="9" s="1"/>
  <c r="I9" i="9" s="1"/>
  <c r="Q24" i="7"/>
  <c r="R24" i="7" s="1"/>
  <c r="S24" i="7" s="1"/>
  <c r="T24" i="7" s="1"/>
  <c r="Q26" i="7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Q22" i="7"/>
  <c r="Q30" i="7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Q28" i="7"/>
  <c r="R28" i="7" s="1"/>
  <c r="S28" i="7" s="1"/>
  <c r="T28" i="7" s="1"/>
  <c r="I9" i="5"/>
  <c r="F10" i="2"/>
  <c r="Q23" i="1"/>
  <c r="R31" i="1"/>
  <c r="S31" i="1"/>
  <c r="T31" i="1"/>
  <c r="X31" i="1" s="1"/>
  <c r="R29" i="1"/>
  <c r="S29" i="1"/>
  <c r="T29" i="1"/>
  <c r="R27" i="1"/>
  <c r="S27" i="1"/>
  <c r="T27" i="1"/>
  <c r="R25" i="1"/>
  <c r="V25" i="1" s="1"/>
  <c r="Z25" i="1" s="1"/>
  <c r="S25" i="1"/>
  <c r="W25" i="1" s="1"/>
  <c r="AA25" i="1" s="1"/>
  <c r="T25" i="1"/>
  <c r="X25" i="1" s="1"/>
  <c r="T23" i="1"/>
  <c r="X23" i="1" s="1"/>
  <c r="R23" i="1"/>
  <c r="V23" i="1" s="1"/>
  <c r="Z23" i="1" s="1"/>
  <c r="S23" i="1"/>
  <c r="W23" i="1" s="1"/>
  <c r="AA23" i="1" s="1"/>
  <c r="Q31" i="1"/>
  <c r="U31" i="1" s="1"/>
  <c r="Y31" i="1" s="1"/>
  <c r="Q29" i="1"/>
  <c r="Q27" i="1"/>
  <c r="U27" i="1" s="1"/>
  <c r="Y27" i="1" s="1"/>
  <c r="Q25" i="1"/>
  <c r="U25" i="1" s="1"/>
  <c r="Y25" i="1" s="1"/>
  <c r="U23" i="1"/>
  <c r="Y23" i="1" s="1"/>
  <c r="V27" i="1"/>
  <c r="Z27" i="1" s="1"/>
  <c r="W31" i="1"/>
  <c r="AA31" i="1" s="1"/>
  <c r="V31" i="1"/>
  <c r="Z31" i="1" s="1"/>
  <c r="X27" i="1"/>
  <c r="W27" i="1"/>
  <c r="AA27" i="1" s="1"/>
  <c r="U31" i="8" l="1"/>
  <c r="Y31" i="8" s="1"/>
  <c r="Q30" i="8"/>
  <c r="T27" i="8"/>
  <c r="X27" i="8" s="1"/>
  <c r="Q29" i="8"/>
  <c r="S25" i="8"/>
  <c r="W25" i="8" s="1"/>
  <c r="AA25" i="8" s="1"/>
  <c r="S27" i="8"/>
  <c r="W27" i="8" s="1"/>
  <c r="AA27" i="8" s="1"/>
  <c r="Q22" i="8"/>
  <c r="R31" i="8"/>
  <c r="V31" i="8" s="1"/>
  <c r="Z31" i="8" s="1"/>
  <c r="R24" i="8"/>
  <c r="S26" i="8"/>
  <c r="T26" i="8" s="1"/>
  <c r="U26" i="8" s="1"/>
  <c r="V26" i="8" s="1"/>
  <c r="W26" i="8" s="1"/>
  <c r="X26" i="8" s="1"/>
  <c r="Y26" i="8" s="1"/>
  <c r="Z26" i="8" s="1"/>
  <c r="AA26" i="8" s="1"/>
  <c r="S23" i="8"/>
  <c r="W23" i="8" s="1"/>
  <c r="AA23" i="8" s="1"/>
  <c r="U28" i="7"/>
  <c r="V28" i="7" s="1"/>
  <c r="W28" i="7" s="1"/>
  <c r="X28" i="7" s="1"/>
  <c r="Y28" i="7" s="1"/>
  <c r="Z28" i="7" s="1"/>
  <c r="AA28" i="7" s="1"/>
  <c r="R22" i="7"/>
  <c r="Q21" i="7"/>
  <c r="U24" i="7"/>
  <c r="V24" i="7" s="1"/>
  <c r="W24" i="7" s="1"/>
  <c r="X24" i="7" s="1"/>
  <c r="Y24" i="7" s="1"/>
  <c r="Z24" i="7" s="1"/>
  <c r="AA24" i="7" s="1"/>
  <c r="D22" i="1"/>
  <c r="D23" i="1"/>
  <c r="C18" i="1"/>
  <c r="X29" i="1"/>
  <c r="W29" i="1"/>
  <c r="AA29" i="1" s="1"/>
  <c r="V29" i="1"/>
  <c r="Z29" i="1" s="1"/>
  <c r="U29" i="1"/>
  <c r="Y29" i="1" s="1"/>
  <c r="Q24" i="1"/>
  <c r="K22" i="1"/>
  <c r="O24" i="1"/>
  <c r="O23" i="1"/>
  <c r="B39" i="4"/>
  <c r="B37" i="4"/>
  <c r="B5" i="4"/>
  <c r="B6" i="4"/>
  <c r="B7" i="4"/>
  <c r="B11" i="4"/>
  <c r="B12" i="4"/>
  <c r="B13" i="4"/>
  <c r="B20" i="4"/>
  <c r="D24" i="3"/>
  <c r="C24" i="3"/>
  <c r="B24" i="3"/>
  <c r="F23" i="3" s="1"/>
  <c r="F34" i="3"/>
  <c r="D35" i="3"/>
  <c r="C35" i="3"/>
  <c r="B35" i="3"/>
  <c r="D40" i="3"/>
  <c r="C40" i="3"/>
  <c r="B40" i="3"/>
  <c r="D7" i="3"/>
  <c r="C7" i="3"/>
  <c r="D37" i="3"/>
  <c r="C37" i="3"/>
  <c r="B37" i="3"/>
  <c r="S24" i="8" l="1"/>
  <c r="T24" i="8" s="1"/>
  <c r="U24" i="8" s="1"/>
  <c r="V24" i="8" s="1"/>
  <c r="W24" i="8" s="1"/>
  <c r="X24" i="8" s="1"/>
  <c r="Y24" i="8" s="1"/>
  <c r="Z24" i="8" s="1"/>
  <c r="AA24" i="8" s="1"/>
  <c r="Q28" i="8"/>
  <c r="Q21" i="8" s="1"/>
  <c r="U29" i="8"/>
  <c r="Y29" i="8" s="1"/>
  <c r="R22" i="8"/>
  <c r="R30" i="8"/>
  <c r="S30" i="8" s="1"/>
  <c r="T30" i="8" s="1"/>
  <c r="U30" i="8" s="1"/>
  <c r="V30" i="8" s="1"/>
  <c r="W30" i="8" s="1"/>
  <c r="X30" i="8" s="1"/>
  <c r="Y30" i="8" s="1"/>
  <c r="Z30" i="8" s="1"/>
  <c r="AA30" i="8" s="1"/>
  <c r="R21" i="7"/>
  <c r="S22" i="7"/>
  <c r="O40" i="7" s="1"/>
  <c r="R24" i="1"/>
  <c r="S24" i="1" s="1"/>
  <c r="T24" i="1" s="1"/>
  <c r="B8" i="4"/>
  <c r="B14" i="4"/>
  <c r="B16" i="4" s="1"/>
  <c r="F36" i="3"/>
  <c r="F39" i="3"/>
  <c r="D1" i="4"/>
  <c r="E1" i="4" s="1"/>
  <c r="D17" i="3"/>
  <c r="C17" i="3"/>
  <c r="B17" i="3"/>
  <c r="D14" i="3"/>
  <c r="C14" i="3"/>
  <c r="B14" i="3"/>
  <c r="D12" i="3"/>
  <c r="C12" i="3"/>
  <c r="B12" i="3"/>
  <c r="B7" i="3"/>
  <c r="D10" i="3"/>
  <c r="C10" i="3"/>
  <c r="B10" i="3"/>
  <c r="R28" i="8" l="1"/>
  <c r="S28" i="8" s="1"/>
  <c r="T28" i="8" s="1"/>
  <c r="U28" i="8" s="1"/>
  <c r="V28" i="8" s="1"/>
  <c r="W28" i="8" s="1"/>
  <c r="X28" i="8" s="1"/>
  <c r="S22" i="8"/>
  <c r="T22" i="7"/>
  <c r="S21" i="7"/>
  <c r="O18" i="7" s="1"/>
  <c r="G3" i="5" s="1"/>
  <c r="F16" i="3"/>
  <c r="F13" i="3"/>
  <c r="F11" i="3"/>
  <c r="F12" i="2"/>
  <c r="D12" i="2"/>
  <c r="C12" i="2"/>
  <c r="B12" i="2"/>
  <c r="D9" i="2"/>
  <c r="C9" i="2"/>
  <c r="D5" i="2"/>
  <c r="C5" i="2"/>
  <c r="B5" i="2"/>
  <c r="K18" i="1"/>
  <c r="G18" i="1"/>
  <c r="C17" i="1"/>
  <c r="Q22" i="1"/>
  <c r="Q30" i="1"/>
  <c r="R30" i="1" s="1"/>
  <c r="S30" i="1" s="1"/>
  <c r="T30" i="1" s="1"/>
  <c r="U30" i="1" s="1"/>
  <c r="Q28" i="1"/>
  <c r="R28" i="1" s="1"/>
  <c r="S28" i="1" s="1"/>
  <c r="T28" i="1" s="1"/>
  <c r="Q26" i="1"/>
  <c r="O30" i="1"/>
  <c r="N30" i="1"/>
  <c r="M30" i="1"/>
  <c r="L30" i="1"/>
  <c r="K30" i="1"/>
  <c r="J30" i="1"/>
  <c r="I30" i="1"/>
  <c r="H30" i="1"/>
  <c r="G30" i="1"/>
  <c r="F30" i="1"/>
  <c r="E30" i="1"/>
  <c r="D30" i="1"/>
  <c r="E31" i="1" s="1"/>
  <c r="C30" i="1"/>
  <c r="O28" i="1"/>
  <c r="N28" i="1"/>
  <c r="M28" i="1"/>
  <c r="L28" i="1"/>
  <c r="K28" i="1"/>
  <c r="J28" i="1"/>
  <c r="I28" i="1"/>
  <c r="H28" i="1"/>
  <c r="G28" i="1"/>
  <c r="F28" i="1"/>
  <c r="E28" i="1"/>
  <c r="F29" i="1" s="1"/>
  <c r="D28" i="1"/>
  <c r="C28" i="1"/>
  <c r="O26" i="1"/>
  <c r="N26" i="1"/>
  <c r="M26" i="1"/>
  <c r="L26" i="1"/>
  <c r="K26" i="1"/>
  <c r="J26" i="1"/>
  <c r="I26" i="1"/>
  <c r="H26" i="1"/>
  <c r="G26" i="1"/>
  <c r="F26" i="1"/>
  <c r="G27" i="1" s="1"/>
  <c r="E26" i="1"/>
  <c r="D26" i="1"/>
  <c r="C26" i="1"/>
  <c r="N24" i="1"/>
  <c r="M24" i="1"/>
  <c r="L24" i="1"/>
  <c r="K24" i="1"/>
  <c r="J24" i="1"/>
  <c r="I24" i="1"/>
  <c r="H24" i="1"/>
  <c r="G24" i="1"/>
  <c r="F24" i="1"/>
  <c r="E24" i="1"/>
  <c r="D24" i="1"/>
  <c r="C24" i="1"/>
  <c r="O22" i="1"/>
  <c r="N22" i="1"/>
  <c r="M22" i="1"/>
  <c r="L22" i="1"/>
  <c r="J22" i="1"/>
  <c r="I22" i="1"/>
  <c r="H22" i="1"/>
  <c r="G22" i="1"/>
  <c r="F22" i="1"/>
  <c r="E22" i="1"/>
  <c r="C22" i="1"/>
  <c r="K16" i="1"/>
  <c r="G16" i="1"/>
  <c r="C16" i="1"/>
  <c r="K15" i="1"/>
  <c r="G15" i="1"/>
  <c r="C15" i="1"/>
  <c r="K14" i="1"/>
  <c r="G14" i="1"/>
  <c r="C14" i="1"/>
  <c r="K13" i="1"/>
  <c r="G13" i="1"/>
  <c r="C13" i="1"/>
  <c r="K12" i="1"/>
  <c r="G12" i="1"/>
  <c r="C12" i="1"/>
  <c r="C10" i="1"/>
  <c r="O10" i="1"/>
  <c r="N10" i="1"/>
  <c r="M10" i="1"/>
  <c r="L10" i="1"/>
  <c r="K10" i="1"/>
  <c r="J10" i="1"/>
  <c r="I10" i="1"/>
  <c r="H10" i="1"/>
  <c r="G10" i="1"/>
  <c r="F10" i="1"/>
  <c r="E10" i="1"/>
  <c r="D10" i="1"/>
  <c r="H3" i="1"/>
  <c r="L3" i="1" s="1"/>
  <c r="Q3" i="1" s="1"/>
  <c r="U3" i="1" s="1"/>
  <c r="Y3" i="1" s="1"/>
  <c r="J4" i="1"/>
  <c r="N4" i="1" s="1"/>
  <c r="S4" i="1" s="1"/>
  <c r="W4" i="1" s="1"/>
  <c r="AA4" i="1" s="1"/>
  <c r="I4" i="1"/>
  <c r="M4" i="1" s="1"/>
  <c r="R4" i="1" s="1"/>
  <c r="V4" i="1" s="1"/>
  <c r="Z4" i="1" s="1"/>
  <c r="H4" i="1"/>
  <c r="L4" i="1" s="1"/>
  <c r="Q4" i="1" s="1"/>
  <c r="U4" i="1" s="1"/>
  <c r="Y4" i="1" s="1"/>
  <c r="G4" i="1"/>
  <c r="K4" i="1" s="1"/>
  <c r="O4" i="1" s="1"/>
  <c r="T4" i="1" s="1"/>
  <c r="X4" i="1" s="1"/>
  <c r="R21" i="8" l="1"/>
  <c r="O40" i="8"/>
  <c r="Y28" i="8"/>
  <c r="Z28" i="8" s="1"/>
  <c r="AA28" i="8" s="1"/>
  <c r="T40" i="8"/>
  <c r="T22" i="8"/>
  <c r="S21" i="8"/>
  <c r="T21" i="7"/>
  <c r="U22" i="7"/>
  <c r="F9" i="2"/>
  <c r="H9" i="2" s="1"/>
  <c r="I9" i="2" s="1"/>
  <c r="V30" i="1"/>
  <c r="W30" i="1" s="1"/>
  <c r="X30" i="1" s="1"/>
  <c r="Y30" i="1" s="1"/>
  <c r="Z30" i="1" s="1"/>
  <c r="AA30" i="1" s="1"/>
  <c r="U28" i="1"/>
  <c r="V28" i="1" s="1"/>
  <c r="W28" i="1" s="1"/>
  <c r="X28" i="1" s="1"/>
  <c r="Y28" i="1" s="1"/>
  <c r="Z28" i="1" s="1"/>
  <c r="AA28" i="1" s="1"/>
  <c r="R26" i="1"/>
  <c r="S26" i="1" s="1"/>
  <c r="T26" i="1" s="1"/>
  <c r="U26" i="1" s="1"/>
  <c r="V26" i="1" s="1"/>
  <c r="W26" i="1" s="1"/>
  <c r="X26" i="1" s="1"/>
  <c r="Y26" i="1" s="1"/>
  <c r="Z26" i="1" s="1"/>
  <c r="AA26" i="1" s="1"/>
  <c r="U24" i="1"/>
  <c r="V24" i="1" s="1"/>
  <c r="W24" i="1" s="1"/>
  <c r="X24" i="1" s="1"/>
  <c r="Y24" i="1" s="1"/>
  <c r="Z24" i="1" s="1"/>
  <c r="AA24" i="1" s="1"/>
  <c r="R22" i="1"/>
  <c r="S22" i="1" s="1"/>
  <c r="T22" i="1" s="1"/>
  <c r="Q21" i="1"/>
  <c r="F5" i="2"/>
  <c r="F23" i="1"/>
  <c r="E25" i="1"/>
  <c r="I25" i="1"/>
  <c r="M25" i="1"/>
  <c r="D27" i="1"/>
  <c r="H27" i="1"/>
  <c r="L27" i="1"/>
  <c r="D29" i="1"/>
  <c r="F27" i="1"/>
  <c r="E29" i="1"/>
  <c r="I29" i="1"/>
  <c r="D31" i="1"/>
  <c r="G25" i="1"/>
  <c r="K25" i="1"/>
  <c r="O25" i="1"/>
  <c r="D25" i="1"/>
  <c r="H25" i="1"/>
  <c r="L25" i="1"/>
  <c r="J23" i="1"/>
  <c r="N23" i="1"/>
  <c r="G29" i="1"/>
  <c r="H29" i="1"/>
  <c r="K29" i="1"/>
  <c r="L29" i="1"/>
  <c r="O29" i="1"/>
  <c r="F31" i="1"/>
  <c r="G31" i="1"/>
  <c r="J31" i="1"/>
  <c r="K31" i="1"/>
  <c r="N31" i="1"/>
  <c r="O31" i="1"/>
  <c r="I27" i="1"/>
  <c r="F25" i="1"/>
  <c r="J25" i="1"/>
  <c r="N25" i="1"/>
  <c r="M27" i="1"/>
  <c r="E27" i="1"/>
  <c r="J27" i="1"/>
  <c r="L31" i="1"/>
  <c r="H23" i="1"/>
  <c r="N27" i="1"/>
  <c r="M29" i="1"/>
  <c r="H31" i="1"/>
  <c r="L23" i="1"/>
  <c r="K27" i="1"/>
  <c r="O27" i="1"/>
  <c r="J29" i="1"/>
  <c r="N29" i="1"/>
  <c r="I31" i="1"/>
  <c r="M31" i="1"/>
  <c r="E23" i="1"/>
  <c r="I23" i="1"/>
  <c r="M23" i="1"/>
  <c r="G23" i="1"/>
  <c r="K23" i="1"/>
  <c r="K17" i="1"/>
  <c r="G17" i="1"/>
  <c r="O18" i="8" l="1"/>
  <c r="G3" i="9" s="1"/>
  <c r="G4" i="9" s="1"/>
  <c r="G6" i="9" s="1"/>
  <c r="X40" i="8"/>
  <c r="U22" i="8"/>
  <c r="T21" i="8"/>
  <c r="V22" i="7"/>
  <c r="U21" i="7"/>
  <c r="T21" i="1"/>
  <c r="R21" i="1"/>
  <c r="U22" i="1"/>
  <c r="U21" i="1" s="1"/>
  <c r="S21" i="1"/>
  <c r="G8" i="9" l="1"/>
  <c r="G11" i="9"/>
  <c r="U21" i="8"/>
  <c r="V22" i="8"/>
  <c r="V21" i="7"/>
  <c r="W22" i="7"/>
  <c r="T40" i="7" s="1"/>
  <c r="T39" i="7" s="1"/>
  <c r="V22" i="1"/>
  <c r="V21" i="1" s="1"/>
  <c r="O18" i="1"/>
  <c r="G13" i="9" l="1"/>
  <c r="G14" i="9" s="1"/>
  <c r="C23" i="10" s="1"/>
  <c r="C24" i="10" s="1"/>
  <c r="C27" i="10" s="1"/>
  <c r="C29" i="10" s="1"/>
  <c r="W22" i="8"/>
  <c r="V21" i="8"/>
  <c r="G3" i="2"/>
  <c r="G23" i="3" s="1"/>
  <c r="X22" i="7"/>
  <c r="W21" i="7"/>
  <c r="T18" i="7" s="1"/>
  <c r="W22" i="1"/>
  <c r="W21" i="1" s="1"/>
  <c r="T18" i="1" s="1"/>
  <c r="G13" i="3"/>
  <c r="G11" i="3"/>
  <c r="G4" i="2"/>
  <c r="G6" i="2" s="1"/>
  <c r="G6" i="3"/>
  <c r="W21" i="8" l="1"/>
  <c r="T18" i="8" s="1"/>
  <c r="X22" i="8"/>
  <c r="T39" i="8"/>
  <c r="T17" i="7"/>
  <c r="H3" i="5"/>
  <c r="G11" i="2"/>
  <c r="G13" i="2" s="1"/>
  <c r="G14" i="2" s="1"/>
  <c r="G36" i="3"/>
  <c r="G39" i="3"/>
  <c r="G16" i="3"/>
  <c r="G34" i="3"/>
  <c r="C11" i="6" s="1"/>
  <c r="G8" i="2"/>
  <c r="C20" i="4"/>
  <c r="C21" i="4" s="1"/>
  <c r="C26" i="4" s="1"/>
  <c r="C20" i="6"/>
  <c r="C21" i="6" s="1"/>
  <c r="C26" i="6" s="1"/>
  <c r="C5" i="4"/>
  <c r="C5" i="6"/>
  <c r="C7" i="4"/>
  <c r="C7" i="6"/>
  <c r="C11" i="4"/>
  <c r="T17" i="1"/>
  <c r="C6" i="4"/>
  <c r="C6" i="6"/>
  <c r="G4" i="5"/>
  <c r="G6" i="5" s="1"/>
  <c r="G11" i="5"/>
  <c r="G8" i="5"/>
  <c r="C12" i="4"/>
  <c r="C12" i="6"/>
  <c r="C13" i="4"/>
  <c r="C13" i="6"/>
  <c r="Y22" i="7"/>
  <c r="X21" i="7"/>
  <c r="X22" i="1"/>
  <c r="Y22" i="1" s="1"/>
  <c r="C8" i="4"/>
  <c r="C14" i="4"/>
  <c r="H3" i="2"/>
  <c r="H3" i="9" l="1"/>
  <c r="T17" i="8"/>
  <c r="Y22" i="8"/>
  <c r="X21" i="8"/>
  <c r="G13" i="5"/>
  <c r="G14" i="5" s="1"/>
  <c r="C23" i="6" s="1"/>
  <c r="C24" i="6" s="1"/>
  <c r="C8" i="6"/>
  <c r="C16" i="6" s="1"/>
  <c r="C17" i="6" s="1"/>
  <c r="C14" i="6"/>
  <c r="H4" i="5"/>
  <c r="H6" i="5" s="1"/>
  <c r="H11" i="5"/>
  <c r="H8" i="5"/>
  <c r="C23" i="4"/>
  <c r="C24" i="4" s="1"/>
  <c r="Z22" i="7"/>
  <c r="Y21" i="7"/>
  <c r="H6" i="3"/>
  <c r="H8" i="2"/>
  <c r="X21" i="1"/>
  <c r="C16" i="4"/>
  <c r="C17" i="4" s="1"/>
  <c r="C25" i="4" s="1"/>
  <c r="H11" i="2"/>
  <c r="H34" i="3"/>
  <c r="H4" i="2"/>
  <c r="H6" i="2" s="1"/>
  <c r="H36" i="3"/>
  <c r="H39" i="3"/>
  <c r="H13" i="3"/>
  <c r="H16" i="3"/>
  <c r="H23" i="3"/>
  <c r="H11" i="3"/>
  <c r="Z22" i="1"/>
  <c r="Y21" i="1"/>
  <c r="Y21" i="8" l="1"/>
  <c r="Z22" i="8"/>
  <c r="H8" i="9"/>
  <c r="H4" i="9"/>
  <c r="H6" i="9" s="1"/>
  <c r="H11" i="9"/>
  <c r="C27" i="6"/>
  <c r="C29" i="6" s="1"/>
  <c r="D20" i="4"/>
  <c r="D21" i="4" s="1"/>
  <c r="D26" i="4" s="1"/>
  <c r="D20" i="6"/>
  <c r="D12" i="4"/>
  <c r="D12" i="6"/>
  <c r="C27" i="4"/>
  <c r="C29" i="4" s="1"/>
  <c r="D13" i="4"/>
  <c r="D13" i="6"/>
  <c r="D7" i="4"/>
  <c r="D7" i="6"/>
  <c r="H13" i="5"/>
  <c r="H14" i="5" s="1"/>
  <c r="D23" i="6" s="1"/>
  <c r="D5" i="4"/>
  <c r="D5" i="6"/>
  <c r="D6" i="4"/>
  <c r="D6" i="6"/>
  <c r="D11" i="4"/>
  <c r="D11" i="6"/>
  <c r="D14" i="6" s="1"/>
  <c r="Z21" i="7"/>
  <c r="AA22" i="7"/>
  <c r="AA21" i="7" s="1"/>
  <c r="H13" i="2"/>
  <c r="H14" i="2" s="1"/>
  <c r="D14" i="4"/>
  <c r="AA22" i="1"/>
  <c r="AA21" i="1" s="1"/>
  <c r="Z21" i="1"/>
  <c r="H13" i="9" l="1"/>
  <c r="H14" i="9" s="1"/>
  <c r="D23" i="10" s="1"/>
  <c r="D24" i="10" s="1"/>
  <c r="D27" i="10" s="1"/>
  <c r="D29" i="10" s="1"/>
  <c r="AA22" i="8"/>
  <c r="Z21" i="8"/>
  <c r="X40" i="7"/>
  <c r="X39" i="7" s="1"/>
  <c r="X18" i="7"/>
  <c r="D8" i="4"/>
  <c r="D8" i="6"/>
  <c r="D16" i="6" s="1"/>
  <c r="D17" i="6" s="1"/>
  <c r="D25" i="6" s="1"/>
  <c r="D21" i="6"/>
  <c r="D26" i="6" s="1"/>
  <c r="D23" i="4"/>
  <c r="D24" i="4" s="1"/>
  <c r="D24" i="6"/>
  <c r="D16" i="4"/>
  <c r="D17" i="4" s="1"/>
  <c r="D25" i="4" s="1"/>
  <c r="X18" i="1"/>
  <c r="AA21" i="8" l="1"/>
  <c r="X18" i="8" s="1"/>
  <c r="X39" i="8"/>
  <c r="X17" i="7"/>
  <c r="I3" i="5"/>
  <c r="I4" i="5" s="1"/>
  <c r="I6" i="5" s="1"/>
  <c r="D27" i="6"/>
  <c r="D29" i="6" s="1"/>
  <c r="D27" i="4"/>
  <c r="D29" i="4" s="1"/>
  <c r="I3" i="2"/>
  <c r="I6" i="3" s="1"/>
  <c r="X17" i="1"/>
  <c r="I3" i="9" l="1"/>
  <c r="X17" i="8"/>
  <c r="I11" i="5"/>
  <c r="I8" i="5"/>
  <c r="I34" i="3"/>
  <c r="I39" i="3"/>
  <c r="I11" i="2"/>
  <c r="I13" i="3"/>
  <c r="I4" i="2"/>
  <c r="I6" i="2" s="1"/>
  <c r="I23" i="3"/>
  <c r="I8" i="2"/>
  <c r="I11" i="3"/>
  <c r="I16" i="3"/>
  <c r="I36" i="3"/>
  <c r="I8" i="9" l="1"/>
  <c r="I4" i="9"/>
  <c r="I6" i="9" s="1"/>
  <c r="I11" i="9"/>
  <c r="I13" i="5"/>
  <c r="I14" i="5" s="1"/>
  <c r="E23" i="6" s="1"/>
  <c r="E20" i="4"/>
  <c r="E21" i="4" s="1"/>
  <c r="E26" i="4" s="1"/>
  <c r="E20" i="6"/>
  <c r="E21" i="6" s="1"/>
  <c r="E26" i="6" s="1"/>
  <c r="E13" i="4"/>
  <c r="E13" i="6"/>
  <c r="E12" i="4"/>
  <c r="E12" i="6"/>
  <c r="E7" i="4"/>
  <c r="E7" i="6"/>
  <c r="E11" i="4"/>
  <c r="E14" i="4" s="1"/>
  <c r="E11" i="6"/>
  <c r="E5" i="4"/>
  <c r="E5" i="6"/>
  <c r="E6" i="4"/>
  <c r="E6" i="6"/>
  <c r="I13" i="2"/>
  <c r="I14" i="2" s="1"/>
  <c r="E8" i="4"/>
  <c r="I13" i="9" l="1"/>
  <c r="I14" i="9" s="1"/>
  <c r="E23" i="10" s="1"/>
  <c r="E24" i="10" s="1"/>
  <c r="E27" i="10" s="1"/>
  <c r="E8" i="6"/>
  <c r="E23" i="4"/>
  <c r="E24" i="4" s="1"/>
  <c r="E24" i="6"/>
  <c r="E14" i="6"/>
  <c r="E16" i="6" s="1"/>
  <c r="E17" i="6" s="1"/>
  <c r="E25" i="6" s="1"/>
  <c r="E16" i="4"/>
  <c r="E17" i="4" s="1"/>
  <c r="E25" i="4" s="1"/>
  <c r="E27" i="4" s="1"/>
  <c r="E28" i="4" s="1"/>
  <c r="E29" i="4" s="1"/>
  <c r="B36" i="4" s="1"/>
  <c r="B38" i="4" s="1"/>
  <c r="B42" i="4" s="1"/>
  <c r="E28" i="10" l="1"/>
  <c r="E29" i="10" s="1"/>
  <c r="B36" i="10" s="1"/>
  <c r="B38" i="10" s="1"/>
  <c r="B40" i="10" s="1"/>
  <c r="B42" i="10" s="1"/>
  <c r="E27" i="6"/>
  <c r="E28" i="6" l="1"/>
  <c r="E29" i="6" s="1"/>
  <c r="B36" i="6" s="1"/>
  <c r="B38" i="6" s="1"/>
  <c r="B40" i="6" s="1"/>
  <c r="B42" i="6" s="1"/>
</calcChain>
</file>

<file path=xl/sharedStrings.xml><?xml version="1.0" encoding="utf-8"?>
<sst xmlns="http://schemas.openxmlformats.org/spreadsheetml/2006/main" count="387" uniqueCount="124">
  <si>
    <t>Q1</t>
  </si>
  <si>
    <t>iPhone</t>
  </si>
  <si>
    <t>iPad</t>
  </si>
  <si>
    <t>Mac</t>
  </si>
  <si>
    <t>Services</t>
  </si>
  <si>
    <t>Other</t>
  </si>
  <si>
    <t>Q2</t>
  </si>
  <si>
    <t>Q3</t>
  </si>
  <si>
    <t>Q4</t>
  </si>
  <si>
    <t>APPLE INC  (AAPL) CashFlowFlag INCOME STATEMENT</t>
  </si>
  <si>
    <t>Fiscal year ends in September. USD in millions except per share data.</t>
  </si>
  <si>
    <t>2014-09</t>
  </si>
  <si>
    <t>2015-09</t>
  </si>
  <si>
    <t>2016-09</t>
  </si>
  <si>
    <t>Revenue</t>
  </si>
  <si>
    <t>Cost of revenue</t>
  </si>
  <si>
    <t>Gross profit</t>
  </si>
  <si>
    <t>Operating expenses</t>
  </si>
  <si>
    <t>Total operating expenses</t>
  </si>
  <si>
    <t>Interest Expense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</si>
  <si>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</si>
  <si>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</si>
  <si>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</si>
  <si>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</si>
  <si>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</si>
  <si>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income available to common shareholders</t>
  </si>
  <si>
    <t>Earnings per share</t>
  </si>
  <si>
    <t>Basic</t>
  </si>
  <si>
    <t>Diluted</t>
  </si>
  <si>
    <t>Weighted average shares outstanding</t>
  </si>
  <si>
    <t>EBITDA</t>
  </si>
  <si>
    <t>Actual</t>
  </si>
  <si>
    <t>Projected</t>
  </si>
  <si>
    <t>2017-09</t>
  </si>
  <si>
    <t>2018-09</t>
  </si>
  <si>
    <t>2019-09</t>
  </si>
  <si>
    <t>Method</t>
  </si>
  <si>
    <t>Applied</t>
  </si>
  <si>
    <t>ACTUAL</t>
  </si>
  <si>
    <t>Quarter</t>
  </si>
  <si>
    <t>Calendar Year</t>
  </si>
  <si>
    <t>Total</t>
  </si>
  <si>
    <t xml:space="preserve">Q/Q </t>
  </si>
  <si>
    <t>% of Sales</t>
  </si>
  <si>
    <t>Growing % of Sales</t>
  </si>
  <si>
    <t xml:space="preserve">  Research and development</t>
  </si>
  <si>
    <t xml:space="preserve">  Sales, General and administrative</t>
  </si>
  <si>
    <t>EBIT</t>
  </si>
  <si>
    <t>APPLE INC  (AAPL) CashFlowFlag BALANCE SHEET</t>
  </si>
  <si>
    <t>Assets</t>
  </si>
  <si>
    <t>Current assets</t>
  </si>
  <si>
    <t>Cash</t>
  </si>
  <si>
    <t>Cash and cash equivalents</t>
  </si>
  <si>
    <t>Short-term investments</t>
  </si>
  <si>
    <t>Total cash</t>
  </si>
  <si>
    <t>Receivables</t>
  </si>
  <si>
    <t>Inventories</t>
  </si>
  <si>
    <t>Deferred income taxes</t>
  </si>
  <si>
    <t>Other current assets</t>
  </si>
  <si>
    <t>Total current assets</t>
  </si>
  <si>
    <t>Non-current assets</t>
  </si>
  <si>
    <t>Property, plant and equipment</t>
  </si>
  <si>
    <t>Gross property, plant and equipment</t>
  </si>
  <si>
    <t>Accumulated Depreciation</t>
  </si>
  <si>
    <t>Net property, plant and equipment</t>
  </si>
  <si>
    <t>Equity and other investments</t>
  </si>
  <si>
    <t>Goodwill</t>
  </si>
  <si>
    <t>Intangible assets</t>
  </si>
  <si>
    <t>Other long-term assets</t>
  </si>
  <si>
    <t>Total non-current assets</t>
  </si>
  <si>
    <t>Total assets</t>
  </si>
  <si>
    <t>Liabilities and stockholders' equity</t>
  </si>
  <si>
    <t>Liabilities</t>
  </si>
  <si>
    <t>Current liabilities</t>
  </si>
  <si>
    <t>Short-term debt</t>
  </si>
  <si>
    <t>Accounts payable</t>
  </si>
  <si>
    <t>Taxes payable</t>
  </si>
  <si>
    <t>Accrued liabilities</t>
  </si>
  <si>
    <t>Deferred revenues</t>
  </si>
  <si>
    <t>Other current liabilities</t>
  </si>
  <si>
    <t>Total current liabilities</t>
  </si>
  <si>
    <t>Non-current liabilities</t>
  </si>
  <si>
    <t>Long-term debt</t>
  </si>
  <si>
    <t>Deferred taxes liabilities</t>
  </si>
  <si>
    <t>Other long-term liabilities</t>
  </si>
  <si>
    <t>Total non-current liabilities</t>
  </si>
  <si>
    <t>Total liabilities</t>
  </si>
  <si>
    <t>Stockholders' equity</t>
  </si>
  <si>
    <t>Common stock</t>
  </si>
  <si>
    <t>Additional paid-in capital</t>
  </si>
  <si>
    <t>Retained earnings</t>
  </si>
  <si>
    <t>Accumulated other comprehensive income</t>
  </si>
  <si>
    <t>Total stockholders' equity</t>
  </si>
  <si>
    <t>Total liabilities and stockholders' equity</t>
  </si>
  <si>
    <t>Δ in WC</t>
  </si>
  <si>
    <t>Current Assets</t>
  </si>
  <si>
    <t>AR</t>
  </si>
  <si>
    <t>Other Current</t>
  </si>
  <si>
    <t xml:space="preserve">Current Liabilities </t>
  </si>
  <si>
    <t>AP</t>
  </si>
  <si>
    <t>AL</t>
  </si>
  <si>
    <t>ST Debt</t>
  </si>
  <si>
    <t>CAPEX</t>
  </si>
  <si>
    <t>Net PPE</t>
  </si>
  <si>
    <t>WC</t>
  </si>
  <si>
    <t>FCF</t>
  </si>
  <si>
    <t>WACC</t>
  </si>
  <si>
    <t>NPV</t>
  </si>
  <si>
    <t>TV Growth</t>
  </si>
  <si>
    <t>Net Debt</t>
  </si>
  <si>
    <t>Equity</t>
  </si>
  <si>
    <t>Shares Outstanding</t>
  </si>
  <si>
    <t>Share Value</t>
  </si>
  <si>
    <t>Scale Factor</t>
  </si>
  <si>
    <t>Current</t>
  </si>
  <si>
    <t>Expected Return</t>
  </si>
  <si>
    <t xml:space="preserve"> </t>
  </si>
  <si>
    <t>Net -&gt; No Depreciation</t>
  </si>
  <si>
    <t>Tax Rate</t>
  </si>
  <si>
    <t>Future Growth</t>
  </si>
  <si>
    <t>Growth Rate</t>
  </si>
  <si>
    <t>NOPAT</t>
  </si>
  <si>
    <t>n st</t>
  </si>
  <si>
    <t>Margins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</si>
</sst>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2" xfId="1" applyNumberFormat="1" applyFont="1" applyBorder="1"/>
    <xf numFmtId="10" fontId="0" fillId="0" borderId="2" xfId="1" applyNumberFormat="1" applyFont="1" applyBorder="1"/>
    <xf numFmtId="10" fontId="0" fillId="0" borderId="0" xfId="1" applyNumberFormat="1" applyFont="1" applyBorder="1"/>
    <xf numFmtId="164" fontId="0" fillId="0" borderId="0" xfId="1" applyNumberFormat="1" applyFont="1" applyBorder="1"/>
    <xf numFmtId="1" fontId="0" fillId="0" borderId="0" xfId="0" applyNumberFormat="1"/>
    <xf numFmtId="2" fontId="0" fillId="0" borderId="2" xfId="0" applyNumberFormat="1" applyBorder="1"/>
    <xf numFmtId="2" fontId="0" fillId="0" borderId="0" xfId="0" applyNumberFormat="1" applyBorder="1"/>
    <xf numFmtId="165" fontId="0" fillId="0" borderId="0" xfId="0" applyNumberFormat="1"/>
    <xf numFmtId="0" fontId="0" fillId="0" borderId="0" xfId="0" applyFill="1" applyBorder="1"/>
    <xf numFmtId="0" fontId="0" fillId="0" borderId="3" xfId="0" applyFill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3" xfId="0" applyNumberFormat="1" applyBorder="1"/>
    <xf numFmtId="165" fontId="0" fillId="0" borderId="0" xfId="0" applyNumberFormat="1" applyFill="1" applyBorder="1"/>
    <xf numFmtId="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1" applyNumberFormat="1" applyFont="1" applyFill="1" applyBorder="1"/>
    <xf numFmtId="2" fontId="0" fillId="0" borderId="0" xfId="1" applyNumberFormat="1" applyFont="1"/>
    <xf numFmtId="1" fontId="0" fillId="0" borderId="0" xfId="0" applyNumberFormat="1" applyBorder="1"/>
    <xf numFmtId="166" fontId="0" fillId="0" borderId="0" xfId="1" applyNumberFormat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F40"/>
  <sheetViews>
    <sheetView topLeftCell="A9" workbookViewId="0">
      <selection activeCell="J38" sqref="J38"/>
    </sheetView>
  </sheetViews>
  <sheetFormatPr defaultRowHeight="14.4" x14ac:dyDescent="0.3"/>
  <cols>
    <col min="2" max="2" width="12.33203125" bestFit="1" customWidth="1"/>
    <col min="3" max="7" width="8" bestFit="1" customWidth="1"/>
    <col min="8" max="8" width="8" customWidth="1"/>
    <col min="9" max="11" width="8" bestFit="1" customWidth="1"/>
    <col min="12" max="13" width="8" customWidth="1"/>
    <col min="14" max="14" width="8" bestFit="1" customWidth="1"/>
    <col min="15" max="15" width="8" customWidth="1"/>
    <col min="16" max="16" width="10.88671875" bestFit="1" customWidth="1"/>
    <col min="17" max="17" width="10.88671875" style="7" bestFit="1" customWidth="1"/>
    <col min="18" max="23" width="8.5546875" bestFit="1" customWidth="1"/>
    <col min="24" max="25" width="9.5546875" bestFit="1" customWidth="1"/>
    <col min="26" max="26" width="8.5546875" bestFit="1" customWidth="1"/>
    <col min="27" max="27" width="9.5546875" bestFit="1" customWidth="1"/>
  </cols>
  <sheetData>
    <row r="2" spans="2:27" x14ac:dyDescent="0.3">
      <c r="C2" s="30" t="s">
        <v>38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4"/>
    </row>
    <row r="3" spans="2:27" x14ac:dyDescent="0.3">
      <c r="B3" t="s">
        <v>40</v>
      </c>
      <c r="D3">
        <v>2014</v>
      </c>
      <c r="H3">
        <f>D3+1</f>
        <v>2015</v>
      </c>
      <c r="L3">
        <f>H3+1</f>
        <v>2016</v>
      </c>
      <c r="P3" t="s">
        <v>36</v>
      </c>
      <c r="Q3" s="7">
        <f>L3+1</f>
        <v>2017</v>
      </c>
      <c r="U3">
        <f>Q3+1</f>
        <v>2018</v>
      </c>
      <c r="Y3">
        <f>U3+1</f>
        <v>2019</v>
      </c>
    </row>
    <row r="4" spans="2:27" x14ac:dyDescent="0.3">
      <c r="B4" t="s">
        <v>39</v>
      </c>
      <c r="C4" t="s">
        <v>0</v>
      </c>
      <c r="D4" t="s">
        <v>6</v>
      </c>
      <c r="E4" t="s">
        <v>7</v>
      </c>
      <c r="F4" t="s">
        <v>8</v>
      </c>
      <c r="G4" t="str">
        <f>C4</f>
        <v>Q1</v>
      </c>
      <c r="H4" t="str">
        <f t="shared" ref="H4:N4" si="0">D4</f>
        <v>Q2</v>
      </c>
      <c r="I4" t="str">
        <f t="shared" si="0"/>
        <v>Q3</v>
      </c>
      <c r="J4" t="str">
        <f t="shared" si="0"/>
        <v>Q4</v>
      </c>
      <c r="K4" t="str">
        <f t="shared" si="0"/>
        <v>Q1</v>
      </c>
      <c r="L4" t="str">
        <f t="shared" si="0"/>
        <v>Q2</v>
      </c>
      <c r="M4" t="str">
        <f t="shared" si="0"/>
        <v>Q3</v>
      </c>
      <c r="N4" t="str">
        <f t="shared" si="0"/>
        <v>Q4</v>
      </c>
      <c r="O4" t="str">
        <f t="shared" ref="O4" si="1">K4</f>
        <v>Q1</v>
      </c>
      <c r="Q4" s="7" t="str">
        <f>L4</f>
        <v>Q2</v>
      </c>
      <c r="R4" t="str">
        <f>M4</f>
        <v>Q3</v>
      </c>
      <c r="S4" t="str">
        <f>N4</f>
        <v>Q4</v>
      </c>
      <c r="T4" t="str">
        <f>O4</f>
        <v>Q1</v>
      </c>
      <c r="U4" t="str">
        <f t="shared" ref="U4" si="2">Q4</f>
        <v>Q2</v>
      </c>
      <c r="V4" t="str">
        <f t="shared" ref="V4" si="3">R4</f>
        <v>Q3</v>
      </c>
      <c r="W4" t="str">
        <f t="shared" ref="W4" si="4">S4</f>
        <v>Q4</v>
      </c>
      <c r="X4" t="str">
        <f t="shared" ref="X4" si="5">T4</f>
        <v>Q1</v>
      </c>
      <c r="Y4" t="str">
        <f t="shared" ref="Y4" si="6">U4</f>
        <v>Q2</v>
      </c>
      <c r="Z4" t="str">
        <f t="shared" ref="Z4" si="7">V4</f>
        <v>Q3</v>
      </c>
      <c r="AA4" t="str">
        <f t="shared" ref="AA4" si="8">W4</f>
        <v>Q4</v>
      </c>
    </row>
    <row r="5" spans="2:27" x14ac:dyDescent="0.3">
      <c r="B5" t="s">
        <v>1</v>
      </c>
      <c r="C5" s="2">
        <v>0.56430000000000002</v>
      </c>
      <c r="D5" s="2">
        <v>0.57099999999999995</v>
      </c>
      <c r="E5" s="2">
        <v>0.52769999999999995</v>
      </c>
      <c r="F5" s="2">
        <v>0.56210000000000004</v>
      </c>
      <c r="G5" s="2">
        <v>0.68610000000000004</v>
      </c>
      <c r="H5" s="2">
        <v>0.69440000000000002</v>
      </c>
      <c r="I5" s="2">
        <v>0.63239999999999996</v>
      </c>
      <c r="J5" s="2">
        <v>0.62539999999999996</v>
      </c>
      <c r="K5" s="2">
        <v>0.68059999999999998</v>
      </c>
      <c r="L5" s="2">
        <v>0.64990000000000003</v>
      </c>
      <c r="M5" s="2">
        <v>0.56769999999999998</v>
      </c>
      <c r="N5" s="2">
        <v>0.60099999999999998</v>
      </c>
      <c r="O5" s="2">
        <v>0.69400000000000006</v>
      </c>
      <c r="P5" s="2"/>
    </row>
    <row r="6" spans="2:27" x14ac:dyDescent="0.3">
      <c r="B6" t="s">
        <v>2</v>
      </c>
      <c r="C6" s="2">
        <v>0.1991</v>
      </c>
      <c r="D6" s="2">
        <v>0.16669999999999999</v>
      </c>
      <c r="E6" s="2">
        <v>0.1573</v>
      </c>
      <c r="F6" s="2">
        <v>0.12620000000000001</v>
      </c>
      <c r="G6" s="2">
        <v>0.1202</v>
      </c>
      <c r="H6" s="2">
        <v>9.3600000000000003E-2</v>
      </c>
      <c r="I6" s="2">
        <v>9.1399999999999995E-2</v>
      </c>
      <c r="J6" s="2">
        <v>8.3000000000000004E-2</v>
      </c>
      <c r="K6" s="2">
        <v>9.3399999999999997E-2</v>
      </c>
      <c r="L6" s="2">
        <v>8.7300000000000003E-2</v>
      </c>
      <c r="M6" s="2">
        <v>0.11509999999999999</v>
      </c>
      <c r="N6" s="2">
        <v>9.0800000000000006E-2</v>
      </c>
      <c r="O6" s="2">
        <v>7.0599999999999996E-2</v>
      </c>
      <c r="P6" s="2"/>
    </row>
    <row r="7" spans="2:27" x14ac:dyDescent="0.3">
      <c r="B7" t="s">
        <v>3</v>
      </c>
      <c r="C7" s="2">
        <v>0.111</v>
      </c>
      <c r="D7" s="2">
        <v>0.12089999999999999</v>
      </c>
      <c r="E7" s="2">
        <v>0.14799999999999999</v>
      </c>
      <c r="F7" s="2">
        <v>0.1573</v>
      </c>
      <c r="G7" s="2">
        <v>9.3200000000000005E-2</v>
      </c>
      <c r="H7" s="2">
        <v>9.6799999999999997E-2</v>
      </c>
      <c r="I7" s="2">
        <v>0.1216</v>
      </c>
      <c r="J7" s="2">
        <v>0.1336</v>
      </c>
      <c r="K7" s="2">
        <v>8.8900000000000007E-2</v>
      </c>
      <c r="L7" s="2">
        <v>0.10100000000000001</v>
      </c>
      <c r="M7" s="2">
        <v>0.1237</v>
      </c>
      <c r="N7" s="2">
        <v>0.1225</v>
      </c>
      <c r="O7" s="2">
        <v>9.2499999999999999E-2</v>
      </c>
      <c r="P7" s="2"/>
    </row>
    <row r="8" spans="2:27" x14ac:dyDescent="0.3">
      <c r="B8" t="s">
        <v>4</v>
      </c>
      <c r="C8" s="2">
        <v>7.6300000000000007E-2</v>
      </c>
      <c r="D8" s="2">
        <v>0.1002</v>
      </c>
      <c r="E8" s="2">
        <v>0.1198</v>
      </c>
      <c r="F8" s="2">
        <v>0.1094</v>
      </c>
      <c r="G8" s="2">
        <v>6.4399999999999999E-2</v>
      </c>
      <c r="H8" s="2">
        <v>8.6099999999999996E-2</v>
      </c>
      <c r="I8" s="2">
        <v>0.1014</v>
      </c>
      <c r="J8" s="2">
        <v>9.8799999999999999E-2</v>
      </c>
      <c r="K8" s="2">
        <v>7.9799999999999996E-2</v>
      </c>
      <c r="L8" s="2">
        <v>0.11849999999999999</v>
      </c>
      <c r="M8" s="2">
        <v>0.1411</v>
      </c>
      <c r="N8" s="2">
        <v>0.13500000000000001</v>
      </c>
      <c r="O8" s="2">
        <v>9.1499999999999998E-2</v>
      </c>
      <c r="P8" s="2"/>
    </row>
    <row r="9" spans="2:27" x14ac:dyDescent="0.3">
      <c r="B9" t="s">
        <v>5</v>
      </c>
      <c r="C9" s="2">
        <v>4.9299999999999997E-2</v>
      </c>
      <c r="D9" s="2">
        <v>4.1200000000000001E-2</v>
      </c>
      <c r="E9" s="2">
        <v>4.7199999999999999E-2</v>
      </c>
      <c r="F9" s="2">
        <v>4.4999999999999998E-2</v>
      </c>
      <c r="G9" s="2">
        <v>3.61E-2</v>
      </c>
      <c r="H9" s="2">
        <v>2.9100000000000001E-2</v>
      </c>
      <c r="I9" s="2">
        <v>5.3199999999999997E-2</v>
      </c>
      <c r="J9" s="2">
        <v>5.9200000000000003E-2</v>
      </c>
      <c r="K9" s="2">
        <v>5.7299999999999997E-2</v>
      </c>
      <c r="L9" s="2">
        <v>4.3299999999999998E-2</v>
      </c>
      <c r="M9" s="2">
        <v>5.2400000000000002E-2</v>
      </c>
      <c r="N9" s="2">
        <v>5.0700000000000002E-2</v>
      </c>
      <c r="O9" s="2">
        <v>5.1399999999999994E-2</v>
      </c>
      <c r="P9" s="2"/>
    </row>
    <row r="10" spans="2:27" x14ac:dyDescent="0.3">
      <c r="C10" s="3">
        <f t="shared" ref="C10:O10" si="9">SUM(C5:C9)</f>
        <v>1</v>
      </c>
      <c r="D10" s="3">
        <f t="shared" si="9"/>
        <v>0.99999999999999989</v>
      </c>
      <c r="E10" s="3">
        <f t="shared" si="9"/>
        <v>1</v>
      </c>
      <c r="F10" s="3">
        <f t="shared" si="9"/>
        <v>1</v>
      </c>
      <c r="G10" s="3">
        <f t="shared" si="9"/>
        <v>1</v>
      </c>
      <c r="H10" s="3">
        <f t="shared" si="9"/>
        <v>1</v>
      </c>
      <c r="I10" s="3">
        <f t="shared" si="9"/>
        <v>1</v>
      </c>
      <c r="J10" s="3">
        <f t="shared" si="9"/>
        <v>0.99999999999999989</v>
      </c>
      <c r="K10" s="3">
        <f t="shared" si="9"/>
        <v>1</v>
      </c>
      <c r="L10" s="3">
        <f t="shared" si="9"/>
        <v>1</v>
      </c>
      <c r="M10" s="3">
        <f t="shared" si="9"/>
        <v>1</v>
      </c>
      <c r="N10" s="3">
        <f t="shared" si="9"/>
        <v>1</v>
      </c>
      <c r="O10" s="3">
        <f t="shared" si="9"/>
        <v>1</v>
      </c>
      <c r="P10" s="3"/>
    </row>
    <row r="12" spans="2:27" x14ac:dyDescent="0.3">
      <c r="B12" t="s">
        <v>1</v>
      </c>
      <c r="C12" s="3">
        <f>AVERAGE(C5:F5)</f>
        <v>0.55627499999999996</v>
      </c>
      <c r="G12" s="3">
        <f>AVERAGE(G5:J5)</f>
        <v>0.65957500000000002</v>
      </c>
      <c r="K12" s="3">
        <f>AVERAGE(K5:N5)</f>
        <v>0.62480000000000002</v>
      </c>
      <c r="L12" s="3"/>
    </row>
    <row r="13" spans="2:27" x14ac:dyDescent="0.3">
      <c r="B13" t="s">
        <v>2</v>
      </c>
      <c r="C13" s="3">
        <f t="shared" ref="C13:C16" si="10">AVERAGE(C6:F6)</f>
        <v>0.162325</v>
      </c>
      <c r="G13" s="3">
        <f t="shared" ref="G13:G16" si="11">AVERAGE(G6:J6)</f>
        <v>9.7049999999999997E-2</v>
      </c>
      <c r="K13" s="3">
        <f t="shared" ref="K13:K16" si="12">AVERAGE(K6:N6)</f>
        <v>9.665E-2</v>
      </c>
      <c r="L13" s="3"/>
    </row>
    <row r="14" spans="2:27" x14ac:dyDescent="0.3">
      <c r="B14" t="s">
        <v>3</v>
      </c>
      <c r="C14" s="3">
        <f t="shared" si="10"/>
        <v>0.1343</v>
      </c>
      <c r="G14" s="3">
        <f t="shared" si="11"/>
        <v>0.1113</v>
      </c>
      <c r="K14" s="3">
        <f t="shared" si="12"/>
        <v>0.109025</v>
      </c>
      <c r="L14" s="3"/>
    </row>
    <row r="15" spans="2:27" x14ac:dyDescent="0.3">
      <c r="B15" t="s">
        <v>4</v>
      </c>
      <c r="C15" s="3">
        <f t="shared" si="10"/>
        <v>0.101425</v>
      </c>
      <c r="G15" s="3">
        <f t="shared" si="11"/>
        <v>8.7675000000000003E-2</v>
      </c>
      <c r="K15" s="3">
        <f t="shared" si="12"/>
        <v>0.1186</v>
      </c>
      <c r="L15" s="3"/>
    </row>
    <row r="16" spans="2:27" x14ac:dyDescent="0.3">
      <c r="B16" t="s">
        <v>5</v>
      </c>
      <c r="C16" s="3">
        <f t="shared" si="10"/>
        <v>4.5674999999999993E-2</v>
      </c>
      <c r="G16" s="3">
        <f t="shared" si="11"/>
        <v>4.4400000000000002E-2</v>
      </c>
      <c r="K16" s="3">
        <f t="shared" si="12"/>
        <v>5.0924999999999998E-2</v>
      </c>
      <c r="L16" s="3"/>
    </row>
    <row r="17" spans="2:32" x14ac:dyDescent="0.3">
      <c r="C17" s="3">
        <f>SUM(C12:C16)</f>
        <v>0.99999999999999989</v>
      </c>
      <c r="G17" s="3">
        <f t="shared" ref="G17" si="13">SUM(G12:G16)</f>
        <v>1</v>
      </c>
      <c r="K17" s="3">
        <f t="shared" ref="K17" si="14">SUM(K12:K16)</f>
        <v>1</v>
      </c>
      <c r="L17" s="3"/>
      <c r="T17" s="2">
        <f>T18/O18-1</f>
        <v>0.15873833204515964</v>
      </c>
      <c r="X17" s="2">
        <f>X18/T18-1</f>
        <v>0.16798243773513688</v>
      </c>
    </row>
    <row r="18" spans="2:32" x14ac:dyDescent="0.3">
      <c r="C18" s="13">
        <f>SUM(C21:F21)</f>
        <v>182795</v>
      </c>
      <c r="G18" s="13">
        <f>SUM(G21:J21)</f>
        <v>233715</v>
      </c>
      <c r="K18" s="13">
        <f>SUM(K21:N21)</f>
        <v>215639</v>
      </c>
      <c r="O18" s="13">
        <f>SUM(O21:S21)</f>
        <v>242594.93525309066</v>
      </c>
      <c r="S18" s="13"/>
      <c r="T18" s="13">
        <f>SUM(T21:W21)</f>
        <v>281104.05063776975</v>
      </c>
      <c r="W18" s="13"/>
      <c r="X18" s="13">
        <f>SUM(X21:AA21)</f>
        <v>328324.59432112367</v>
      </c>
    </row>
    <row r="19" spans="2:32" x14ac:dyDescent="0.3">
      <c r="L19" s="15"/>
      <c r="Q19" s="14"/>
    </row>
    <row r="20" spans="2:32" x14ac:dyDescent="0.3"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2:32" x14ac:dyDescent="0.3">
      <c r="B21" t="s">
        <v>41</v>
      </c>
      <c r="C21" s="13">
        <v>57594</v>
      </c>
      <c r="D21" s="13">
        <v>45646</v>
      </c>
      <c r="E21" s="13">
        <v>37432</v>
      </c>
      <c r="F21" s="13">
        <v>42123</v>
      </c>
      <c r="G21" s="13">
        <v>74599</v>
      </c>
      <c r="H21" s="13">
        <v>58010</v>
      </c>
      <c r="I21" s="13">
        <v>49605</v>
      </c>
      <c r="J21" s="13">
        <v>51501</v>
      </c>
      <c r="K21" s="13">
        <v>75872</v>
      </c>
      <c r="L21" s="13">
        <v>50557</v>
      </c>
      <c r="M21" s="13">
        <v>42358</v>
      </c>
      <c r="N21" s="13">
        <v>46852</v>
      </c>
      <c r="O21" s="13">
        <v>78351</v>
      </c>
      <c r="Q21" s="14">
        <f>SUM(Q22,Q24,Q26,Q28,Q30)</f>
        <v>59430.384909072731</v>
      </c>
      <c r="R21" s="15">
        <f t="shared" ref="R21:AA21" si="15">SUM(R22,R24,R26,R28,R30)</f>
        <v>49844.099025352931</v>
      </c>
      <c r="S21" s="15">
        <f t="shared" si="15"/>
        <v>54969.451318665029</v>
      </c>
      <c r="T21" s="15">
        <f t="shared" si="15"/>
        <v>90756.592073179578</v>
      </c>
      <c r="U21" s="15">
        <f t="shared" si="15"/>
        <v>69046.350545363894</v>
      </c>
      <c r="V21" s="15">
        <f t="shared" si="15"/>
        <v>57576.853660703753</v>
      </c>
      <c r="W21" s="15">
        <f t="shared" si="15"/>
        <v>63724.254358522507</v>
      </c>
      <c r="X21" s="15">
        <f t="shared" si="15"/>
        <v>106043.96099837388</v>
      </c>
      <c r="Y21" s="15">
        <f t="shared" si="15"/>
        <v>80825.733789394333</v>
      </c>
      <c r="Z21" s="15">
        <f t="shared" si="15"/>
        <v>67054.580672061711</v>
      </c>
      <c r="AA21" s="15">
        <f t="shared" si="15"/>
        <v>74400.318861293752</v>
      </c>
      <c r="AB21" s="8"/>
      <c r="AC21" s="8"/>
      <c r="AD21" s="8"/>
      <c r="AE21" s="8"/>
      <c r="AF21" s="8"/>
    </row>
    <row r="22" spans="2:32" x14ac:dyDescent="0.3">
      <c r="B22" t="s">
        <v>1</v>
      </c>
      <c r="C22" s="13">
        <f>C$21*C5</f>
        <v>32500.2942</v>
      </c>
      <c r="D22" s="13">
        <f>D$21*D5</f>
        <v>26063.865999999998</v>
      </c>
      <c r="E22" s="13">
        <f t="shared" ref="E22:O22" si="16">E$21*E5</f>
        <v>19752.866399999999</v>
      </c>
      <c r="F22" s="13">
        <f t="shared" si="16"/>
        <v>23677.338300000003</v>
      </c>
      <c r="G22" s="13">
        <f t="shared" si="16"/>
        <v>51182.373900000006</v>
      </c>
      <c r="H22" s="13">
        <f t="shared" si="16"/>
        <v>40282.144</v>
      </c>
      <c r="I22" s="13">
        <f t="shared" si="16"/>
        <v>31370.201999999997</v>
      </c>
      <c r="J22" s="13">
        <f t="shared" si="16"/>
        <v>32208.725399999999</v>
      </c>
      <c r="K22" s="13">
        <f>K$21*K5</f>
        <v>51638.483199999995</v>
      </c>
      <c r="L22" s="13">
        <f t="shared" si="16"/>
        <v>32856.994299999998</v>
      </c>
      <c r="M22" s="13">
        <f t="shared" si="16"/>
        <v>24046.636599999998</v>
      </c>
      <c r="N22" s="13">
        <f t="shared" si="16"/>
        <v>28158.052</v>
      </c>
      <c r="O22" s="13">
        <f t="shared" si="16"/>
        <v>54375.594000000005</v>
      </c>
      <c r="Q22" s="14">
        <f>O22*(1+Q23)</f>
        <v>40333.610310413649</v>
      </c>
      <c r="R22" s="15">
        <f>Q22*(1+R23)</f>
        <v>30498.709372634883</v>
      </c>
      <c r="S22" s="15">
        <f t="shared" ref="S22:T22" si="17">R22*(1+S23)</f>
        <v>34528.455760096658</v>
      </c>
      <c r="T22" s="15">
        <f t="shared" si="17"/>
        <v>65557.924797190179</v>
      </c>
      <c r="U22" s="15">
        <f t="shared" ref="U22" si="18">T22*(1+U23)</f>
        <v>48628.209772370894</v>
      </c>
      <c r="V22" s="15">
        <f>U22*(1+V23)</f>
        <v>36770.763285134075</v>
      </c>
      <c r="W22" s="15">
        <f>V22*(1+W23)</f>
        <v>41629.226268011429</v>
      </c>
      <c r="X22" s="15">
        <f t="shared" ref="X22" si="19">W22*(1+X23)</f>
        <v>79039.899843927094</v>
      </c>
      <c r="Y22" s="15">
        <f t="shared" ref="Y22" si="20">X22*(1+Y23)</f>
        <v>58628.592071639338</v>
      </c>
      <c r="Z22" s="15">
        <f t="shared" ref="Z22" si="21">Y22*(1+Z23)</f>
        <v>44332.663918707745</v>
      </c>
      <c r="AA22" s="15">
        <f t="shared" ref="AA22" si="22">Z22*(1+AA23)</f>
        <v>50190.268910782055</v>
      </c>
      <c r="AB22" s="8"/>
      <c r="AC22" s="8"/>
      <c r="AD22" s="8"/>
      <c r="AE22" s="8"/>
      <c r="AF22" s="8"/>
    </row>
    <row r="23" spans="2:32" s="2" customFormat="1" x14ac:dyDescent="0.3">
      <c r="D23" s="2">
        <f>D22/C22-1</f>
        <v>-0.19804215187688989</v>
      </c>
      <c r="E23" s="2">
        <f t="shared" ref="E23:N23" si="23">E22/D22-1</f>
        <v>-0.24213597476291504</v>
      </c>
      <c r="F23" s="2">
        <f t="shared" si="23"/>
        <v>0.19867860291911876</v>
      </c>
      <c r="G23" s="2">
        <f t="shared" si="23"/>
        <v>1.1616607936036458</v>
      </c>
      <c r="H23" s="2">
        <f t="shared" si="23"/>
        <v>-0.2129684316967565</v>
      </c>
      <c r="I23" s="2">
        <f t="shared" si="23"/>
        <v>-0.22123802546359006</v>
      </c>
      <c r="J23" s="2">
        <f t="shared" si="23"/>
        <v>2.6729933074705725E-2</v>
      </c>
      <c r="K23" s="2">
        <f t="shared" si="23"/>
        <v>0.60324516287751018</v>
      </c>
      <c r="L23" s="2">
        <f t="shared" si="23"/>
        <v>-0.36371108785782458</v>
      </c>
      <c r="M23" s="2">
        <f t="shared" si="23"/>
        <v>-0.26814253365835117</v>
      </c>
      <c r="N23" s="2">
        <f t="shared" si="23"/>
        <v>0.17097673443445327</v>
      </c>
      <c r="O23" s="2">
        <f>O22/N22-1</f>
        <v>0.93108507648185346</v>
      </c>
      <c r="P23" s="2" t="s">
        <v>42</v>
      </c>
      <c r="Q23" s="10">
        <f>AVERAGE(D23,L23,H23)-$Q$34</f>
        <v>-0.25824055714382366</v>
      </c>
      <c r="R23" s="11">
        <f t="shared" ref="R23:S23" si="24">AVERAGE(E23,M23,I23)-$Q$34</f>
        <v>-0.24383884462828542</v>
      </c>
      <c r="S23" s="11">
        <f t="shared" si="24"/>
        <v>0.13212842347609258</v>
      </c>
      <c r="T23" s="11">
        <f>AVERAGE(G23,O23,K23)-$Q$34</f>
        <v>0.89866367765433652</v>
      </c>
      <c r="U23" s="11">
        <f>Q23*(1+$R$34)</f>
        <v>-0.25824055714382366</v>
      </c>
      <c r="V23" s="11">
        <f t="shared" ref="V23:AA23" si="25">R23*(1+$R$34)</f>
        <v>-0.24383884462828542</v>
      </c>
      <c r="W23" s="11">
        <f t="shared" si="25"/>
        <v>0.13212842347609258</v>
      </c>
      <c r="X23" s="11">
        <f t="shared" si="25"/>
        <v>0.89866367765433652</v>
      </c>
      <c r="Y23" s="11">
        <f t="shared" si="25"/>
        <v>-0.25824055714382366</v>
      </c>
      <c r="Z23" s="11">
        <f t="shared" si="25"/>
        <v>-0.24383884462828542</v>
      </c>
      <c r="AA23" s="11">
        <f t="shared" si="25"/>
        <v>0.13212842347609258</v>
      </c>
      <c r="AB23" s="11"/>
      <c r="AC23" s="11"/>
      <c r="AD23" s="11"/>
      <c r="AE23" s="11"/>
      <c r="AF23" s="11"/>
    </row>
    <row r="24" spans="2:32" x14ac:dyDescent="0.3">
      <c r="B24" t="s">
        <v>2</v>
      </c>
      <c r="C24" s="13">
        <f t="shared" ref="C24:N24" si="26">C$21*C6</f>
        <v>11466.965399999999</v>
      </c>
      <c r="D24" s="13">
        <f t="shared" si="26"/>
        <v>7609.1881999999996</v>
      </c>
      <c r="E24" s="13">
        <f t="shared" si="26"/>
        <v>5888.0536000000002</v>
      </c>
      <c r="F24" s="13">
        <f t="shared" si="26"/>
        <v>5315.9225999999999</v>
      </c>
      <c r="G24" s="13">
        <f t="shared" si="26"/>
        <v>8966.7998000000007</v>
      </c>
      <c r="H24" s="13">
        <f t="shared" si="26"/>
        <v>5429.7359999999999</v>
      </c>
      <c r="I24" s="13">
        <f t="shared" si="26"/>
        <v>4533.8969999999999</v>
      </c>
      <c r="J24" s="13">
        <f t="shared" si="26"/>
        <v>4274.5830000000005</v>
      </c>
      <c r="K24" s="13">
        <f t="shared" si="26"/>
        <v>7086.4448000000002</v>
      </c>
      <c r="L24" s="13">
        <f t="shared" si="26"/>
        <v>4413.6261000000004</v>
      </c>
      <c r="M24" s="13">
        <f t="shared" si="26"/>
        <v>4875.4057999999995</v>
      </c>
      <c r="N24" s="13">
        <f t="shared" si="26"/>
        <v>4254.1616000000004</v>
      </c>
      <c r="O24" s="13">
        <f>O$21*O6</f>
        <v>5531.5805999999993</v>
      </c>
      <c r="Q24" s="14">
        <f>O24*(1+Q25)</f>
        <v>3488.4711158215582</v>
      </c>
      <c r="R24" s="15">
        <f>Q24*(1+R25)</f>
        <v>3155.2601727858737</v>
      </c>
      <c r="S24" s="15">
        <f t="shared" ref="S24" si="27">R24*(1+S25)</f>
        <v>2858.8900448273325</v>
      </c>
      <c r="T24" s="15">
        <f t="shared" ref="T24" si="28">S24*(1+T25)</f>
        <v>4426.3872885181536</v>
      </c>
      <c r="U24" s="15">
        <f t="shared" ref="U24" si="29">T24*(1+U25)</f>
        <v>2791.4849877511115</v>
      </c>
      <c r="V24" s="15">
        <f t="shared" ref="V24" si="30">U24*(1+V25)</f>
        <v>2524.8485976660963</v>
      </c>
      <c r="W24" s="15">
        <f t="shared" ref="W24" si="31">V24*(1+W25)</f>
        <v>2287.6923376466389</v>
      </c>
      <c r="X24" s="15">
        <f t="shared" ref="X24" si="32">W24*(1+X25)</f>
        <v>3542.0083055384002</v>
      </c>
      <c r="Y24" s="15">
        <f t="shared" ref="Y24" si="33">X24*(1+Y25)</f>
        <v>2233.7546100061836</v>
      </c>
      <c r="Z24" s="15">
        <f t="shared" ref="Z24" si="34">Y24*(1+Z25)</f>
        <v>2020.391375684211</v>
      </c>
      <c r="AA24" s="15">
        <f t="shared" ref="AA24" si="35">Z24*(1+AA25)</f>
        <v>1830.6182293356553</v>
      </c>
      <c r="AB24" s="8"/>
      <c r="AC24" s="8"/>
      <c r="AD24" s="8"/>
      <c r="AE24" s="8"/>
      <c r="AF24" s="8"/>
    </row>
    <row r="25" spans="2:32" s="2" customFormat="1" x14ac:dyDescent="0.3">
      <c r="D25" s="2">
        <f>D24/C24-1</f>
        <v>-0.33642529347825534</v>
      </c>
      <c r="E25" s="2">
        <f t="shared" ref="E25" si="36">E24/D24-1</f>
        <v>-0.22619161923212772</v>
      </c>
      <c r="F25" s="2">
        <f t="shared" ref="F25" si="37">F24/E24-1</f>
        <v>-9.7168103225147351E-2</v>
      </c>
      <c r="G25" s="2">
        <f t="shared" ref="G25" si="38">G24/F24-1</f>
        <v>0.68678148173188247</v>
      </c>
      <c r="H25" s="2">
        <f t="shared" ref="H25" si="39">H24/G24-1</f>
        <v>-0.39446222497350736</v>
      </c>
      <c r="I25" s="2">
        <f t="shared" ref="I25" si="40">I24/H24-1</f>
        <v>-0.1649875795066279</v>
      </c>
      <c r="J25" s="2">
        <f t="shared" ref="J25" si="41">J24/I24-1</f>
        <v>-5.7194506183091409E-2</v>
      </c>
      <c r="K25" s="2">
        <f t="shared" ref="K25" si="42">K24/J24-1</f>
        <v>0.65780961558121565</v>
      </c>
      <c r="L25" s="2">
        <f t="shared" ref="L25" si="43">L24/K24-1</f>
        <v>-0.37717343116819302</v>
      </c>
      <c r="M25" s="2">
        <f t="shared" ref="M25" si="44">M24/L24-1</f>
        <v>0.10462592198283382</v>
      </c>
      <c r="N25" s="2">
        <f t="shared" ref="N25" si="45">N24/M24-1</f>
        <v>-0.12742410077946731</v>
      </c>
      <c r="O25" s="2">
        <f t="shared" ref="O25" si="46">O24/N24-1</f>
        <v>0.30027514704659986</v>
      </c>
      <c r="P25" s="2" t="s">
        <v>42</v>
      </c>
      <c r="Q25" s="10">
        <f>AVERAGE(D25,L25,H25)-$Q$35</f>
        <v>-0.36935364987331853</v>
      </c>
      <c r="R25" s="11">
        <f t="shared" ref="R25:T25" si="47">AVERAGE(E25,M25,I25)-$Q$35</f>
        <v>-9.5517758918640602E-2</v>
      </c>
      <c r="S25" s="11">
        <f t="shared" si="47"/>
        <v>-9.3928903395902028E-2</v>
      </c>
      <c r="T25" s="11">
        <f t="shared" si="47"/>
        <v>0.54828874811989936</v>
      </c>
      <c r="U25" s="11">
        <f>Q25*(1+$R$35)</f>
        <v>-0.36935364987331853</v>
      </c>
      <c r="V25" s="11">
        <f t="shared" ref="V25:AA25" si="48">R25*(1+$R$35)</f>
        <v>-9.5517758918640602E-2</v>
      </c>
      <c r="W25" s="11">
        <f t="shared" si="48"/>
        <v>-9.3928903395902028E-2</v>
      </c>
      <c r="X25" s="11">
        <f t="shared" si="48"/>
        <v>0.54828874811989936</v>
      </c>
      <c r="Y25" s="11">
        <f t="shared" si="48"/>
        <v>-0.36935364987331853</v>
      </c>
      <c r="Z25" s="11">
        <f t="shared" si="48"/>
        <v>-9.5517758918640602E-2</v>
      </c>
      <c r="AA25" s="11">
        <f t="shared" si="48"/>
        <v>-9.3928903395902028E-2</v>
      </c>
      <c r="AB25" s="11"/>
      <c r="AC25" s="11"/>
      <c r="AD25" s="11"/>
      <c r="AE25" s="11"/>
      <c r="AF25" s="11"/>
    </row>
    <row r="26" spans="2:32" x14ac:dyDescent="0.3">
      <c r="B26" t="s">
        <v>3</v>
      </c>
      <c r="C26" s="13">
        <f t="shared" ref="C26:O26" si="49">C$21*C7</f>
        <v>6392.9340000000002</v>
      </c>
      <c r="D26" s="13">
        <f t="shared" si="49"/>
        <v>5518.6013999999996</v>
      </c>
      <c r="E26" s="13">
        <f t="shared" si="49"/>
        <v>5539.9359999999997</v>
      </c>
      <c r="F26" s="13">
        <f t="shared" si="49"/>
        <v>6625.9479000000001</v>
      </c>
      <c r="G26" s="13">
        <f t="shared" si="49"/>
        <v>6952.6268</v>
      </c>
      <c r="H26" s="13">
        <f t="shared" si="49"/>
        <v>5615.3679999999995</v>
      </c>
      <c r="I26" s="13">
        <f t="shared" si="49"/>
        <v>6031.9679999999998</v>
      </c>
      <c r="J26" s="13">
        <f t="shared" si="49"/>
        <v>6880.5335999999998</v>
      </c>
      <c r="K26" s="13">
        <f t="shared" si="49"/>
        <v>6745.0208000000002</v>
      </c>
      <c r="L26" s="13">
        <f t="shared" si="49"/>
        <v>5106.2570000000005</v>
      </c>
      <c r="M26" s="13">
        <f t="shared" si="49"/>
        <v>5239.6846000000005</v>
      </c>
      <c r="N26" s="13">
        <f t="shared" si="49"/>
        <v>5739.37</v>
      </c>
      <c r="O26" s="13">
        <f t="shared" si="49"/>
        <v>7247.4674999999997</v>
      </c>
      <c r="Q26" s="14">
        <f>O26*(1+Q27)</f>
        <v>5865.4644659585601</v>
      </c>
      <c r="R26" s="15">
        <f>Q26*(1+R27)</f>
        <v>6069.1630926748458</v>
      </c>
      <c r="S26" s="15">
        <f t="shared" ref="S26" si="50">R26*(1+S27)</f>
        <v>6943.2781712846427</v>
      </c>
      <c r="T26" s="15">
        <f t="shared" ref="T26" si="51">S26*(1+T27)</f>
        <v>7619.9503059700028</v>
      </c>
      <c r="U26" s="15">
        <f t="shared" ref="U26" si="52">T26*(1+U27)</f>
        <v>6166.9193759112568</v>
      </c>
      <c r="V26" s="15">
        <f t="shared" ref="V26" si="53">U26*(1+V27)</f>
        <v>6381.0870714507582</v>
      </c>
      <c r="W26" s="15">
        <f t="shared" ref="W26" si="54">V26*(1+W27)</f>
        <v>7300.1271997032436</v>
      </c>
      <c r="X26" s="15">
        <f t="shared" ref="X26" si="55">W26*(1+X27)</f>
        <v>8011.5768253465585</v>
      </c>
      <c r="Y26" s="15">
        <f t="shared" ref="Y26" si="56">X26*(1+Y27)</f>
        <v>6483.867528259676</v>
      </c>
      <c r="Z26" s="15">
        <f t="shared" ref="Z26" si="57">Y26*(1+Z27)</f>
        <v>6709.0423492788959</v>
      </c>
      <c r="AA26" s="15">
        <f t="shared" ref="AA26" si="58">Z26*(1+AA27)</f>
        <v>7675.3164452270648</v>
      </c>
      <c r="AB26" s="8"/>
      <c r="AC26" s="8"/>
      <c r="AD26" s="8"/>
      <c r="AE26" s="8"/>
      <c r="AF26" s="8"/>
    </row>
    <row r="27" spans="2:32" s="2" customFormat="1" x14ac:dyDescent="0.3">
      <c r="D27" s="2">
        <f>D26/C26-1</f>
        <v>-0.13676546637271725</v>
      </c>
      <c r="E27" s="2">
        <f t="shared" ref="E27" si="59">E26/D26-1</f>
        <v>3.8659432804841742E-3</v>
      </c>
      <c r="F27" s="2">
        <f t="shared" ref="F27" si="60">F26/E26-1</f>
        <v>0.19603329352541277</v>
      </c>
      <c r="G27" s="2">
        <f t="shared" ref="G27" si="61">G26/F26-1</f>
        <v>4.9302968409999037E-2</v>
      </c>
      <c r="H27" s="2">
        <f t="shared" ref="H27" si="62">H26/G26-1</f>
        <v>-0.19233864242504728</v>
      </c>
      <c r="I27" s="2">
        <f t="shared" ref="I27" si="63">I26/H26-1</f>
        <v>7.4189260614798691E-2</v>
      </c>
      <c r="J27" s="2">
        <f t="shared" ref="J27" si="64">J26/I26-1</f>
        <v>0.14067806725765131</v>
      </c>
      <c r="K27" s="2">
        <f t="shared" ref="K27" si="65">K26/J26-1</f>
        <v>-1.9695100391632359E-2</v>
      </c>
      <c r="L27" s="2">
        <f t="shared" ref="L27" si="66">L26/K26-1</f>
        <v>-0.24295904321006689</v>
      </c>
      <c r="M27" s="2">
        <f t="shared" ref="M27" si="67">M26/L26-1</f>
        <v>2.613021632087853E-2</v>
      </c>
      <c r="N27" s="2">
        <f t="shared" ref="N27" si="68">N26/M26-1</f>
        <v>9.5365549292795171E-2</v>
      </c>
      <c r="O27" s="2">
        <f t="shared" ref="O27" si="69">O26/N26-1</f>
        <v>0.26276359600443944</v>
      </c>
      <c r="P27" s="2" t="s">
        <v>42</v>
      </c>
      <c r="Q27" s="10">
        <f>AVERAGE(D27,L27,H27)-$Q$36</f>
        <v>-0.19068771733594381</v>
      </c>
      <c r="R27" s="11">
        <f t="shared" ref="R27:T27" si="70">AVERAGE(E27,M27,I27)-$Q$36</f>
        <v>3.4728473405387129E-2</v>
      </c>
      <c r="S27" s="11">
        <f t="shared" si="70"/>
        <v>0.14402563669195309</v>
      </c>
      <c r="T27" s="11">
        <f t="shared" si="70"/>
        <v>9.7457154674268701E-2</v>
      </c>
      <c r="U27" s="11">
        <f>Q27*(1+$R$36)</f>
        <v>-0.19068771733594381</v>
      </c>
      <c r="V27" s="11">
        <f t="shared" ref="V27:AA27" si="71">R27*(1+$R$36)</f>
        <v>3.4728473405387129E-2</v>
      </c>
      <c r="W27" s="11">
        <f t="shared" si="71"/>
        <v>0.14402563669195309</v>
      </c>
      <c r="X27" s="11">
        <f t="shared" si="71"/>
        <v>9.7457154674268701E-2</v>
      </c>
      <c r="Y27" s="11">
        <f t="shared" si="71"/>
        <v>-0.19068771733594381</v>
      </c>
      <c r="Z27" s="11">
        <f t="shared" si="71"/>
        <v>3.4728473405387129E-2</v>
      </c>
      <c r="AA27" s="11">
        <f t="shared" si="71"/>
        <v>0.14402563669195309</v>
      </c>
      <c r="AB27" s="11"/>
      <c r="AC27" s="11"/>
      <c r="AD27" s="11"/>
      <c r="AE27" s="11"/>
      <c r="AF27" s="11"/>
    </row>
    <row r="28" spans="2:32" x14ac:dyDescent="0.3">
      <c r="B28" t="s">
        <v>4</v>
      </c>
      <c r="C28" s="13">
        <f t="shared" ref="C28:O28" si="72">C$21*C8</f>
        <v>4394.4222</v>
      </c>
      <c r="D28" s="13">
        <f t="shared" si="72"/>
        <v>4573.7291999999998</v>
      </c>
      <c r="E28" s="13">
        <f t="shared" si="72"/>
        <v>4484.3536000000004</v>
      </c>
      <c r="F28" s="13">
        <f t="shared" si="72"/>
        <v>4608.2561999999998</v>
      </c>
      <c r="G28" s="13">
        <f t="shared" si="72"/>
        <v>4804.1755999999996</v>
      </c>
      <c r="H28" s="13">
        <f t="shared" si="72"/>
        <v>4994.6610000000001</v>
      </c>
      <c r="I28" s="13">
        <f t="shared" si="72"/>
        <v>5029.9470000000001</v>
      </c>
      <c r="J28" s="13">
        <f t="shared" si="72"/>
        <v>5088.2987999999996</v>
      </c>
      <c r="K28" s="13">
        <f t="shared" si="72"/>
        <v>6054.5855999999994</v>
      </c>
      <c r="L28" s="13">
        <f t="shared" si="72"/>
        <v>5991.0045</v>
      </c>
      <c r="M28" s="13">
        <f t="shared" si="72"/>
        <v>5976.7138000000004</v>
      </c>
      <c r="N28" s="13">
        <f t="shared" si="72"/>
        <v>6325.02</v>
      </c>
      <c r="O28" s="13">
        <f t="shared" si="72"/>
        <v>7169.1165000000001</v>
      </c>
      <c r="Q28" s="14">
        <f>O28*(1+Q29)</f>
        <v>7336.2811061208386</v>
      </c>
      <c r="R28" s="15">
        <f>Q28*(1+R29)</f>
        <v>7299.9379176788316</v>
      </c>
      <c r="S28" s="15">
        <f t="shared" ref="S28" si="73">R28*(1+S29)</f>
        <v>7537.2055289645232</v>
      </c>
      <c r="T28" s="15">
        <f t="shared" ref="T28" si="74">S28*(1+T29)</f>
        <v>8456.423376226232</v>
      </c>
      <c r="U28" s="15">
        <f t="shared" ref="U28" si="75">T28*(1+U29)</f>
        <v>8653.6045327715201</v>
      </c>
      <c r="V28" s="15">
        <f t="shared" ref="V28" si="76">U28*(1+V29)</f>
        <v>8610.7354584152054</v>
      </c>
      <c r="W28" s="15">
        <f t="shared" ref="W28" si="77">V28*(1+W29)</f>
        <v>8890.6075144067181</v>
      </c>
      <c r="X28" s="15">
        <f t="shared" ref="X28" si="78">W28*(1+X29)</f>
        <v>9974.8827234130531</v>
      </c>
      <c r="Y28" s="15">
        <f t="shared" ref="Y28" si="79">X28*(1+Y29)</f>
        <v>10207.470287244789</v>
      </c>
      <c r="Z28" s="15">
        <f t="shared" ref="Z28" si="80">Y28*(1+Z29)</f>
        <v>10156.903520404841</v>
      </c>
      <c r="AA28" s="15">
        <f t="shared" ref="AA28" si="81">Z28*(1+AA29)</f>
        <v>10487.030195935798</v>
      </c>
      <c r="AB28" s="8"/>
      <c r="AC28" s="8"/>
      <c r="AD28" s="8"/>
      <c r="AE28" s="8"/>
      <c r="AF28" s="8"/>
    </row>
    <row r="29" spans="2:32" s="2" customFormat="1" x14ac:dyDescent="0.3">
      <c r="D29" s="2">
        <f>D28/C28-1</f>
        <v>4.0803316531579537E-2</v>
      </c>
      <c r="E29" s="2">
        <f t="shared" ref="E29" si="82">E28/D28-1</f>
        <v>-1.9541078208128115E-2</v>
      </c>
      <c r="F29" s="2">
        <f t="shared" ref="F29" si="83">F28/E28-1</f>
        <v>2.762997993735361E-2</v>
      </c>
      <c r="G29" s="2">
        <f t="shared" ref="G29" si="84">G28/F28-1</f>
        <v>4.2514867120452049E-2</v>
      </c>
      <c r="H29" s="2">
        <f t="shared" ref="H29" si="85">H28/G28-1</f>
        <v>3.964996616693206E-2</v>
      </c>
      <c r="I29" s="2">
        <f t="shared" ref="I29" si="86">I28/H28-1</f>
        <v>7.064743733358414E-3</v>
      </c>
      <c r="J29" s="2">
        <f t="shared" ref="J29" si="87">J28/I28-1</f>
        <v>1.1600877703084933E-2</v>
      </c>
      <c r="K29" s="2">
        <f t="shared" ref="K29" si="88">K28/J28-1</f>
        <v>0.18990370612669216</v>
      </c>
      <c r="L29" s="2">
        <f t="shared" ref="L29" si="89">L28/K28-1</f>
        <v>-1.0501313252553435E-2</v>
      </c>
      <c r="M29" s="2">
        <f t="shared" ref="M29" si="90">M28/L28-1</f>
        <v>-2.3853595836891284E-3</v>
      </c>
      <c r="N29" s="2">
        <f t="shared" ref="N29" si="91">N28/M28-1</f>
        <v>5.8277209124519169E-2</v>
      </c>
      <c r="O29" s="2">
        <f t="shared" ref="O29" si="92">O28/N28-1</f>
        <v>0.13345357010728809</v>
      </c>
      <c r="P29" s="2" t="s">
        <v>42</v>
      </c>
      <c r="Q29" s="10">
        <f>AVERAGE(D29,L29,H29)-$Q$37</f>
        <v>2.331732314865272E-2</v>
      </c>
      <c r="R29" s="11">
        <f t="shared" ref="R29:T29" si="93">AVERAGE(E29,M29,I29)-$Q$37</f>
        <v>-4.9538980194862763E-3</v>
      </c>
      <c r="S29" s="11">
        <f t="shared" si="93"/>
        <v>3.2502688921652569E-2</v>
      </c>
      <c r="T29" s="11">
        <f t="shared" si="93"/>
        <v>0.1219573811181441</v>
      </c>
      <c r="U29" s="11">
        <f>Q29*(1+$R$37)</f>
        <v>2.331732314865272E-2</v>
      </c>
      <c r="V29" s="11">
        <f t="shared" ref="V29:AA29" si="94">R29*(1+$R$37)</f>
        <v>-4.9538980194862763E-3</v>
      </c>
      <c r="W29" s="11">
        <f t="shared" si="94"/>
        <v>3.2502688921652569E-2</v>
      </c>
      <c r="X29" s="11">
        <f t="shared" si="94"/>
        <v>0.1219573811181441</v>
      </c>
      <c r="Y29" s="11">
        <f t="shared" si="94"/>
        <v>2.331732314865272E-2</v>
      </c>
      <c r="Z29" s="11">
        <f t="shared" si="94"/>
        <v>-4.9538980194862763E-3</v>
      </c>
      <c r="AA29" s="11">
        <f t="shared" si="94"/>
        <v>3.2502688921652569E-2</v>
      </c>
      <c r="AB29" s="11"/>
      <c r="AC29" s="11"/>
      <c r="AD29" s="11"/>
      <c r="AE29" s="11"/>
      <c r="AF29" s="11"/>
    </row>
    <row r="30" spans="2:32" x14ac:dyDescent="0.3">
      <c r="B30" t="s">
        <v>5</v>
      </c>
      <c r="C30" s="13">
        <f t="shared" ref="C30:O30" si="95">C$21*C9</f>
        <v>2839.3842</v>
      </c>
      <c r="D30" s="13">
        <f t="shared" si="95"/>
        <v>1880.6152</v>
      </c>
      <c r="E30" s="13">
        <f t="shared" si="95"/>
        <v>1766.7903999999999</v>
      </c>
      <c r="F30" s="13">
        <f t="shared" si="95"/>
        <v>1895.5349999999999</v>
      </c>
      <c r="G30" s="13">
        <f t="shared" si="95"/>
        <v>2693.0239000000001</v>
      </c>
      <c r="H30" s="13">
        <f t="shared" si="95"/>
        <v>1688.0910000000001</v>
      </c>
      <c r="I30" s="13">
        <f t="shared" si="95"/>
        <v>2638.9859999999999</v>
      </c>
      <c r="J30" s="13">
        <f t="shared" si="95"/>
        <v>3048.8592000000003</v>
      </c>
      <c r="K30" s="13">
        <f t="shared" si="95"/>
        <v>4347.4655999999995</v>
      </c>
      <c r="L30" s="13">
        <f t="shared" si="95"/>
        <v>2189.1180999999997</v>
      </c>
      <c r="M30" s="13">
        <f t="shared" si="95"/>
        <v>2219.5592000000001</v>
      </c>
      <c r="N30" s="13">
        <f t="shared" si="95"/>
        <v>2375.3964000000001</v>
      </c>
      <c r="O30" s="13">
        <f t="shared" si="95"/>
        <v>4027.2413999999994</v>
      </c>
      <c r="Q30" s="14">
        <f>O30*(1+Q31)</f>
        <v>2406.5579107581189</v>
      </c>
      <c r="R30" s="15">
        <f>Q30*(1+R31)</f>
        <v>2821.0284695784953</v>
      </c>
      <c r="S30" s="15">
        <f t="shared" ref="S30" si="96">R30*(1+S31)</f>
        <v>3101.6218134918777</v>
      </c>
      <c r="T30" s="15">
        <f t="shared" ref="T30" si="97">S30*(1+T31)</f>
        <v>4695.906305275018</v>
      </c>
      <c r="U30" s="15">
        <f t="shared" ref="U30" si="98">T30*(1+U31)</f>
        <v>2806.1318765591072</v>
      </c>
      <c r="V30" s="15">
        <f t="shared" ref="V30" si="99">U30*(1+V31)</f>
        <v>3289.419248037625</v>
      </c>
      <c r="W30" s="15">
        <f t="shared" ref="W30" si="100">V30*(1+W31)</f>
        <v>3616.6010387544802</v>
      </c>
      <c r="X30" s="15">
        <f t="shared" ref="X30" si="101">W30*(1+X31)</f>
        <v>5475.593300148751</v>
      </c>
      <c r="Y30" s="15">
        <f t="shared" ref="Y30" si="102">X30*(1+Y31)</f>
        <v>3272.0492922443473</v>
      </c>
      <c r="Z30" s="15">
        <f t="shared" ref="Z30" si="103">Y30*(1+Z31)</f>
        <v>3835.5795079860118</v>
      </c>
      <c r="AA30" s="15">
        <f t="shared" ref="AA30" si="104">Z30*(1+AA31)</f>
        <v>4217.0850800131693</v>
      </c>
      <c r="AB30" s="8"/>
      <c r="AC30" s="8"/>
      <c r="AD30" s="8"/>
      <c r="AE30" s="8"/>
      <c r="AF30" s="8"/>
    </row>
    <row r="31" spans="2:32" s="2" customFormat="1" x14ac:dyDescent="0.3">
      <c r="D31" s="2">
        <f>D30/C30-1</f>
        <v>-0.33766793518115656</v>
      </c>
      <c r="E31" s="2">
        <f t="shared" ref="E31" si="105">E30/D30-1</f>
        <v>-6.0525300444237651E-2</v>
      </c>
      <c r="F31" s="2">
        <f t="shared" ref="F31" si="106">F30/E30-1</f>
        <v>7.2869198293130877E-2</v>
      </c>
      <c r="G31" s="2">
        <f t="shared" ref="G31" si="107">G30/F30-1</f>
        <v>0.42071969127449527</v>
      </c>
      <c r="H31" s="2">
        <f t="shared" ref="H31" si="108">H30/G30-1</f>
        <v>-0.37316152300022287</v>
      </c>
      <c r="I31" s="2">
        <f t="shared" ref="I31" si="109">I30/H30-1</f>
        <v>0.56329605453734399</v>
      </c>
      <c r="J31" s="2">
        <f t="shared" ref="J31" si="110">J30/I30-1</f>
        <v>0.15531465494701391</v>
      </c>
      <c r="K31" s="2">
        <f t="shared" ref="K31" si="111">K30/J30-1</f>
        <v>0.42593190266050951</v>
      </c>
      <c r="L31" s="2">
        <f t="shared" ref="L31" si="112">L30/K30-1</f>
        <v>-0.49646108758169361</v>
      </c>
      <c r="M31" s="2">
        <f t="shared" ref="M31" si="113">M30/L30-1</f>
        <v>1.3905645382951359E-2</v>
      </c>
      <c r="N31" s="2">
        <f t="shared" ref="N31" si="114">N30/M30-1</f>
        <v>7.0210877907649349E-2</v>
      </c>
      <c r="O31" s="2">
        <f t="shared" ref="O31" si="115">O30/N30-1</f>
        <v>0.69539761868797956</v>
      </c>
      <c r="P31" s="2" t="s">
        <v>42</v>
      </c>
      <c r="Q31" s="10">
        <f>AVERAGE(D31,L31,H31)-$Q$38</f>
        <v>-0.40243018192102431</v>
      </c>
      <c r="R31" s="11">
        <f t="shared" ref="R31:T31" si="116">AVERAGE(E31,M31,I31)-$Q$38</f>
        <v>0.17222546649201922</v>
      </c>
      <c r="S31" s="11">
        <f t="shared" si="116"/>
        <v>9.946491038259804E-2</v>
      </c>
      <c r="T31" s="11">
        <f t="shared" si="116"/>
        <v>0.51401640420766148</v>
      </c>
      <c r="U31" s="11">
        <f>Q31*(1+$R$38)</f>
        <v>-0.40243018192102431</v>
      </c>
      <c r="V31" s="11">
        <f t="shared" ref="V31:AA31" si="117">R31*(1+$R$38)</f>
        <v>0.17222546649201922</v>
      </c>
      <c r="W31" s="11">
        <f t="shared" si="117"/>
        <v>9.946491038259804E-2</v>
      </c>
      <c r="X31" s="11">
        <f t="shared" si="117"/>
        <v>0.51401640420766148</v>
      </c>
      <c r="Y31" s="11">
        <f t="shared" si="117"/>
        <v>-0.40243018192102431</v>
      </c>
      <c r="Z31" s="11">
        <f t="shared" si="117"/>
        <v>0.17222546649201922</v>
      </c>
      <c r="AA31" s="11">
        <f t="shared" si="117"/>
        <v>9.946491038259804E-2</v>
      </c>
      <c r="AB31" s="11"/>
      <c r="AC31" s="11"/>
      <c r="AD31" s="11"/>
      <c r="AE31" s="11"/>
      <c r="AF31" s="11"/>
    </row>
    <row r="32" spans="2:32" s="1" customFormat="1" x14ac:dyDescent="0.3">
      <c r="Q32" s="9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7:32" x14ac:dyDescent="0.3">
      <c r="Q33" s="7" t="s">
        <v>113</v>
      </c>
      <c r="R33" s="8" t="s">
        <v>119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7:32" x14ac:dyDescent="0.3">
      <c r="G34" s="3"/>
      <c r="H34" s="3"/>
      <c r="I34" s="3"/>
      <c r="J34" s="3"/>
      <c r="K34" s="3"/>
      <c r="L34" s="3"/>
      <c r="M34" s="3"/>
      <c r="N34" s="3"/>
      <c r="O34" s="3"/>
      <c r="P34" t="s">
        <v>1</v>
      </c>
      <c r="Q34" s="10">
        <v>0</v>
      </c>
      <c r="R34" s="11">
        <v>0</v>
      </c>
      <c r="S34" s="8"/>
      <c r="T34" s="8"/>
      <c r="U34" s="8"/>
      <c r="V34" s="8"/>
      <c r="W34" s="8"/>
    </row>
    <row r="35" spans="7:32" x14ac:dyDescent="0.3">
      <c r="M35" s="3"/>
      <c r="P35" t="s">
        <v>2</v>
      </c>
      <c r="Q35" s="10">
        <v>0</v>
      </c>
      <c r="R35" s="11">
        <v>0</v>
      </c>
      <c r="S35" s="8"/>
      <c r="T35" s="8"/>
      <c r="U35" s="8"/>
      <c r="V35" s="8"/>
      <c r="W35" s="8"/>
    </row>
    <row r="36" spans="7:32" x14ac:dyDescent="0.3">
      <c r="P36" t="s">
        <v>3</v>
      </c>
      <c r="Q36" s="10">
        <v>0</v>
      </c>
      <c r="R36" s="11">
        <v>0</v>
      </c>
      <c r="S36" s="8"/>
      <c r="T36" s="8"/>
      <c r="U36" s="8"/>
      <c r="V36" s="8"/>
      <c r="W36" s="8"/>
    </row>
    <row r="37" spans="7:32" x14ac:dyDescent="0.3">
      <c r="P37" t="s">
        <v>4</v>
      </c>
      <c r="Q37" s="10">
        <v>0</v>
      </c>
      <c r="R37" s="2">
        <v>0</v>
      </c>
    </row>
    <row r="38" spans="7:32" x14ac:dyDescent="0.3">
      <c r="P38" t="s">
        <v>5</v>
      </c>
      <c r="Q38" s="10">
        <v>0</v>
      </c>
      <c r="R38" s="26">
        <v>0</v>
      </c>
    </row>
    <row r="40" spans="7:32" x14ac:dyDescent="0.3">
      <c r="R40" t="s">
        <v>116</v>
      </c>
    </row>
  </sheetData>
  <mergeCells count="1">
    <mergeCell ref="C2:O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2"/>
  <sheetViews>
    <sheetView workbookViewId="0">
      <selection activeCell="G30" sqref="G30"/>
    </sheetView>
  </sheetViews>
  <sheetFormatPr defaultRowHeight="14.4" x14ac:dyDescent="0.3"/>
  <cols>
    <col min="1" max="1" width="16.6640625" customWidth="1"/>
    <col min="2" max="2" width="11" style="16" customWidth="1"/>
    <col min="3" max="4" width="10.6640625" style="16" customWidth="1"/>
    <col min="5" max="5" width="12.44140625" style="16" customWidth="1"/>
  </cols>
  <sheetData>
    <row r="1" spans="1:5" x14ac:dyDescent="0.3">
      <c r="C1" s="23">
        <v>2017</v>
      </c>
      <c r="D1" s="23">
        <f>C1+1</f>
        <v>2018</v>
      </c>
      <c r="E1" s="23">
        <f>D1+1</f>
        <v>2019</v>
      </c>
    </row>
    <row r="2" spans="1:5" s="6" customFormat="1" x14ac:dyDescent="0.3">
      <c r="A2" s="6" t="s">
        <v>94</v>
      </c>
      <c r="B2" s="19"/>
      <c r="C2" s="19"/>
      <c r="D2" s="19"/>
      <c r="E2" s="19"/>
    </row>
    <row r="4" spans="1:5" x14ac:dyDescent="0.3">
      <c r="A4" t="s">
        <v>95</v>
      </c>
    </row>
    <row r="5" spans="1:5" x14ac:dyDescent="0.3">
      <c r="A5" t="s">
        <v>96</v>
      </c>
      <c r="B5" s="16">
        <f>BS!D11</f>
        <v>15754</v>
      </c>
      <c r="C5" s="16">
        <f>BS!G11</f>
        <v>19461.467013380832</v>
      </c>
      <c r="D5" s="16">
        <f>BS!H11</f>
        <v>22550.747826236795</v>
      </c>
      <c r="E5" s="16">
        <f>BS!I11</f>
        <v>26338.877418838394</v>
      </c>
    </row>
    <row r="6" spans="1:5" x14ac:dyDescent="0.3">
      <c r="A6" s="8" t="s">
        <v>56</v>
      </c>
      <c r="B6" s="20">
        <f>BS!D13</f>
        <v>2132</v>
      </c>
      <c r="C6" s="20">
        <f>BS!G13</f>
        <v>2546.1189962863696</v>
      </c>
      <c r="D6" s="20">
        <f>BS!H13</f>
        <v>2950.285678945364</v>
      </c>
      <c r="E6" s="20">
        <f>BS!I13</f>
        <v>3445.8818593096694</v>
      </c>
    </row>
    <row r="7" spans="1:5" x14ac:dyDescent="0.3">
      <c r="A7" s="6" t="s">
        <v>97</v>
      </c>
      <c r="B7" s="19">
        <f>BS!D16</f>
        <v>21828</v>
      </c>
      <c r="C7" s="19">
        <f>BS!G16</f>
        <v>24810.091432589481</v>
      </c>
      <c r="D7" s="19">
        <f>BS!H16</f>
        <v>28748.403964486635</v>
      </c>
      <c r="E7" s="19">
        <f>BS!I16</f>
        <v>33577.630943435579</v>
      </c>
    </row>
    <row r="8" spans="1:5" x14ac:dyDescent="0.3">
      <c r="A8" t="s">
        <v>41</v>
      </c>
      <c r="B8" s="16">
        <f t="shared" ref="B8" si="0">SUM(B5:B7)</f>
        <v>39714</v>
      </c>
      <c r="C8" s="16">
        <f>SUM(C5:C7)</f>
        <v>46817.677442256681</v>
      </c>
      <c r="D8" s="16">
        <f t="shared" ref="D8:E8" si="1">SUM(D5:D7)</f>
        <v>54249.437469668796</v>
      </c>
      <c r="E8" s="16">
        <f t="shared" si="1"/>
        <v>63362.390221583642</v>
      </c>
    </row>
    <row r="10" spans="1:5" x14ac:dyDescent="0.3">
      <c r="A10" t="s">
        <v>98</v>
      </c>
    </row>
    <row r="11" spans="1:5" x14ac:dyDescent="0.3">
      <c r="A11" t="s">
        <v>101</v>
      </c>
      <c r="B11" s="16">
        <f>BS!D34</f>
        <v>11605</v>
      </c>
      <c r="C11" s="16">
        <f>BS!G34</f>
        <v>10948.066049136703</v>
      </c>
      <c r="D11" s="16">
        <f>BS!H34</f>
        <v>12685.943792896904</v>
      </c>
      <c r="E11" s="16">
        <f>BS!I34</f>
        <v>14816.959556198653</v>
      </c>
    </row>
    <row r="12" spans="1:5" x14ac:dyDescent="0.3">
      <c r="A12" t="s">
        <v>99</v>
      </c>
      <c r="B12" s="16">
        <f>BS!D36</f>
        <v>37294</v>
      </c>
      <c r="C12" s="16">
        <f>BS!G36</f>
        <v>39622.915969385002</v>
      </c>
      <c r="D12" s="16">
        <f>BS!H36</f>
        <v>45912.591561130699</v>
      </c>
      <c r="E12" s="16">
        <f>BS!I36</f>
        <v>53625.100614307106</v>
      </c>
    </row>
    <row r="13" spans="1:5" x14ac:dyDescent="0.3">
      <c r="A13" s="6" t="s">
        <v>100</v>
      </c>
      <c r="B13" s="19">
        <f>BS!D39</f>
        <v>22027</v>
      </c>
      <c r="C13" s="19">
        <f>BS!G39</f>
        <v>20374.207889286674</v>
      </c>
      <c r="D13" s="19">
        <f>BS!H39</f>
        <v>23608.375666373369</v>
      </c>
      <c r="E13" s="19">
        <f>BS!I39</f>
        <v>27574.168161777656</v>
      </c>
    </row>
    <row r="14" spans="1:5" x14ac:dyDescent="0.3">
      <c r="A14" s="17" t="s">
        <v>41</v>
      </c>
      <c r="B14" s="16">
        <f t="shared" ref="B14" si="2">SUM(B11:B13)</f>
        <v>70926</v>
      </c>
      <c r="C14" s="16">
        <f>SUM(C11:C13)</f>
        <v>70945.189907808381</v>
      </c>
      <c r="D14" s="16">
        <f t="shared" ref="D14:E14" si="3">SUM(D11:D13)</f>
        <v>82206.911020400978</v>
      </c>
      <c r="E14" s="16">
        <f t="shared" si="3"/>
        <v>96016.228332283412</v>
      </c>
    </row>
    <row r="16" spans="1:5" x14ac:dyDescent="0.3">
      <c r="A16" t="s">
        <v>104</v>
      </c>
      <c r="B16" s="16">
        <f t="shared" ref="B16" si="4">B8-B14</f>
        <v>-31212</v>
      </c>
      <c r="C16" s="16">
        <f>C8-C14</f>
        <v>-24127.512465551699</v>
      </c>
      <c r="D16" s="16">
        <f t="shared" ref="D16:E16" si="5">D8-D14</f>
        <v>-27957.473550732182</v>
      </c>
      <c r="E16" s="16">
        <f t="shared" si="5"/>
        <v>-32653.838110699769</v>
      </c>
    </row>
    <row r="17" spans="1:6" x14ac:dyDescent="0.3">
      <c r="A17" t="s">
        <v>94</v>
      </c>
      <c r="C17" s="16">
        <f>C16-B16</f>
        <v>7084.4875344483007</v>
      </c>
      <c r="D17" s="16">
        <f t="shared" ref="D17:E17" si="6">D16-C16</f>
        <v>-3829.9610851804828</v>
      </c>
      <c r="E17" s="16">
        <f t="shared" si="6"/>
        <v>-4696.3645599675874</v>
      </c>
    </row>
    <row r="19" spans="1:6" s="6" customFormat="1" x14ac:dyDescent="0.3">
      <c r="A19" s="6" t="s">
        <v>102</v>
      </c>
      <c r="B19" s="19"/>
      <c r="C19" s="19"/>
      <c r="D19" s="19"/>
      <c r="E19" s="19"/>
    </row>
    <row r="20" spans="1:6" x14ac:dyDescent="0.3">
      <c r="A20" s="18" t="s">
        <v>103</v>
      </c>
      <c r="B20" s="21">
        <f>BS!D23</f>
        <v>27010</v>
      </c>
      <c r="C20" s="21">
        <f>BS!G23</f>
        <v>27027.380067048347</v>
      </c>
      <c r="D20" s="21">
        <f>BS!H23</f>
        <v>31317.661298442195</v>
      </c>
      <c r="E20" s="21">
        <f>BS!I23</f>
        <v>36578.478387517869</v>
      </c>
      <c r="F20" t="s">
        <v>117</v>
      </c>
    </row>
    <row r="21" spans="1:6" x14ac:dyDescent="0.3">
      <c r="A21" s="17" t="s">
        <v>102</v>
      </c>
      <c r="B21" s="22"/>
      <c r="C21" s="16">
        <f>C20-B20</f>
        <v>17.380067048346973</v>
      </c>
      <c r="D21" s="16">
        <f t="shared" ref="D21:E21" si="7">D20-C20</f>
        <v>4290.2812313938484</v>
      </c>
      <c r="E21" s="16">
        <f t="shared" si="7"/>
        <v>5260.8170890756737</v>
      </c>
    </row>
    <row r="23" spans="1:6" x14ac:dyDescent="0.3">
      <c r="A23" t="s">
        <v>47</v>
      </c>
      <c r="C23" s="16">
        <f>'IS (Services)'!G14</f>
        <v>68309.144646186323</v>
      </c>
      <c r="D23" s="16">
        <f>'IS (Services)'!H14</f>
        <v>78339.39286770871</v>
      </c>
      <c r="E23" s="16">
        <f>'IS (Services)'!I14</f>
        <v>93363.344422349022</v>
      </c>
    </row>
    <row r="24" spans="1:6" x14ac:dyDescent="0.3">
      <c r="A24" t="s">
        <v>121</v>
      </c>
      <c r="C24" s="16">
        <f>C23*(1-$B$34)</f>
        <v>51231.858484639743</v>
      </c>
      <c r="D24" s="16">
        <f t="shared" ref="D24:E24" si="8">D23*(1-$B$34)</f>
        <v>58754.544650781536</v>
      </c>
      <c r="E24" s="16">
        <f t="shared" si="8"/>
        <v>70022.50831676177</v>
      </c>
    </row>
    <row r="25" spans="1:6" x14ac:dyDescent="0.3">
      <c r="A25" t="s">
        <v>94</v>
      </c>
      <c r="C25" s="16">
        <f t="shared" ref="C25:E25" si="9">C17</f>
        <v>7084.4875344483007</v>
      </c>
      <c r="D25" s="16">
        <f t="shared" si="9"/>
        <v>-3829.9610851804828</v>
      </c>
      <c r="E25" s="16">
        <f t="shared" si="9"/>
        <v>-4696.3645599675874</v>
      </c>
    </row>
    <row r="26" spans="1:6" x14ac:dyDescent="0.3">
      <c r="A26" s="6" t="s">
        <v>102</v>
      </c>
      <c r="B26" s="19"/>
      <c r="C26" s="19">
        <f>C21</f>
        <v>17.380067048346973</v>
      </c>
      <c r="D26" s="19">
        <f t="shared" ref="D26:E26" si="10">D21</f>
        <v>4290.2812313938484</v>
      </c>
      <c r="E26" s="19">
        <f t="shared" si="10"/>
        <v>5260.8170890756737</v>
      </c>
    </row>
    <row r="27" spans="1:6" x14ac:dyDescent="0.3">
      <c r="A27" t="s">
        <v>105</v>
      </c>
      <c r="C27" s="16">
        <f>C24-C25-C26</f>
        <v>44129.990883143095</v>
      </c>
      <c r="D27" s="16">
        <f t="shared" ref="D27:E27" si="11">D24-D25-D26</f>
        <v>58294.22450456817</v>
      </c>
      <c r="E27" s="16">
        <f t="shared" si="11"/>
        <v>69458.055787653677</v>
      </c>
    </row>
    <row r="28" spans="1:6" x14ac:dyDescent="0.3">
      <c r="E28" s="16">
        <f>(E27*(1+B33))/(B32-B33)</f>
        <v>955507.64575608226</v>
      </c>
    </row>
    <row r="29" spans="1:6" x14ac:dyDescent="0.3">
      <c r="C29" s="16">
        <f>SUM(C27:C28)</f>
        <v>44129.990883143095</v>
      </c>
      <c r="D29" s="16">
        <f t="shared" ref="D29:E29" si="12">SUM(D27:D28)</f>
        <v>58294.22450456817</v>
      </c>
      <c r="E29" s="16">
        <f t="shared" si="12"/>
        <v>1024965.7015437359</v>
      </c>
    </row>
    <row r="32" spans="1:6" x14ac:dyDescent="0.3">
      <c r="A32" t="s">
        <v>106</v>
      </c>
      <c r="B32" s="2">
        <v>0.11559999999999999</v>
      </c>
    </row>
    <row r="33" spans="1:2" x14ac:dyDescent="0.3">
      <c r="A33" t="s">
        <v>108</v>
      </c>
      <c r="B33" s="2">
        <v>0.04</v>
      </c>
    </row>
    <row r="34" spans="1:2" x14ac:dyDescent="0.3">
      <c r="A34" t="s">
        <v>118</v>
      </c>
      <c r="B34" s="2">
        <v>0.25</v>
      </c>
    </row>
    <row r="36" spans="1:2" x14ac:dyDescent="0.3">
      <c r="A36" t="s">
        <v>107</v>
      </c>
      <c r="B36" s="16">
        <f>NPV(B32,C29:E29)</f>
        <v>824612.89397298614</v>
      </c>
    </row>
    <row r="37" spans="1:2" x14ac:dyDescent="0.3">
      <c r="A37" t="s">
        <v>109</v>
      </c>
      <c r="B37" s="16">
        <f>BS!D45-BS!D9</f>
        <v>8272</v>
      </c>
    </row>
    <row r="38" spans="1:2" x14ac:dyDescent="0.3">
      <c r="A38" t="s">
        <v>110</v>
      </c>
      <c r="B38" s="16">
        <f>B36-B37</f>
        <v>816340.89397298614</v>
      </c>
    </row>
    <row r="39" spans="1:2" x14ac:dyDescent="0.3">
      <c r="A39" t="s">
        <v>111</v>
      </c>
      <c r="B39" s="23">
        <f>IS!D26</f>
        <v>5471</v>
      </c>
    </row>
    <row r="40" spans="1:2" x14ac:dyDescent="0.3">
      <c r="A40" t="s">
        <v>112</v>
      </c>
      <c r="B40" s="16">
        <f>B38/B39</f>
        <v>149.21237323578617</v>
      </c>
    </row>
    <row r="41" spans="1:2" x14ac:dyDescent="0.3">
      <c r="A41" t="s">
        <v>114</v>
      </c>
      <c r="B41" s="16">
        <v>130.29</v>
      </c>
    </row>
    <row r="42" spans="1:2" x14ac:dyDescent="0.3">
      <c r="A42" t="s">
        <v>115</v>
      </c>
      <c r="B42" s="2">
        <f>B40/B41-1</f>
        <v>0.14523273647851864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workbookViewId="0">
      <selection activeCell="G10" sqref="G10"/>
    </sheetView>
  </sheetViews>
  <sheetFormatPr defaultRowHeight="14.4" x14ac:dyDescent="0.3"/>
  <cols>
    <col min="1" max="1" width="57.5546875" bestFit="1" customWidth="1"/>
    <col min="2" max="4" width="7.6640625" bestFit="1" customWidth="1"/>
    <col min="5" max="5" width="16.5546875" bestFit="1" customWidth="1"/>
    <col min="6" max="6" width="7.6640625" customWidth="1"/>
    <col min="7" max="7" width="12" bestFit="1" customWidth="1"/>
    <col min="8" max="9" width="11" bestFit="1" customWidth="1"/>
    <col min="11" max="13" width="10" bestFit="1" customWidth="1"/>
  </cols>
  <sheetData>
    <row r="1" spans="1:13" x14ac:dyDescent="0.3">
      <c r="A1" t="s">
        <v>9</v>
      </c>
      <c r="B1" s="30" t="s">
        <v>31</v>
      </c>
      <c r="C1" s="30"/>
      <c r="D1" s="30"/>
      <c r="E1" s="4" t="s">
        <v>36</v>
      </c>
      <c r="F1" s="4" t="s">
        <v>37</v>
      </c>
      <c r="G1" s="30" t="s">
        <v>32</v>
      </c>
      <c r="H1" s="30"/>
      <c r="I1" s="30"/>
    </row>
    <row r="2" spans="1:13" x14ac:dyDescent="0.3">
      <c r="A2" s="6" t="s">
        <v>10</v>
      </c>
      <c r="B2" s="6" t="s">
        <v>11</v>
      </c>
      <c r="C2" s="6" t="s">
        <v>12</v>
      </c>
      <c r="D2" s="6" t="s">
        <v>13</v>
      </c>
      <c r="E2" s="6"/>
      <c r="F2" s="6"/>
      <c r="G2" s="6" t="s">
        <v>33</v>
      </c>
      <c r="H2" s="6" t="s">
        <v>34</v>
      </c>
      <c r="I2" s="6" t="s">
        <v>35</v>
      </c>
    </row>
    <row r="3" spans="1:13" x14ac:dyDescent="0.3">
      <c r="A3" t="s">
        <v>14</v>
      </c>
      <c r="B3">
        <v>182795</v>
      </c>
      <c r="C3">
        <v>233715</v>
      </c>
      <c r="D3">
        <v>215639</v>
      </c>
      <c r="G3" s="16">
        <f>'Product Breakdown'!O18</f>
        <v>242594.93525309066</v>
      </c>
      <c r="H3" s="16">
        <f>'Product Breakdown'!T18</f>
        <v>281104.05063776975</v>
      </c>
      <c r="I3" s="16">
        <f>'Product Breakdown'!X18</f>
        <v>328324.59432112367</v>
      </c>
    </row>
    <row r="4" spans="1:13" x14ac:dyDescent="0.3">
      <c r="A4" t="s">
        <v>15</v>
      </c>
      <c r="B4">
        <v>112258</v>
      </c>
      <c r="C4">
        <v>140089</v>
      </c>
      <c r="D4">
        <v>131376</v>
      </c>
      <c r="G4" s="16">
        <f>G3*$F$5</f>
        <v>147397.53422769744</v>
      </c>
      <c r="H4" s="16">
        <f t="shared" ref="H4:I4" si="0">H3*$F$5</f>
        <v>170795.17295857143</v>
      </c>
      <c r="I4" s="16">
        <f t="shared" si="0"/>
        <v>199485.76246554661</v>
      </c>
    </row>
    <row r="5" spans="1:13" s="2" customFormat="1" x14ac:dyDescent="0.3">
      <c r="B5" s="2">
        <f>B4/B3</f>
        <v>0.61411964222216142</v>
      </c>
      <c r="C5" s="2">
        <f t="shared" ref="C5:D5" si="1">C4/C3</f>
        <v>0.59940097982585627</v>
      </c>
      <c r="D5" s="2">
        <f t="shared" si="1"/>
        <v>0.60924044351902951</v>
      </c>
      <c r="E5" s="2" t="s">
        <v>43</v>
      </c>
      <c r="F5" s="2">
        <f>AVERAGE(B5:D5)</f>
        <v>0.60758702185568236</v>
      </c>
    </row>
    <row r="6" spans="1:13" x14ac:dyDescent="0.3">
      <c r="A6" t="s">
        <v>16</v>
      </c>
      <c r="B6">
        <v>70537</v>
      </c>
      <c r="C6">
        <v>93626</v>
      </c>
      <c r="D6">
        <v>84263</v>
      </c>
      <c r="G6" s="16">
        <f>G3-G4</f>
        <v>95197.401025393221</v>
      </c>
      <c r="H6" s="16">
        <f t="shared" ref="H6:I6" si="2">H3-H4</f>
        <v>110308.87767919831</v>
      </c>
      <c r="I6" s="16">
        <f t="shared" si="2"/>
        <v>128838.83185557707</v>
      </c>
    </row>
    <row r="7" spans="1:13" x14ac:dyDescent="0.3">
      <c r="A7" t="s">
        <v>17</v>
      </c>
    </row>
    <row r="8" spans="1:13" x14ac:dyDescent="0.3">
      <c r="A8" t="s">
        <v>45</v>
      </c>
      <c r="B8">
        <v>6041</v>
      </c>
      <c r="C8">
        <v>8067</v>
      </c>
      <c r="D8">
        <v>10045</v>
      </c>
      <c r="G8" s="16">
        <f>G3*G9</f>
        <v>11048.92866901758</v>
      </c>
      <c r="H8" s="16">
        <f t="shared" ref="H8:I8" si="3">H3*H9</f>
        <v>15325.031661555769</v>
      </c>
      <c r="I8" s="16">
        <f t="shared" si="3"/>
        <v>21425.626489643084</v>
      </c>
      <c r="K8" s="16"/>
      <c r="L8" s="16"/>
      <c r="M8" s="16"/>
    </row>
    <row r="9" spans="1:13" s="2" customFormat="1" x14ac:dyDescent="0.3">
      <c r="B9" s="2">
        <f>B8/B3</f>
        <v>3.3047949889220163E-2</v>
      </c>
      <c r="C9" s="2">
        <f t="shared" ref="C9:D9" si="4">C8/C3</f>
        <v>3.4516398177267184E-2</v>
      </c>
      <c r="D9" s="2">
        <f t="shared" si="4"/>
        <v>4.6582482760539605E-2</v>
      </c>
      <c r="E9" s="2" t="s">
        <v>44</v>
      </c>
      <c r="F9" s="3">
        <f>AVERAGE(B9:D9)</f>
        <v>3.8048943609008984E-2</v>
      </c>
      <c r="G9" s="2">
        <f>F9*(1+$F$10)</f>
        <v>4.5544762331870721E-2</v>
      </c>
      <c r="H9" s="2">
        <f>G9*(1+$F$10)</f>
        <v>5.4517292179839777E-2</v>
      </c>
      <c r="I9" s="2">
        <f>H9*(1+$F$10)</f>
        <v>6.5257452107554792E-2</v>
      </c>
    </row>
    <row r="10" spans="1:13" s="2" customFormat="1" x14ac:dyDescent="0.3">
      <c r="C10" s="2">
        <f>C9/B9-1</f>
        <v>4.4433869361621525E-2</v>
      </c>
      <c r="D10" s="2">
        <f>D9/C9-1</f>
        <v>0.34957542560797239</v>
      </c>
      <c r="E10" s="2" t="s">
        <v>120</v>
      </c>
      <c r="F10" s="2">
        <f>AVERAGE(C10:D10)</f>
        <v>0.19700464748479696</v>
      </c>
      <c r="G10" s="27"/>
    </row>
    <row r="11" spans="1:13" x14ac:dyDescent="0.3">
      <c r="A11" t="s">
        <v>46</v>
      </c>
      <c r="B11">
        <v>11993</v>
      </c>
      <c r="C11">
        <v>14329</v>
      </c>
      <c r="D11">
        <v>14194</v>
      </c>
      <c r="F11" s="25"/>
      <c r="G11" s="16">
        <f>$F$12*G3</f>
        <v>15586.053656589507</v>
      </c>
      <c r="H11" s="16">
        <f>$F$12*H3</f>
        <v>18060.157817202886</v>
      </c>
      <c r="I11" s="16">
        <f>$F$12*I3</f>
        <v>21093.947153217916</v>
      </c>
    </row>
    <row r="12" spans="1:13" x14ac:dyDescent="0.3">
      <c r="B12" s="2">
        <f>B11/B3</f>
        <v>6.5609015563883044E-2</v>
      </c>
      <c r="C12" s="2">
        <f>C11/C3</f>
        <v>6.1309714823609952E-2</v>
      </c>
      <c r="D12" s="2">
        <f>D11/D3</f>
        <v>6.5822972653369755E-2</v>
      </c>
      <c r="E12" t="s">
        <v>43</v>
      </c>
      <c r="F12" s="3">
        <f>AVERAGE(B12:D12)</f>
        <v>6.4247234346954243E-2</v>
      </c>
    </row>
    <row r="13" spans="1:13" x14ac:dyDescent="0.3">
      <c r="A13" t="s">
        <v>18</v>
      </c>
      <c r="B13">
        <v>18034</v>
      </c>
      <c r="C13">
        <v>22396</v>
      </c>
      <c r="D13">
        <v>24239</v>
      </c>
      <c r="G13" s="16">
        <f>G11+G8</f>
        <v>26634.982325607089</v>
      </c>
      <c r="H13" s="16">
        <f>H11+H8</f>
        <v>33385.189478758657</v>
      </c>
      <c r="I13" s="16">
        <f>I11+I8</f>
        <v>42519.573642860996</v>
      </c>
    </row>
    <row r="14" spans="1:13" x14ac:dyDescent="0.3">
      <c r="A14" t="s">
        <v>47</v>
      </c>
      <c r="B14">
        <v>52503</v>
      </c>
      <c r="C14">
        <v>71230</v>
      </c>
      <c r="D14">
        <v>60024</v>
      </c>
      <c r="G14" s="16">
        <f>G6-G13</f>
        <v>68562.418699786125</v>
      </c>
      <c r="H14" s="16">
        <f>H6-H13</f>
        <v>76923.688200439647</v>
      </c>
      <c r="I14" s="16">
        <f>I6-I13</f>
        <v>86319.258212716071</v>
      </c>
    </row>
    <row r="15" spans="1:13" x14ac:dyDescent="0.3">
      <c r="A15" t="s">
        <v>19</v>
      </c>
      <c r="B15">
        <v>384</v>
      </c>
      <c r="C15">
        <v>733</v>
      </c>
      <c r="D15">
        <v>1456</v>
      </c>
    </row>
    <row r="16" spans="1:13" x14ac:dyDescent="0.3">
      <c r="A16" t="s">
        <v>20</v>
      </c>
      <c r="B16">
        <v>1364</v>
      </c>
      <c r="C16">
        <v>2018</v>
      </c>
      <c r="D16">
        <v>2804</v>
      </c>
    </row>
    <row r="17" spans="1:11" x14ac:dyDescent="0.3">
      <c r="A17" t="s">
        <v>21</v>
      </c>
      <c r="B17">
        <v>53483</v>
      </c>
      <c r="C17">
        <v>72515</v>
      </c>
      <c r="D17">
        <v>61372</v>
      </c>
    </row>
    <row r="18" spans="1:11" x14ac:dyDescent="0.3">
      <c r="A18" t="s">
        <v>22</v>
      </c>
      <c r="B18">
        <v>13973</v>
      </c>
      <c r="C18">
        <v>19121</v>
      </c>
      <c r="D18">
        <v>15685</v>
      </c>
      <c r="H18">
        <v>9.2899999999999991</v>
      </c>
    </row>
    <row r="19" spans="1:11" x14ac:dyDescent="0.3">
      <c r="A19" t="s">
        <v>23</v>
      </c>
      <c r="B19">
        <v>39510</v>
      </c>
      <c r="C19">
        <v>53394</v>
      </c>
      <c r="D19">
        <v>45687</v>
      </c>
      <c r="J19">
        <v>0.8</v>
      </c>
    </row>
    <row r="20" spans="1:11" x14ac:dyDescent="0.3">
      <c r="A20" t="s">
        <v>24</v>
      </c>
      <c r="B20">
        <v>39510</v>
      </c>
      <c r="C20">
        <v>53394</v>
      </c>
      <c r="D20">
        <v>45687</v>
      </c>
    </row>
    <row r="21" spans="1:11" x14ac:dyDescent="0.3">
      <c r="A21" t="s">
        <v>25</v>
      </c>
      <c r="B21">
        <v>39510</v>
      </c>
      <c r="C21">
        <v>53394</v>
      </c>
      <c r="D21">
        <v>45687</v>
      </c>
    </row>
    <row r="22" spans="1:11" x14ac:dyDescent="0.3">
      <c r="A22" t="s">
        <v>26</v>
      </c>
    </row>
    <row r="23" spans="1:11" x14ac:dyDescent="0.3">
      <c r="A23" t="s">
        <v>27</v>
      </c>
      <c r="B23">
        <v>6.49</v>
      </c>
      <c r="C23">
        <v>9.2799999999999994</v>
      </c>
      <c r="D23">
        <v>8.35</v>
      </c>
    </row>
    <row r="24" spans="1:11" x14ac:dyDescent="0.3">
      <c r="A24" t="s">
        <v>28</v>
      </c>
      <c r="B24">
        <v>6.45</v>
      </c>
      <c r="C24">
        <v>9.2200000000000006</v>
      </c>
      <c r="D24">
        <v>8.31</v>
      </c>
      <c r="K24">
        <f>3.45/3.3-1</f>
        <v>4.5454545454545636E-2</v>
      </c>
    </row>
    <row r="25" spans="1:11" x14ac:dyDescent="0.3">
      <c r="A25" t="s">
        <v>29</v>
      </c>
    </row>
    <row r="26" spans="1:11" x14ac:dyDescent="0.3">
      <c r="A26" t="s">
        <v>27</v>
      </c>
      <c r="B26">
        <v>6086</v>
      </c>
      <c r="C26">
        <v>5753</v>
      </c>
      <c r="D26">
        <v>5471</v>
      </c>
    </row>
    <row r="27" spans="1:11" x14ac:dyDescent="0.3">
      <c r="A27" t="s">
        <v>28</v>
      </c>
      <c r="B27">
        <v>6123</v>
      </c>
      <c r="C27">
        <v>5793</v>
      </c>
      <c r="D27">
        <v>5500</v>
      </c>
    </row>
    <row r="28" spans="1:11" x14ac:dyDescent="0.3">
      <c r="A28" t="s">
        <v>30</v>
      </c>
      <c r="B28">
        <v>61813</v>
      </c>
      <c r="C28">
        <v>84505</v>
      </c>
      <c r="D28">
        <v>73333</v>
      </c>
    </row>
  </sheetData>
  <mergeCells count="2">
    <mergeCell ref="B1:D1"/>
    <mergeCell ref="G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7"/>
  <sheetViews>
    <sheetView topLeftCell="A31" workbookViewId="0">
      <selection activeCell="B24" sqref="B24"/>
    </sheetView>
  </sheetViews>
  <sheetFormatPr defaultRowHeight="14.4" x14ac:dyDescent="0.3"/>
  <cols>
    <col min="1" max="1" width="57.5546875" bestFit="1" customWidth="1"/>
    <col min="2" max="4" width="7.6640625" bestFit="1" customWidth="1"/>
    <col min="5" max="5" width="16.5546875" bestFit="1" customWidth="1"/>
    <col min="6" max="6" width="7" bestFit="1" customWidth="1"/>
    <col min="7" max="9" width="10" bestFit="1" customWidth="1"/>
  </cols>
  <sheetData>
    <row r="1" spans="1:9" x14ac:dyDescent="0.3">
      <c r="A1" t="s">
        <v>48</v>
      </c>
      <c r="E1" s="5" t="s">
        <v>36</v>
      </c>
      <c r="F1" s="5" t="s">
        <v>37</v>
      </c>
      <c r="G1" s="30" t="s">
        <v>32</v>
      </c>
      <c r="H1" s="30"/>
      <c r="I1" s="30"/>
    </row>
    <row r="2" spans="1:9" x14ac:dyDescent="0.3">
      <c r="A2" s="6" t="s">
        <v>10</v>
      </c>
      <c r="B2" s="6" t="s">
        <v>11</v>
      </c>
      <c r="C2" s="6" t="s">
        <v>12</v>
      </c>
      <c r="D2" s="6" t="s">
        <v>13</v>
      </c>
      <c r="E2" s="6"/>
      <c r="F2" s="6"/>
      <c r="G2" s="6" t="s">
        <v>33</v>
      </c>
      <c r="H2" s="6" t="s">
        <v>34</v>
      </c>
      <c r="I2" s="6" t="s">
        <v>35</v>
      </c>
    </row>
    <row r="3" spans="1:9" x14ac:dyDescent="0.3">
      <c r="A3" t="s">
        <v>49</v>
      </c>
    </row>
    <row r="4" spans="1:9" x14ac:dyDescent="0.3">
      <c r="A4" t="s">
        <v>50</v>
      </c>
    </row>
    <row r="5" spans="1:9" x14ac:dyDescent="0.3">
      <c r="A5" t="s">
        <v>51</v>
      </c>
    </row>
    <row r="6" spans="1:9" x14ac:dyDescent="0.3">
      <c r="A6" t="s">
        <v>52</v>
      </c>
      <c r="B6">
        <v>13844</v>
      </c>
      <c r="C6">
        <v>21120</v>
      </c>
      <c r="D6">
        <v>20484</v>
      </c>
      <c r="E6" t="s">
        <v>44</v>
      </c>
      <c r="F6" s="3">
        <v>0.1</v>
      </c>
      <c r="G6" s="16">
        <f>$F6*IS!G$3</f>
        <v>24259.493525309066</v>
      </c>
      <c r="H6" s="16">
        <f>$F6*IS!H$3</f>
        <v>28110.405063776976</v>
      </c>
      <c r="I6" s="16">
        <f>$F6*IS!I$3</f>
        <v>32832.459432112366</v>
      </c>
    </row>
    <row r="7" spans="1:9" x14ac:dyDescent="0.3">
      <c r="B7" s="2">
        <f>B6/IS!B$3</f>
        <v>7.5735113104844223E-2</v>
      </c>
      <c r="C7" s="2">
        <f>C6/IS!C$3</f>
        <v>9.0366471985110067E-2</v>
      </c>
      <c r="D7" s="2">
        <f>D6/IS!D$3</f>
        <v>9.4992093266987876E-2</v>
      </c>
    </row>
    <row r="8" spans="1:9" x14ac:dyDescent="0.3">
      <c r="A8" t="s">
        <v>53</v>
      </c>
      <c r="B8">
        <v>11233</v>
      </c>
      <c r="C8">
        <v>20481</v>
      </c>
      <c r="D8">
        <v>46671</v>
      </c>
    </row>
    <row r="9" spans="1:9" x14ac:dyDescent="0.3">
      <c r="A9" t="s">
        <v>54</v>
      </c>
      <c r="B9">
        <v>25077</v>
      </c>
      <c r="C9">
        <v>41601</v>
      </c>
      <c r="D9">
        <v>67155</v>
      </c>
    </row>
    <row r="10" spans="1:9" x14ac:dyDescent="0.3">
      <c r="B10" s="2">
        <f>B9/IS!B3</f>
        <v>0.13718646571295715</v>
      </c>
      <c r="C10" s="2">
        <f>C9/IS!C3</f>
        <v>0.17799884474680702</v>
      </c>
      <c r="D10" s="2">
        <f>D9/IS!D3</f>
        <v>0.31142325831598178</v>
      </c>
    </row>
    <row r="11" spans="1:9" x14ac:dyDescent="0.3">
      <c r="A11" t="s">
        <v>55</v>
      </c>
      <c r="B11">
        <v>17460</v>
      </c>
      <c r="C11">
        <v>16849</v>
      </c>
      <c r="D11">
        <v>15754</v>
      </c>
      <c r="E11" t="s">
        <v>43</v>
      </c>
      <c r="F11" s="3">
        <f>AVERAGE(B12:D12)</f>
        <v>8.0222066437938513E-2</v>
      </c>
      <c r="G11" s="16">
        <f>$F11*IS!G$3</f>
        <v>19461.467013380832</v>
      </c>
      <c r="H11" s="16">
        <f>$F11*IS!H$3</f>
        <v>22550.747826236795</v>
      </c>
      <c r="I11" s="16">
        <f>$F11*IS!I$3</f>
        <v>26338.877418838394</v>
      </c>
    </row>
    <row r="12" spans="1:9" x14ac:dyDescent="0.3">
      <c r="B12" s="2">
        <f>B11/IS!B$3</f>
        <v>9.55168357996663E-2</v>
      </c>
      <c r="C12" s="2">
        <f>C11/IS!C$3</f>
        <v>7.2092077958196943E-2</v>
      </c>
      <c r="D12" s="2">
        <f>D11/IS!D$3</f>
        <v>7.3057285555952312E-2</v>
      </c>
    </row>
    <row r="13" spans="1:9" x14ac:dyDescent="0.3">
      <c r="A13" t="s">
        <v>56</v>
      </c>
      <c r="B13">
        <v>2111</v>
      </c>
      <c r="C13">
        <v>2349</v>
      </c>
      <c r="D13">
        <v>2132</v>
      </c>
      <c r="E13" t="s">
        <v>43</v>
      </c>
      <c r="F13" s="3">
        <f>AVERAGE(B14:D14)</f>
        <v>1.0495350999929551E-2</v>
      </c>
      <c r="G13" s="16">
        <f>$F13*IS!G$3</f>
        <v>2546.1189962863696</v>
      </c>
      <c r="H13" s="16">
        <f>$F13*IS!H$3</f>
        <v>2950.285678945364</v>
      </c>
      <c r="I13" s="16">
        <f>$F13*IS!I$3</f>
        <v>3445.8818593096694</v>
      </c>
    </row>
    <row r="14" spans="1:9" x14ac:dyDescent="0.3">
      <c r="B14" s="2">
        <f>B13/IS!B$3</f>
        <v>1.1548455920566756E-2</v>
      </c>
      <c r="C14" s="2">
        <f>C13/IS!C$3</f>
        <v>1.0050702779025736E-2</v>
      </c>
      <c r="D14" s="2">
        <f>D13/IS!D$3</f>
        <v>9.8868943001961616E-3</v>
      </c>
    </row>
    <row r="15" spans="1:9" x14ac:dyDescent="0.3">
      <c r="A15" t="s">
        <v>57</v>
      </c>
      <c r="B15">
        <v>4318</v>
      </c>
      <c r="C15">
        <v>5546</v>
      </c>
    </row>
    <row r="16" spans="1:9" x14ac:dyDescent="0.3">
      <c r="A16" t="s">
        <v>58</v>
      </c>
      <c r="B16">
        <v>19565</v>
      </c>
      <c r="C16">
        <v>23033</v>
      </c>
      <c r="D16">
        <v>21828</v>
      </c>
      <c r="E16" t="s">
        <v>43</v>
      </c>
      <c r="F16" s="3">
        <f>AVERAGE(B17:D17)</f>
        <v>0.10226961831130561</v>
      </c>
      <c r="G16" s="16">
        <f>$F16*IS!G$3</f>
        <v>24810.091432589481</v>
      </c>
      <c r="H16" s="16">
        <f>$F16*IS!H$3</f>
        <v>28748.403964486635</v>
      </c>
      <c r="I16" s="16">
        <f>$F16*IS!I$3</f>
        <v>33577.630943435579</v>
      </c>
    </row>
    <row r="17" spans="1:9" x14ac:dyDescent="0.3">
      <c r="B17" s="2">
        <f>B16/IS!B$3</f>
        <v>0.10703246806531908</v>
      </c>
      <c r="C17" s="2">
        <f>C16/IS!C$3</f>
        <v>9.8551654793231067E-2</v>
      </c>
      <c r="D17" s="2">
        <f>D16/IS!D$3</f>
        <v>0.1012247320753667</v>
      </c>
    </row>
    <row r="18" spans="1:9" x14ac:dyDescent="0.3">
      <c r="A18" t="s">
        <v>59</v>
      </c>
      <c r="B18">
        <v>68531</v>
      </c>
      <c r="C18">
        <v>89378</v>
      </c>
      <c r="D18">
        <v>106869</v>
      </c>
    </row>
    <row r="19" spans="1:9" x14ac:dyDescent="0.3">
      <c r="A19" t="s">
        <v>60</v>
      </c>
    </row>
    <row r="20" spans="1:9" x14ac:dyDescent="0.3">
      <c r="A20" t="s">
        <v>61</v>
      </c>
    </row>
    <row r="21" spans="1:9" x14ac:dyDescent="0.3">
      <c r="A21" t="s">
        <v>62</v>
      </c>
      <c r="B21">
        <v>39015</v>
      </c>
      <c r="C21">
        <v>49257</v>
      </c>
      <c r="D21">
        <v>61245</v>
      </c>
    </row>
    <row r="22" spans="1:9" x14ac:dyDescent="0.3">
      <c r="A22" t="s">
        <v>63</v>
      </c>
      <c r="B22">
        <v>-18391</v>
      </c>
      <c r="C22">
        <v>-26786</v>
      </c>
      <c r="D22">
        <v>-34235</v>
      </c>
    </row>
    <row r="23" spans="1:9" x14ac:dyDescent="0.3">
      <c r="A23" t="s">
        <v>64</v>
      </c>
      <c r="B23">
        <v>20624</v>
      </c>
      <c r="C23">
        <v>22471</v>
      </c>
      <c r="D23">
        <v>27010</v>
      </c>
      <c r="E23" t="s">
        <v>43</v>
      </c>
      <c r="F23" s="3">
        <f>AVERAGE(B24:D24)</f>
        <v>0.1114094984664525</v>
      </c>
      <c r="G23" s="16">
        <f>$F23*IS!G$3</f>
        <v>27027.380067048347</v>
      </c>
      <c r="H23" s="16">
        <f>$F23*IS!H$3</f>
        <v>31317.661298442195</v>
      </c>
      <c r="I23" s="16">
        <f>$F23*IS!I$3</f>
        <v>36578.478387517869</v>
      </c>
    </row>
    <row r="24" spans="1:9" x14ac:dyDescent="0.3">
      <c r="B24" s="2">
        <f>B23/IS!B$3</f>
        <v>0.11282584315763561</v>
      </c>
      <c r="C24" s="2">
        <f>C23/IS!C$3</f>
        <v>9.6147016665596982E-2</v>
      </c>
      <c r="D24" s="2">
        <f>D23/IS!D$3</f>
        <v>0.1252556355761249</v>
      </c>
    </row>
    <row r="25" spans="1:9" x14ac:dyDescent="0.3">
      <c r="A25" t="s">
        <v>65</v>
      </c>
      <c r="B25">
        <v>130162</v>
      </c>
      <c r="C25">
        <v>164065</v>
      </c>
      <c r="D25">
        <v>170430</v>
      </c>
    </row>
    <row r="26" spans="1:9" x14ac:dyDescent="0.3">
      <c r="A26" t="s">
        <v>66</v>
      </c>
      <c r="B26">
        <v>4616</v>
      </c>
      <c r="C26">
        <v>5116</v>
      </c>
      <c r="D26">
        <v>5414</v>
      </c>
    </row>
    <row r="27" spans="1:9" x14ac:dyDescent="0.3">
      <c r="A27" t="s">
        <v>67</v>
      </c>
      <c r="B27">
        <v>4142</v>
      </c>
      <c r="C27">
        <v>3893</v>
      </c>
      <c r="D27">
        <v>3206</v>
      </c>
    </row>
    <row r="28" spans="1:9" x14ac:dyDescent="0.3">
      <c r="A28" t="s">
        <v>68</v>
      </c>
      <c r="B28">
        <v>3764</v>
      </c>
      <c r="C28">
        <v>5556</v>
      </c>
      <c r="D28">
        <v>8757</v>
      </c>
    </row>
    <row r="29" spans="1:9" x14ac:dyDescent="0.3">
      <c r="A29" t="s">
        <v>69</v>
      </c>
      <c r="B29">
        <v>163308</v>
      </c>
      <c r="C29">
        <v>201101</v>
      </c>
      <c r="D29">
        <v>214817</v>
      </c>
    </row>
    <row r="30" spans="1:9" x14ac:dyDescent="0.3">
      <c r="A30" t="s">
        <v>70</v>
      </c>
      <c r="B30">
        <v>231839</v>
      </c>
      <c r="C30">
        <v>290479</v>
      </c>
      <c r="D30">
        <v>321686</v>
      </c>
    </row>
    <row r="31" spans="1:9" x14ac:dyDescent="0.3">
      <c r="A31" t="s">
        <v>71</v>
      </c>
    </row>
    <row r="32" spans="1:9" x14ac:dyDescent="0.3">
      <c r="A32" t="s">
        <v>72</v>
      </c>
    </row>
    <row r="33" spans="1:9" x14ac:dyDescent="0.3">
      <c r="A33" t="s">
        <v>73</v>
      </c>
    </row>
    <row r="34" spans="1:9" x14ac:dyDescent="0.3">
      <c r="A34" t="s">
        <v>74</v>
      </c>
      <c r="B34">
        <v>6308</v>
      </c>
      <c r="C34">
        <v>10999</v>
      </c>
      <c r="D34">
        <v>11605</v>
      </c>
      <c r="E34" t="s">
        <v>43</v>
      </c>
      <c r="F34" s="3">
        <f>AVERAGE(B35:D35)</f>
        <v>4.512899676868759E-2</v>
      </c>
      <c r="G34" s="16">
        <f>$F34*IS!G$3</f>
        <v>10948.066049136703</v>
      </c>
      <c r="H34" s="16">
        <f>$F34*IS!H$3</f>
        <v>12685.943792896904</v>
      </c>
      <c r="I34" s="16">
        <f>$F34*IS!I$3</f>
        <v>14816.959556198653</v>
      </c>
    </row>
    <row r="35" spans="1:9" x14ac:dyDescent="0.3">
      <c r="B35" s="2">
        <f>B34/IS!B$3</f>
        <v>3.4508602532892035E-2</v>
      </c>
      <c r="C35" s="2">
        <f>C34/IS!C$3</f>
        <v>4.7061592110048567E-2</v>
      </c>
      <c r="D35" s="2">
        <f>D34/IS!D$3</f>
        <v>5.3816795663122162E-2</v>
      </c>
    </row>
    <row r="36" spans="1:9" x14ac:dyDescent="0.3">
      <c r="A36" t="s">
        <v>75</v>
      </c>
      <c r="B36">
        <v>30196</v>
      </c>
      <c r="C36">
        <v>35490</v>
      </c>
      <c r="D36">
        <v>37294</v>
      </c>
      <c r="E36" t="s">
        <v>43</v>
      </c>
      <c r="F36" s="3">
        <f>AVERAGE(B37:D37)</f>
        <v>0.16332952676051471</v>
      </c>
      <c r="G36" s="16">
        <f>$F36*IS!G$3</f>
        <v>39622.915969385002</v>
      </c>
      <c r="H36" s="16">
        <f>$F36*IS!H$3</f>
        <v>45912.591561130699</v>
      </c>
      <c r="I36" s="16">
        <f>$F36*IS!I$3</f>
        <v>53625.100614307106</v>
      </c>
    </row>
    <row r="37" spans="1:9" x14ac:dyDescent="0.3">
      <c r="B37" s="2">
        <f>B36/IS!B$3</f>
        <v>0.16519051396372986</v>
      </c>
      <c r="C37" s="2">
        <f>C36/IS!C$3</f>
        <v>0.15185161414543355</v>
      </c>
      <c r="D37" s="2">
        <f>D36/IS!D$3</f>
        <v>0.17294645217238069</v>
      </c>
    </row>
    <row r="38" spans="1:9" s="8" customFormat="1" x14ac:dyDescent="0.3">
      <c r="A38" s="8" t="s">
        <v>76</v>
      </c>
      <c r="B38" s="8">
        <v>1209</v>
      </c>
    </row>
    <row r="39" spans="1:9" x14ac:dyDescent="0.3">
      <c r="A39" t="s">
        <v>77</v>
      </c>
      <c r="B39">
        <v>7689</v>
      </c>
      <c r="C39">
        <v>25181</v>
      </c>
      <c r="D39">
        <v>22027</v>
      </c>
      <c r="E39" t="s">
        <v>43</v>
      </c>
      <c r="F39" s="3">
        <f>AVERAGE(B40:D40)</f>
        <v>8.398447341050623E-2</v>
      </c>
      <c r="G39" s="16">
        <f>$F39*IS!G$3</f>
        <v>20374.207889286674</v>
      </c>
      <c r="H39" s="16">
        <f>$F39*IS!H$3</f>
        <v>23608.375666373369</v>
      </c>
      <c r="I39" s="16">
        <f>$F39*IS!I$3</f>
        <v>27574.168161777656</v>
      </c>
    </row>
    <row r="40" spans="1:9" x14ac:dyDescent="0.3">
      <c r="B40" s="2">
        <f>B39/IS!B$3</f>
        <v>4.2063513772258539E-2</v>
      </c>
      <c r="C40" s="2">
        <f>C39/IS!C$3</f>
        <v>0.10774233575080761</v>
      </c>
      <c r="D40" s="2">
        <f>D39/IS!D$3</f>
        <v>0.10214757070845255</v>
      </c>
    </row>
    <row r="41" spans="1:9" x14ac:dyDescent="0.3">
      <c r="A41" t="s">
        <v>78</v>
      </c>
      <c r="B41">
        <v>9548</v>
      </c>
      <c r="C41">
        <v>8940</v>
      </c>
      <c r="D41">
        <v>8080</v>
      </c>
    </row>
    <row r="42" spans="1:9" x14ac:dyDescent="0.3">
      <c r="A42" t="s">
        <v>79</v>
      </c>
      <c r="B42">
        <v>8498</v>
      </c>
    </row>
    <row r="43" spans="1:9" x14ac:dyDescent="0.3">
      <c r="A43" t="s">
        <v>80</v>
      </c>
      <c r="B43">
        <v>63448</v>
      </c>
      <c r="C43">
        <v>80610</v>
      </c>
      <c r="D43">
        <v>79006</v>
      </c>
    </row>
    <row r="44" spans="1:9" x14ac:dyDescent="0.3">
      <c r="A44" t="s">
        <v>81</v>
      </c>
    </row>
    <row r="45" spans="1:9" x14ac:dyDescent="0.3">
      <c r="A45" t="s">
        <v>82</v>
      </c>
      <c r="B45">
        <v>28987</v>
      </c>
      <c r="C45">
        <v>53463</v>
      </c>
      <c r="D45">
        <v>75427</v>
      </c>
    </row>
    <row r="46" spans="1:9" x14ac:dyDescent="0.3">
      <c r="A46" t="s">
        <v>83</v>
      </c>
      <c r="B46">
        <v>20259</v>
      </c>
      <c r="C46">
        <v>24062</v>
      </c>
      <c r="D46">
        <v>26019</v>
      </c>
    </row>
    <row r="47" spans="1:9" x14ac:dyDescent="0.3">
      <c r="A47" t="s">
        <v>78</v>
      </c>
      <c r="B47">
        <v>3031</v>
      </c>
      <c r="C47">
        <v>3624</v>
      </c>
      <c r="D47">
        <v>2930</v>
      </c>
    </row>
    <row r="48" spans="1:9" x14ac:dyDescent="0.3">
      <c r="A48" t="s">
        <v>84</v>
      </c>
      <c r="B48">
        <v>4567</v>
      </c>
      <c r="C48">
        <v>9365</v>
      </c>
      <c r="D48">
        <v>10055</v>
      </c>
    </row>
    <row r="49" spans="1:4" x14ac:dyDescent="0.3">
      <c r="A49" t="s">
        <v>85</v>
      </c>
      <c r="B49">
        <v>56844</v>
      </c>
      <c r="C49">
        <v>90514</v>
      </c>
      <c r="D49">
        <v>114431</v>
      </c>
    </row>
    <row r="50" spans="1:4" x14ac:dyDescent="0.3">
      <c r="A50" t="s">
        <v>86</v>
      </c>
      <c r="B50">
        <v>120292</v>
      </c>
      <c r="C50">
        <v>171124</v>
      </c>
      <c r="D50">
        <v>193437</v>
      </c>
    </row>
    <row r="51" spans="1:4" x14ac:dyDescent="0.3">
      <c r="A51" t="s">
        <v>87</v>
      </c>
    </row>
    <row r="52" spans="1:4" x14ac:dyDescent="0.3">
      <c r="A52" t="s">
        <v>88</v>
      </c>
      <c r="B52">
        <v>23313</v>
      </c>
      <c r="C52">
        <v>27416</v>
      </c>
      <c r="D52">
        <v>31251</v>
      </c>
    </row>
    <row r="53" spans="1:4" x14ac:dyDescent="0.3">
      <c r="A53" t="s">
        <v>89</v>
      </c>
    </row>
    <row r="54" spans="1:4" x14ac:dyDescent="0.3">
      <c r="A54" t="s">
        <v>90</v>
      </c>
      <c r="B54">
        <v>87152</v>
      </c>
      <c r="C54">
        <v>92284</v>
      </c>
      <c r="D54">
        <v>96364</v>
      </c>
    </row>
    <row r="55" spans="1:4" x14ac:dyDescent="0.3">
      <c r="A55" t="s">
        <v>91</v>
      </c>
      <c r="B55">
        <v>1082</v>
      </c>
      <c r="C55">
        <v>-345</v>
      </c>
      <c r="D55">
        <v>634</v>
      </c>
    </row>
    <row r="56" spans="1:4" x14ac:dyDescent="0.3">
      <c r="A56" t="s">
        <v>92</v>
      </c>
      <c r="B56">
        <v>111547</v>
      </c>
      <c r="C56">
        <v>119355</v>
      </c>
      <c r="D56">
        <v>128249</v>
      </c>
    </row>
    <row r="57" spans="1:4" x14ac:dyDescent="0.3">
      <c r="A57" t="s">
        <v>93</v>
      </c>
      <c r="B57">
        <v>231839</v>
      </c>
      <c r="C57">
        <v>290479</v>
      </c>
      <c r="D57">
        <v>321686</v>
      </c>
    </row>
  </sheetData>
  <mergeCells count="1">
    <mergeCell ref="G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2"/>
  <sheetViews>
    <sheetView topLeftCell="A26" workbookViewId="0">
      <selection activeCell="B40" sqref="B40"/>
    </sheetView>
  </sheetViews>
  <sheetFormatPr defaultRowHeight="14.4" x14ac:dyDescent="0.3"/>
  <cols>
    <col min="1" max="1" width="16.6640625" bestFit="1" customWidth="1"/>
    <col min="2" max="2" width="11" style="16" bestFit="1" customWidth="1"/>
    <col min="3" max="4" width="10.6640625" style="16" bestFit="1" customWidth="1"/>
    <col min="5" max="5" width="12.44140625" style="16" bestFit="1" customWidth="1"/>
  </cols>
  <sheetData>
    <row r="1" spans="1:5" x14ac:dyDescent="0.3">
      <c r="C1" s="23">
        <v>2017</v>
      </c>
      <c r="D1" s="23">
        <f>C1+1</f>
        <v>2018</v>
      </c>
      <c r="E1" s="23">
        <f>D1+1</f>
        <v>2019</v>
      </c>
    </row>
    <row r="2" spans="1:5" s="6" customFormat="1" x14ac:dyDescent="0.3">
      <c r="A2" s="6" t="s">
        <v>94</v>
      </c>
      <c r="B2" s="19"/>
      <c r="C2" s="19"/>
      <c r="D2" s="19"/>
      <c r="E2" s="19"/>
    </row>
    <row r="4" spans="1:5" x14ac:dyDescent="0.3">
      <c r="A4" t="s">
        <v>95</v>
      </c>
    </row>
    <row r="5" spans="1:5" x14ac:dyDescent="0.3">
      <c r="A5" t="s">
        <v>96</v>
      </c>
      <c r="B5" s="16">
        <f>BS!D11</f>
        <v>15754</v>
      </c>
      <c r="C5" s="16">
        <f>BS!G11</f>
        <v>19461.467013380832</v>
      </c>
      <c r="D5" s="16">
        <f>BS!H11</f>
        <v>22550.747826236795</v>
      </c>
      <c r="E5" s="16">
        <f>BS!I11</f>
        <v>26338.877418838394</v>
      </c>
    </row>
    <row r="6" spans="1:5" x14ac:dyDescent="0.3">
      <c r="A6" s="8" t="s">
        <v>56</v>
      </c>
      <c r="B6" s="20">
        <f>BS!D13</f>
        <v>2132</v>
      </c>
      <c r="C6" s="20">
        <f>BS!G13</f>
        <v>2546.1189962863696</v>
      </c>
      <c r="D6" s="20">
        <f>BS!H13</f>
        <v>2950.285678945364</v>
      </c>
      <c r="E6" s="20">
        <f>BS!I13</f>
        <v>3445.8818593096694</v>
      </c>
    </row>
    <row r="7" spans="1:5" x14ac:dyDescent="0.3">
      <c r="A7" s="6" t="s">
        <v>97</v>
      </c>
      <c r="B7" s="19">
        <f>BS!D16</f>
        <v>21828</v>
      </c>
      <c r="C7" s="19">
        <f>BS!G16</f>
        <v>24810.091432589481</v>
      </c>
      <c r="D7" s="19">
        <f>BS!H16</f>
        <v>28748.403964486635</v>
      </c>
      <c r="E7" s="19">
        <f>BS!I16</f>
        <v>33577.630943435579</v>
      </c>
    </row>
    <row r="8" spans="1:5" x14ac:dyDescent="0.3">
      <c r="A8" t="s">
        <v>41</v>
      </c>
      <c r="B8" s="16">
        <f t="shared" ref="B8" si="0">SUM(B5:B7)</f>
        <v>39714</v>
      </c>
      <c r="C8" s="16">
        <f>SUM(C5:C7)</f>
        <v>46817.677442256681</v>
      </c>
      <c r="D8" s="16">
        <f t="shared" ref="D8:E8" si="1">SUM(D5:D7)</f>
        <v>54249.437469668796</v>
      </c>
      <c r="E8" s="16">
        <f t="shared" si="1"/>
        <v>63362.390221583642</v>
      </c>
    </row>
    <row r="10" spans="1:5" x14ac:dyDescent="0.3">
      <c r="A10" t="s">
        <v>98</v>
      </c>
    </row>
    <row r="11" spans="1:5" x14ac:dyDescent="0.3">
      <c r="A11" t="s">
        <v>101</v>
      </c>
      <c r="B11" s="16">
        <f>BS!D34</f>
        <v>11605</v>
      </c>
      <c r="C11" s="16">
        <f>BS!G34</f>
        <v>10948.066049136703</v>
      </c>
      <c r="D11" s="16">
        <f>BS!H34</f>
        <v>12685.943792896904</v>
      </c>
      <c r="E11" s="16">
        <f>BS!I34</f>
        <v>14816.959556198653</v>
      </c>
    </row>
    <row r="12" spans="1:5" x14ac:dyDescent="0.3">
      <c r="A12" t="s">
        <v>99</v>
      </c>
      <c r="B12" s="16">
        <f>BS!D36</f>
        <v>37294</v>
      </c>
      <c r="C12" s="16">
        <f>BS!G36</f>
        <v>39622.915969385002</v>
      </c>
      <c r="D12" s="16">
        <f>BS!H36</f>
        <v>45912.591561130699</v>
      </c>
      <c r="E12" s="16">
        <f>BS!I36</f>
        <v>53625.100614307106</v>
      </c>
    </row>
    <row r="13" spans="1:5" x14ac:dyDescent="0.3">
      <c r="A13" s="6" t="s">
        <v>100</v>
      </c>
      <c r="B13" s="19">
        <f>BS!D39</f>
        <v>22027</v>
      </c>
      <c r="C13" s="19">
        <f>BS!G39</f>
        <v>20374.207889286674</v>
      </c>
      <c r="D13" s="19">
        <f>BS!H39</f>
        <v>23608.375666373369</v>
      </c>
      <c r="E13" s="19">
        <f>BS!I39</f>
        <v>27574.168161777656</v>
      </c>
    </row>
    <row r="14" spans="1:5" x14ac:dyDescent="0.3">
      <c r="A14" s="17" t="s">
        <v>41</v>
      </c>
      <c r="B14" s="16">
        <f t="shared" ref="B14" si="2">SUM(B11:B13)</f>
        <v>70926</v>
      </c>
      <c r="C14" s="16">
        <f>SUM(C11:C13)</f>
        <v>70945.189907808381</v>
      </c>
      <c r="D14" s="16">
        <f t="shared" ref="D14:E14" si="3">SUM(D11:D13)</f>
        <v>82206.911020400978</v>
      </c>
      <c r="E14" s="16">
        <f t="shared" si="3"/>
        <v>96016.228332283412</v>
      </c>
    </row>
    <row r="16" spans="1:5" x14ac:dyDescent="0.3">
      <c r="A16" t="s">
        <v>104</v>
      </c>
      <c r="B16" s="16">
        <f t="shared" ref="B16" si="4">B8-B14</f>
        <v>-31212</v>
      </c>
      <c r="C16" s="16">
        <f>C8-C14</f>
        <v>-24127.512465551699</v>
      </c>
      <c r="D16" s="16">
        <f t="shared" ref="D16:E16" si="5">D8-D14</f>
        <v>-27957.473550732182</v>
      </c>
      <c r="E16" s="16">
        <f t="shared" si="5"/>
        <v>-32653.838110699769</v>
      </c>
    </row>
    <row r="17" spans="1:6" x14ac:dyDescent="0.3">
      <c r="A17" t="s">
        <v>94</v>
      </c>
      <c r="C17" s="16">
        <f>C16-B16</f>
        <v>7084.4875344483007</v>
      </c>
      <c r="D17" s="16">
        <f t="shared" ref="D17:E17" si="6">D16-C16</f>
        <v>-3829.9610851804828</v>
      </c>
      <c r="E17" s="16">
        <f t="shared" si="6"/>
        <v>-4696.3645599675874</v>
      </c>
    </row>
    <row r="19" spans="1:6" s="6" customFormat="1" x14ac:dyDescent="0.3">
      <c r="A19" s="6" t="s">
        <v>102</v>
      </c>
      <c r="B19" s="19"/>
      <c r="C19" s="19"/>
      <c r="D19" s="19"/>
      <c r="E19" s="19"/>
    </row>
    <row r="20" spans="1:6" x14ac:dyDescent="0.3">
      <c r="A20" s="18" t="s">
        <v>103</v>
      </c>
      <c r="B20" s="21">
        <f>BS!D23</f>
        <v>27010</v>
      </c>
      <c r="C20" s="21">
        <f>BS!G23</f>
        <v>27027.380067048347</v>
      </c>
      <c r="D20" s="21">
        <f>BS!H23</f>
        <v>31317.661298442195</v>
      </c>
      <c r="E20" s="21">
        <f>BS!I23</f>
        <v>36578.478387517869</v>
      </c>
      <c r="F20" t="s">
        <v>117</v>
      </c>
    </row>
    <row r="21" spans="1:6" x14ac:dyDescent="0.3">
      <c r="A21" s="17" t="s">
        <v>102</v>
      </c>
      <c r="B21" s="22"/>
      <c r="C21" s="16">
        <f>C20-B20</f>
        <v>17.380067048346973</v>
      </c>
      <c r="D21" s="16">
        <f t="shared" ref="D21:E21" si="7">D20-C20</f>
        <v>4290.2812313938484</v>
      </c>
      <c r="E21" s="16">
        <f t="shared" si="7"/>
        <v>5260.8170890756737</v>
      </c>
    </row>
    <row r="23" spans="1:6" x14ac:dyDescent="0.3">
      <c r="A23" t="s">
        <v>47</v>
      </c>
      <c r="C23" s="16">
        <f>IS!G14</f>
        <v>68562.418699786125</v>
      </c>
      <c r="D23" s="16">
        <f>IS!H14</f>
        <v>76923.688200439647</v>
      </c>
      <c r="E23" s="16">
        <f>IS!I14</f>
        <v>86319.258212716071</v>
      </c>
    </row>
    <row r="24" spans="1:6" x14ac:dyDescent="0.3">
      <c r="A24" t="s">
        <v>121</v>
      </c>
      <c r="C24" s="16">
        <f>C23*(1-$B$34)</f>
        <v>51421.814024839594</v>
      </c>
      <c r="D24" s="16">
        <f t="shared" ref="D24:E24" si="8">D23*(1-$B$34)</f>
        <v>57692.766150329735</v>
      </c>
      <c r="E24" s="16">
        <f t="shared" si="8"/>
        <v>64739.44365953705</v>
      </c>
    </row>
    <row r="25" spans="1:6" x14ac:dyDescent="0.3">
      <c r="A25" t="s">
        <v>94</v>
      </c>
      <c r="C25" s="16">
        <f>C17</f>
        <v>7084.4875344483007</v>
      </c>
      <c r="D25" s="16">
        <f t="shared" ref="D25:E25" si="9">D17</f>
        <v>-3829.9610851804828</v>
      </c>
      <c r="E25" s="16">
        <f t="shared" si="9"/>
        <v>-4696.3645599675874</v>
      </c>
    </row>
    <row r="26" spans="1:6" x14ac:dyDescent="0.3">
      <c r="A26" s="6" t="s">
        <v>102</v>
      </c>
      <c r="B26" s="19"/>
      <c r="C26" s="19">
        <f>C21</f>
        <v>17.380067048346973</v>
      </c>
      <c r="D26" s="19">
        <f t="shared" ref="D26:E26" si="10">D21</f>
        <v>4290.2812313938484</v>
      </c>
      <c r="E26" s="19">
        <f t="shared" si="10"/>
        <v>5260.8170890756737</v>
      </c>
    </row>
    <row r="27" spans="1:6" x14ac:dyDescent="0.3">
      <c r="A27" t="s">
        <v>105</v>
      </c>
      <c r="C27" s="16">
        <f>C24-C25-C26</f>
        <v>44319.946423342946</v>
      </c>
      <c r="D27" s="16">
        <f t="shared" ref="D27:E27" si="11">D24-D25-D26</f>
        <v>57232.446004116369</v>
      </c>
      <c r="E27" s="16">
        <f t="shared" si="11"/>
        <v>64174.991130428956</v>
      </c>
    </row>
    <row r="28" spans="1:6" x14ac:dyDescent="0.3">
      <c r="E28" s="16">
        <f>(E27*(1+B33))/(B32-B33)</f>
        <v>772199.07551801205</v>
      </c>
    </row>
    <row r="29" spans="1:6" x14ac:dyDescent="0.3">
      <c r="C29" s="16">
        <f>SUM(C27:C28)</f>
        <v>44319.946423342946</v>
      </c>
      <c r="D29" s="16">
        <f t="shared" ref="D29:E29" si="12">SUM(D27:D28)</f>
        <v>57232.446004116369</v>
      </c>
      <c r="E29" s="16">
        <f t="shared" si="12"/>
        <v>836374.06664844102</v>
      </c>
    </row>
    <row r="32" spans="1:6" x14ac:dyDescent="0.3">
      <c r="A32" t="s">
        <v>106</v>
      </c>
      <c r="B32" s="2">
        <v>0.11559999999999999</v>
      </c>
    </row>
    <row r="33" spans="1:2" x14ac:dyDescent="0.3">
      <c r="A33" t="s">
        <v>108</v>
      </c>
      <c r="B33" s="2">
        <v>0.03</v>
      </c>
    </row>
    <row r="34" spans="1:2" x14ac:dyDescent="0.3">
      <c r="A34" t="s">
        <v>118</v>
      </c>
      <c r="B34" s="2">
        <v>0.25</v>
      </c>
    </row>
    <row r="36" spans="1:2" x14ac:dyDescent="0.3">
      <c r="A36" t="s">
        <v>107</v>
      </c>
      <c r="B36" s="16">
        <f>NPV(B32,C29:E29)</f>
        <v>688099.6549205397</v>
      </c>
    </row>
    <row r="37" spans="1:2" x14ac:dyDescent="0.3">
      <c r="A37" t="s">
        <v>109</v>
      </c>
      <c r="B37" s="16">
        <f>BS!D45-BS!D9</f>
        <v>8272</v>
      </c>
    </row>
    <row r="38" spans="1:2" x14ac:dyDescent="0.3">
      <c r="A38" t="s">
        <v>110</v>
      </c>
      <c r="B38" s="16">
        <f>B36-B37</f>
        <v>679827.6549205397</v>
      </c>
    </row>
    <row r="39" spans="1:2" x14ac:dyDescent="0.3">
      <c r="A39" t="s">
        <v>111</v>
      </c>
      <c r="B39" s="23">
        <f>IS!D26</f>
        <v>5471</v>
      </c>
    </row>
    <row r="40" spans="1:2" x14ac:dyDescent="0.3">
      <c r="A40" t="s">
        <v>112</v>
      </c>
      <c r="B40" s="16">
        <v>1</v>
      </c>
    </row>
    <row r="41" spans="1:2" x14ac:dyDescent="0.3">
      <c r="A41" t="s">
        <v>114</v>
      </c>
      <c r="B41" s="16">
        <v>130.29</v>
      </c>
    </row>
    <row r="42" spans="1:2" x14ac:dyDescent="0.3">
      <c r="A42" t="s">
        <v>115</v>
      </c>
      <c r="B42" s="2">
        <f>B40/B41-1</f>
        <v>-0.99232481387673654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F40"/>
  <sheetViews>
    <sheetView topLeftCell="D13" workbookViewId="0">
      <selection activeCell="N36" sqref="N36"/>
    </sheetView>
  </sheetViews>
  <sheetFormatPr defaultRowHeight="14.4" x14ac:dyDescent="0.3"/>
  <cols>
    <col min="2" max="2" width="12.33203125" customWidth="1"/>
    <col min="3" max="15" width="8" customWidth="1"/>
    <col min="16" max="16" width="12.77734375" bestFit="1" customWidth="1"/>
    <col min="17" max="17" width="10.88671875" style="7" customWidth="1"/>
    <col min="18" max="23" width="8.5546875" customWidth="1"/>
    <col min="24" max="25" width="9.5546875" customWidth="1"/>
    <col min="26" max="26" width="8.5546875" customWidth="1"/>
    <col min="27" max="27" width="9.5546875" customWidth="1"/>
  </cols>
  <sheetData>
    <row r="2" spans="2:27" x14ac:dyDescent="0.3">
      <c r="C2" s="30" t="s">
        <v>38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4"/>
    </row>
    <row r="3" spans="2:27" x14ac:dyDescent="0.3">
      <c r="B3" t="s">
        <v>40</v>
      </c>
      <c r="D3">
        <v>2014</v>
      </c>
      <c r="H3">
        <f>D3+1</f>
        <v>2015</v>
      </c>
      <c r="L3">
        <f>H3+1</f>
        <v>2016</v>
      </c>
      <c r="P3" t="s">
        <v>36</v>
      </c>
      <c r="Q3" s="7">
        <f>L3+1</f>
        <v>2017</v>
      </c>
      <c r="U3">
        <f>Q3+1</f>
        <v>2018</v>
      </c>
      <c r="Y3">
        <f>U3+1</f>
        <v>2019</v>
      </c>
    </row>
    <row r="4" spans="2:27" x14ac:dyDescent="0.3">
      <c r="B4" t="s">
        <v>39</v>
      </c>
      <c r="C4" t="s">
        <v>0</v>
      </c>
      <c r="D4" t="s">
        <v>6</v>
      </c>
      <c r="E4" t="s">
        <v>7</v>
      </c>
      <c r="F4" t="s">
        <v>8</v>
      </c>
      <c r="G4" t="str">
        <f>C4</f>
        <v>Q1</v>
      </c>
      <c r="H4" t="str">
        <f t="shared" ref="H4:O4" si="0">D4</f>
        <v>Q2</v>
      </c>
      <c r="I4" t="str">
        <f t="shared" si="0"/>
        <v>Q3</v>
      </c>
      <c r="J4" t="str">
        <f t="shared" si="0"/>
        <v>Q4</v>
      </c>
      <c r="K4" t="str">
        <f t="shared" si="0"/>
        <v>Q1</v>
      </c>
      <c r="L4" t="str">
        <f t="shared" si="0"/>
        <v>Q2</v>
      </c>
      <c r="M4" t="str">
        <f t="shared" si="0"/>
        <v>Q3</v>
      </c>
      <c r="N4" t="str">
        <f t="shared" si="0"/>
        <v>Q4</v>
      </c>
      <c r="O4" t="str">
        <f t="shared" si="0"/>
        <v>Q1</v>
      </c>
      <c r="Q4" s="7" t="str">
        <f>L4</f>
        <v>Q2</v>
      </c>
      <c r="R4" t="str">
        <f>M4</f>
        <v>Q3</v>
      </c>
      <c r="S4" t="str">
        <f>N4</f>
        <v>Q4</v>
      </c>
      <c r="T4" t="str">
        <f>O4</f>
        <v>Q1</v>
      </c>
      <c r="U4" t="str">
        <f t="shared" ref="U4:AA4" si="1">Q4</f>
        <v>Q2</v>
      </c>
      <c r="V4" t="str">
        <f t="shared" si="1"/>
        <v>Q3</v>
      </c>
      <c r="W4" t="str">
        <f t="shared" si="1"/>
        <v>Q4</v>
      </c>
      <c r="X4" t="str">
        <f t="shared" si="1"/>
        <v>Q1</v>
      </c>
      <c r="Y4" t="str">
        <f t="shared" si="1"/>
        <v>Q2</v>
      </c>
      <c r="Z4" t="str">
        <f t="shared" si="1"/>
        <v>Q3</v>
      </c>
      <c r="AA4" t="str">
        <f t="shared" si="1"/>
        <v>Q4</v>
      </c>
    </row>
    <row r="5" spans="2:27" x14ac:dyDescent="0.3">
      <c r="B5" t="s">
        <v>1</v>
      </c>
      <c r="C5" s="2">
        <v>0.56430000000000002</v>
      </c>
      <c r="D5" s="2">
        <v>0.57099999999999995</v>
      </c>
      <c r="E5" s="2">
        <v>0.52769999999999995</v>
      </c>
      <c r="F5" s="2">
        <v>0.56210000000000004</v>
      </c>
      <c r="G5" s="2">
        <v>0.68610000000000004</v>
      </c>
      <c r="H5" s="2">
        <v>0.69440000000000002</v>
      </c>
      <c r="I5" s="2">
        <v>0.63239999999999996</v>
      </c>
      <c r="J5" s="2">
        <v>0.62539999999999996</v>
      </c>
      <c r="K5" s="2">
        <v>0.68059999999999998</v>
      </c>
      <c r="L5" s="2">
        <v>0.64990000000000003</v>
      </c>
      <c r="M5" s="2">
        <v>0.56769999999999998</v>
      </c>
      <c r="N5" s="2">
        <v>0.60099999999999998</v>
      </c>
      <c r="O5" s="2">
        <v>0.69400000000000006</v>
      </c>
      <c r="P5" s="2"/>
    </row>
    <row r="6" spans="2:27" x14ac:dyDescent="0.3">
      <c r="B6" t="s">
        <v>2</v>
      </c>
      <c r="C6" s="2">
        <v>0.1991</v>
      </c>
      <c r="D6" s="2">
        <v>0.16669999999999999</v>
      </c>
      <c r="E6" s="2">
        <v>0.1573</v>
      </c>
      <c r="F6" s="2">
        <v>0.12620000000000001</v>
      </c>
      <c r="G6" s="2">
        <v>0.1202</v>
      </c>
      <c r="H6" s="2">
        <v>9.3600000000000003E-2</v>
      </c>
      <c r="I6" s="2">
        <v>9.1399999999999995E-2</v>
      </c>
      <c r="J6" s="2">
        <v>8.3000000000000004E-2</v>
      </c>
      <c r="K6" s="2">
        <v>9.3399999999999997E-2</v>
      </c>
      <c r="L6" s="2">
        <v>8.7300000000000003E-2</v>
      </c>
      <c r="M6" s="2">
        <v>0.11509999999999999</v>
      </c>
      <c r="N6" s="2">
        <v>9.0800000000000006E-2</v>
      </c>
      <c r="O6" s="2">
        <v>7.0599999999999996E-2</v>
      </c>
      <c r="P6" s="2"/>
    </row>
    <row r="7" spans="2:27" x14ac:dyDescent="0.3">
      <c r="B7" t="s">
        <v>3</v>
      </c>
      <c r="C7" s="2">
        <v>0.111</v>
      </c>
      <c r="D7" s="2">
        <v>0.12089999999999999</v>
      </c>
      <c r="E7" s="2">
        <v>0.14799999999999999</v>
      </c>
      <c r="F7" s="2">
        <v>0.1573</v>
      </c>
      <c r="G7" s="2">
        <v>9.3200000000000005E-2</v>
      </c>
      <c r="H7" s="2">
        <v>9.6799999999999997E-2</v>
      </c>
      <c r="I7" s="2">
        <v>0.1216</v>
      </c>
      <c r="J7" s="2">
        <v>0.1336</v>
      </c>
      <c r="K7" s="2">
        <v>8.8900000000000007E-2</v>
      </c>
      <c r="L7" s="2">
        <v>0.10100000000000001</v>
      </c>
      <c r="M7" s="2">
        <v>0.1237</v>
      </c>
      <c r="N7" s="2">
        <v>0.1225</v>
      </c>
      <c r="O7" s="2">
        <v>9.2499999999999999E-2</v>
      </c>
      <c r="P7" s="2"/>
    </row>
    <row r="8" spans="2:27" x14ac:dyDescent="0.3">
      <c r="B8" t="s">
        <v>4</v>
      </c>
      <c r="C8" s="2">
        <v>7.6300000000000007E-2</v>
      </c>
      <c r="D8" s="2">
        <v>0.1002</v>
      </c>
      <c r="E8" s="2">
        <v>0.1198</v>
      </c>
      <c r="F8" s="2">
        <v>0.1094</v>
      </c>
      <c r="G8" s="2">
        <v>6.4399999999999999E-2</v>
      </c>
      <c r="H8" s="2">
        <v>8.6099999999999996E-2</v>
      </c>
      <c r="I8" s="2">
        <v>0.1014</v>
      </c>
      <c r="J8" s="2">
        <v>9.8799999999999999E-2</v>
      </c>
      <c r="K8" s="2">
        <v>7.9799999999999996E-2</v>
      </c>
      <c r="L8" s="2">
        <v>0.11849999999999999</v>
      </c>
      <c r="M8" s="2">
        <v>0.1411</v>
      </c>
      <c r="N8" s="2">
        <v>0.13500000000000001</v>
      </c>
      <c r="O8" s="2">
        <v>9.1499999999999998E-2</v>
      </c>
      <c r="P8" s="2"/>
    </row>
    <row r="9" spans="2:27" x14ac:dyDescent="0.3">
      <c r="B9" t="s">
        <v>5</v>
      </c>
      <c r="C9" s="2">
        <v>4.9299999999999997E-2</v>
      </c>
      <c r="D9" s="2">
        <v>4.1200000000000001E-2</v>
      </c>
      <c r="E9" s="2">
        <v>4.7199999999999999E-2</v>
      </c>
      <c r="F9" s="2">
        <v>4.4999999999999998E-2</v>
      </c>
      <c r="G9" s="2">
        <v>3.61E-2</v>
      </c>
      <c r="H9" s="2">
        <v>2.9100000000000001E-2</v>
      </c>
      <c r="I9" s="2">
        <v>5.3199999999999997E-2</v>
      </c>
      <c r="J9" s="2">
        <v>5.9200000000000003E-2</v>
      </c>
      <c r="K9" s="2">
        <v>5.7299999999999997E-2</v>
      </c>
      <c r="L9" s="2">
        <v>4.3299999999999998E-2</v>
      </c>
      <c r="M9" s="2">
        <v>5.2400000000000002E-2</v>
      </c>
      <c r="N9" s="2">
        <v>5.0700000000000002E-2</v>
      </c>
      <c r="O9" s="2">
        <v>5.1399999999999994E-2</v>
      </c>
      <c r="P9" s="2"/>
    </row>
    <row r="10" spans="2:27" x14ac:dyDescent="0.3">
      <c r="C10" s="3">
        <f t="shared" ref="C10:O10" si="2">SUM(C5:C9)</f>
        <v>1</v>
      </c>
      <c r="D10" s="3">
        <f t="shared" si="2"/>
        <v>0.99999999999999989</v>
      </c>
      <c r="E10" s="3">
        <f t="shared" si="2"/>
        <v>1</v>
      </c>
      <c r="F10" s="3">
        <f t="shared" si="2"/>
        <v>1</v>
      </c>
      <c r="G10" s="3">
        <f t="shared" si="2"/>
        <v>1</v>
      </c>
      <c r="H10" s="3">
        <f t="shared" si="2"/>
        <v>1</v>
      </c>
      <c r="I10" s="3">
        <f t="shared" si="2"/>
        <v>1</v>
      </c>
      <c r="J10" s="3">
        <f t="shared" si="2"/>
        <v>0.99999999999999989</v>
      </c>
      <c r="K10" s="3">
        <f t="shared" si="2"/>
        <v>1</v>
      </c>
      <c r="L10" s="3">
        <f t="shared" si="2"/>
        <v>1</v>
      </c>
      <c r="M10" s="3">
        <f t="shared" si="2"/>
        <v>1</v>
      </c>
      <c r="N10" s="3">
        <f t="shared" si="2"/>
        <v>1</v>
      </c>
      <c r="O10" s="3">
        <f t="shared" si="2"/>
        <v>1</v>
      </c>
      <c r="P10" s="3"/>
    </row>
    <row r="12" spans="2:27" x14ac:dyDescent="0.3">
      <c r="B12" t="s">
        <v>1</v>
      </c>
      <c r="C12" s="3">
        <f>AVERAGE(C5:F5)</f>
        <v>0.55627499999999996</v>
      </c>
      <c r="G12" s="3">
        <f>AVERAGE(G5:J5)</f>
        <v>0.65957500000000002</v>
      </c>
      <c r="K12" s="3">
        <f>AVERAGE(K5:N5)</f>
        <v>0.62480000000000002</v>
      </c>
      <c r="L12" s="3"/>
    </row>
    <row r="13" spans="2:27" x14ac:dyDescent="0.3">
      <c r="B13" t="s">
        <v>2</v>
      </c>
      <c r="C13" s="3">
        <f t="shared" ref="C13:C16" si="3">AVERAGE(C6:F6)</f>
        <v>0.162325</v>
      </c>
      <c r="G13" s="3">
        <f t="shared" ref="G13:G16" si="4">AVERAGE(G6:J6)</f>
        <v>9.7049999999999997E-2</v>
      </c>
      <c r="K13" s="3">
        <f t="shared" ref="K13:K16" si="5">AVERAGE(K6:N6)</f>
        <v>9.665E-2</v>
      </c>
      <c r="L13" s="3"/>
    </row>
    <row r="14" spans="2:27" x14ac:dyDescent="0.3">
      <c r="B14" t="s">
        <v>3</v>
      </c>
      <c r="C14" s="3">
        <f t="shared" si="3"/>
        <v>0.1343</v>
      </c>
      <c r="G14" s="3">
        <f t="shared" si="4"/>
        <v>0.1113</v>
      </c>
      <c r="K14" s="3">
        <f t="shared" si="5"/>
        <v>0.109025</v>
      </c>
      <c r="L14" s="3"/>
    </row>
    <row r="15" spans="2:27" x14ac:dyDescent="0.3">
      <c r="B15" t="s">
        <v>4</v>
      </c>
      <c r="C15" s="3">
        <f t="shared" si="3"/>
        <v>0.101425</v>
      </c>
      <c r="G15" s="3">
        <f t="shared" si="4"/>
        <v>8.7675000000000003E-2</v>
      </c>
      <c r="K15" s="3">
        <f t="shared" si="5"/>
        <v>0.1186</v>
      </c>
      <c r="L15" s="3"/>
    </row>
    <row r="16" spans="2:27" x14ac:dyDescent="0.3">
      <c r="B16" t="s">
        <v>5</v>
      </c>
      <c r="C16" s="3">
        <f t="shared" si="3"/>
        <v>4.5674999999999993E-2</v>
      </c>
      <c r="G16" s="3">
        <f t="shared" si="4"/>
        <v>4.4400000000000002E-2</v>
      </c>
      <c r="K16" s="3">
        <f t="shared" si="5"/>
        <v>5.0924999999999998E-2</v>
      </c>
      <c r="L16" s="3"/>
    </row>
    <row r="17" spans="2:32" x14ac:dyDescent="0.3">
      <c r="C17" s="3">
        <f>SUM(C12:C16)</f>
        <v>0.99999999999999989</v>
      </c>
      <c r="G17" s="3">
        <f t="shared" ref="G17" si="6">SUM(G12:G16)</f>
        <v>1</v>
      </c>
      <c r="K17" s="3">
        <f t="shared" ref="K17" si="7">SUM(K12:K16)</f>
        <v>1</v>
      </c>
      <c r="L17" s="3"/>
      <c r="T17" s="2">
        <f>T18/O18-1</f>
        <v>0.26045865843082261</v>
      </c>
      <c r="X17" s="2">
        <f>X18/T18-1</f>
        <v>0.29041287798948479</v>
      </c>
    </row>
    <row r="18" spans="2:32" x14ac:dyDescent="0.3">
      <c r="C18" s="13">
        <f>SUM(C21:F21)</f>
        <v>182795</v>
      </c>
      <c r="G18" s="13">
        <f>SUM(G21:J21)</f>
        <v>233715</v>
      </c>
      <c r="K18" s="13">
        <f>SUM(K21:N21)</f>
        <v>215639</v>
      </c>
      <c r="O18" s="13">
        <f>SUM(O21:S21)</f>
        <v>250164.95423655305</v>
      </c>
      <c r="S18" s="13"/>
      <c r="T18" s="13">
        <f>SUM(T21:W21)</f>
        <v>315322.58260341379</v>
      </c>
      <c r="W18" s="13"/>
      <c r="X18" s="13">
        <f>SUM(X21:AA21)</f>
        <v>406896.32131234824</v>
      </c>
    </row>
    <row r="19" spans="2:32" x14ac:dyDescent="0.3">
      <c r="L19" s="15"/>
      <c r="Q19" s="14"/>
    </row>
    <row r="20" spans="2:32" x14ac:dyDescent="0.3"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2:32" x14ac:dyDescent="0.3">
      <c r="B21" t="s">
        <v>41</v>
      </c>
      <c r="C21" s="13">
        <v>57594</v>
      </c>
      <c r="D21" s="13">
        <v>45646</v>
      </c>
      <c r="E21" s="13">
        <v>37432</v>
      </c>
      <c r="F21" s="13">
        <v>42123</v>
      </c>
      <c r="G21" s="13">
        <v>74599</v>
      </c>
      <c r="H21" s="13">
        <v>58010</v>
      </c>
      <c r="I21" s="13">
        <v>49605</v>
      </c>
      <c r="J21" s="13">
        <v>51501</v>
      </c>
      <c r="K21" s="13">
        <v>75872</v>
      </c>
      <c r="L21" s="13">
        <v>50557</v>
      </c>
      <c r="M21" s="13">
        <v>42358</v>
      </c>
      <c r="N21" s="13">
        <v>46852</v>
      </c>
      <c r="O21" s="13">
        <v>78351</v>
      </c>
      <c r="Q21" s="14">
        <f>SUM(Q22,Q24,Q26,Q28,Q30)</f>
        <v>60991.622605272729</v>
      </c>
      <c r="R21" s="15">
        <f t="shared" ref="R21:AA21" si="8">SUM(R22,R24,R26,R28,R30)</f>
        <v>52227.051375451105</v>
      </c>
      <c r="S21" s="15">
        <f t="shared" si="8"/>
        <v>58595.280255829217</v>
      </c>
      <c r="T21" s="15">
        <f t="shared" si="8"/>
        <v>98700.703351610486</v>
      </c>
      <c r="U21" s="15">
        <f t="shared" si="8"/>
        <v>77178.537897326183</v>
      </c>
      <c r="V21" s="15">
        <f t="shared" si="8"/>
        <v>65472.424865401423</v>
      </c>
      <c r="W21" s="15">
        <f t="shared" si="8"/>
        <v>73970.916489075709</v>
      </c>
      <c r="X21" s="15">
        <f t="shared" si="8"/>
        <v>127396.73518988352</v>
      </c>
      <c r="Y21" s="15">
        <f t="shared" si="8"/>
        <v>99929.199981821715</v>
      </c>
      <c r="Z21" s="15">
        <f t="shared" si="8"/>
        <v>84046.684078079066</v>
      </c>
      <c r="AA21" s="15">
        <f t="shared" si="8"/>
        <v>95523.702062564</v>
      </c>
      <c r="AB21" s="8"/>
      <c r="AC21" s="8"/>
      <c r="AD21" s="8"/>
      <c r="AE21" s="8"/>
      <c r="AF21" s="8"/>
    </row>
    <row r="22" spans="2:32" x14ac:dyDescent="0.3">
      <c r="B22" t="s">
        <v>1</v>
      </c>
      <c r="C22" s="13">
        <f>C$21*C5</f>
        <v>32500.2942</v>
      </c>
      <c r="D22" s="13">
        <f>D$21*D5</f>
        <v>26063.865999999998</v>
      </c>
      <c r="E22" s="13">
        <f t="shared" ref="E22:O22" si="9">E$21*E5</f>
        <v>19752.866399999999</v>
      </c>
      <c r="F22" s="13">
        <f t="shared" si="9"/>
        <v>23677.338300000003</v>
      </c>
      <c r="G22" s="13">
        <f t="shared" si="9"/>
        <v>51182.373900000006</v>
      </c>
      <c r="H22" s="13">
        <f t="shared" si="9"/>
        <v>40282.144</v>
      </c>
      <c r="I22" s="13">
        <f t="shared" si="9"/>
        <v>31370.201999999997</v>
      </c>
      <c r="J22" s="13">
        <f t="shared" si="9"/>
        <v>32208.725399999999</v>
      </c>
      <c r="K22" s="13">
        <f>K$21*K5</f>
        <v>51638.483199999995</v>
      </c>
      <c r="L22" s="13">
        <f t="shared" si="9"/>
        <v>32856.994299999998</v>
      </c>
      <c r="M22" s="13">
        <f t="shared" si="9"/>
        <v>24046.636599999998</v>
      </c>
      <c r="N22" s="13">
        <f t="shared" si="9"/>
        <v>28158.052</v>
      </c>
      <c r="O22" s="13">
        <f t="shared" si="9"/>
        <v>54375.594000000005</v>
      </c>
      <c r="Q22" s="14">
        <f>O22*(1+Q23)</f>
        <v>41856.126942413648</v>
      </c>
      <c r="R22" s="15">
        <f>Q22*(1+R23)</f>
        <v>32821.948862548241</v>
      </c>
      <c r="S22" s="15">
        <f t="shared" ref="S22:U22" si="10">R22*(1+S23)</f>
        <v>38077.675789321023</v>
      </c>
      <c r="T22" s="15">
        <f t="shared" si="10"/>
        <v>73362.874872782733</v>
      </c>
      <c r="U22" s="15">
        <f t="shared" si="10"/>
        <v>56640.676780244437</v>
      </c>
      <c r="V22" s="15">
        <f>U22*(1+V23)</f>
        <v>44537.671127384441</v>
      </c>
      <c r="W22" s="15">
        <f>V22*(1+W23)</f>
        <v>51740.735660938444</v>
      </c>
      <c r="X22" s="15">
        <f t="shared" ref="X22:AA22" si="11">W22*(1+X23)</f>
        <v>100166.45865696561</v>
      </c>
      <c r="Y22" s="15">
        <f t="shared" si="11"/>
        <v>77563.018795503303</v>
      </c>
      <c r="Z22" s="15">
        <f t="shared" si="11"/>
        <v>61155.054568817686</v>
      </c>
      <c r="AA22" s="15">
        <f t="shared" si="11"/>
        <v>71144.549560278421</v>
      </c>
      <c r="AB22" s="8"/>
      <c r="AC22" s="8"/>
      <c r="AD22" s="8"/>
      <c r="AE22" s="8"/>
      <c r="AF22" s="8"/>
    </row>
    <row r="23" spans="2:32" s="2" customFormat="1" x14ac:dyDescent="0.3">
      <c r="D23" s="2">
        <f>D22/C22-1</f>
        <v>-0.19804215187688989</v>
      </c>
      <c r="E23" s="2">
        <f t="shared" ref="E23:N23" si="12">E22/D22-1</f>
        <v>-0.24213597476291504</v>
      </c>
      <c r="F23" s="2">
        <f t="shared" si="12"/>
        <v>0.19867860291911876</v>
      </c>
      <c r="G23" s="2">
        <f t="shared" si="12"/>
        <v>1.1616607936036458</v>
      </c>
      <c r="H23" s="2">
        <f t="shared" si="12"/>
        <v>-0.2129684316967565</v>
      </c>
      <c r="I23" s="2">
        <f t="shared" si="12"/>
        <v>-0.22123802546359006</v>
      </c>
      <c r="J23" s="2">
        <f t="shared" si="12"/>
        <v>2.6729933074705725E-2</v>
      </c>
      <c r="K23" s="2">
        <f t="shared" si="12"/>
        <v>0.60324516287751018</v>
      </c>
      <c r="L23" s="2">
        <f t="shared" si="12"/>
        <v>-0.36371108785782458</v>
      </c>
      <c r="M23" s="2">
        <f t="shared" si="12"/>
        <v>-0.26814253365835117</v>
      </c>
      <c r="N23" s="2">
        <f t="shared" si="12"/>
        <v>0.17097673443445327</v>
      </c>
      <c r="O23" s="2">
        <f>O22/N22-1</f>
        <v>0.93108507648185346</v>
      </c>
      <c r="P23" s="2" t="s">
        <v>42</v>
      </c>
      <c r="Q23" s="10">
        <f>AVERAGE(D23,L23,H23)-$N$34</f>
        <v>-0.23024055714382366</v>
      </c>
      <c r="R23" s="11">
        <f>AVERAGE(E23,M23,I23)-$N$34</f>
        <v>-0.21583884462828543</v>
      </c>
      <c r="S23" s="11">
        <f>AVERAGE(F23,N23,J23)-$N$34</f>
        <v>0.16012842347609257</v>
      </c>
      <c r="T23" s="11">
        <f>AVERAGE(G23,O23,K23)-$N$34</f>
        <v>0.92666367765433655</v>
      </c>
      <c r="U23" s="11">
        <f>Q23+ABS(Q23*$P$34)</f>
        <v>-0.22793815157238542</v>
      </c>
      <c r="V23" s="11">
        <f t="shared" ref="V23:AA23" si="13">R23+ABS(R23*$P$34)</f>
        <v>-0.21368045618200257</v>
      </c>
      <c r="W23" s="11">
        <f t="shared" si="13"/>
        <v>0.16172970771085349</v>
      </c>
      <c r="X23" s="11">
        <f t="shared" si="13"/>
        <v>0.93593031443087993</v>
      </c>
      <c r="Y23" s="11">
        <f t="shared" si="13"/>
        <v>-0.22565877005666157</v>
      </c>
      <c r="Z23" s="11">
        <f t="shared" si="13"/>
        <v>-0.21154365162018254</v>
      </c>
      <c r="AA23" s="11">
        <f t="shared" si="13"/>
        <v>0.16334700478796202</v>
      </c>
      <c r="AB23" s="11"/>
      <c r="AC23" s="11"/>
      <c r="AD23" s="11"/>
      <c r="AE23" s="11"/>
      <c r="AF23" s="11"/>
    </row>
    <row r="24" spans="2:32" x14ac:dyDescent="0.3">
      <c r="B24" t="s">
        <v>2</v>
      </c>
      <c r="C24" s="13">
        <f t="shared" ref="C24:N24" si="14">C$21*C6</f>
        <v>11466.965399999999</v>
      </c>
      <c r="D24" s="13">
        <f t="shared" si="14"/>
        <v>7609.1881999999996</v>
      </c>
      <c r="E24" s="13">
        <f t="shared" si="14"/>
        <v>5888.0536000000002</v>
      </c>
      <c r="F24" s="13">
        <f t="shared" si="14"/>
        <v>5315.9225999999999</v>
      </c>
      <c r="G24" s="13">
        <f t="shared" si="14"/>
        <v>8966.7998000000007</v>
      </c>
      <c r="H24" s="13">
        <f t="shared" si="14"/>
        <v>5429.7359999999999</v>
      </c>
      <c r="I24" s="13">
        <f t="shared" si="14"/>
        <v>4533.8969999999999</v>
      </c>
      <c r="J24" s="13">
        <f t="shared" si="14"/>
        <v>4274.5830000000005</v>
      </c>
      <c r="K24" s="13">
        <f t="shared" si="14"/>
        <v>7086.4448000000002</v>
      </c>
      <c r="L24" s="13">
        <f t="shared" si="14"/>
        <v>4413.6261000000004</v>
      </c>
      <c r="M24" s="13">
        <f t="shared" si="14"/>
        <v>4875.4057999999995</v>
      </c>
      <c r="N24" s="13">
        <f t="shared" si="14"/>
        <v>4254.1616000000004</v>
      </c>
      <c r="O24" s="13">
        <f>O$21*O6</f>
        <v>5531.5805999999993</v>
      </c>
      <c r="Q24" s="14">
        <f>O24*(1+Q25)</f>
        <v>3527.1921800215582</v>
      </c>
      <c r="R24" s="15">
        <f>Q24*(1+R25)</f>
        <v>3214.9730329706958</v>
      </c>
      <c r="S24" s="15">
        <f t="shared" ref="S24:AA24" si="15">R24*(1+S25)</f>
        <v>2935.4989527671564</v>
      </c>
      <c r="T24" s="15">
        <f t="shared" si="15"/>
        <v>4565.548491356506</v>
      </c>
      <c r="U24" s="15">
        <f t="shared" si="15"/>
        <v>2911.205331839853</v>
      </c>
      <c r="V24" s="15">
        <f t="shared" si="15"/>
        <v>2653.511960113392</v>
      </c>
      <c r="W24" s="15">
        <f t="shared" si="15"/>
        <v>2422.8450752728245</v>
      </c>
      <c r="X24" s="15">
        <f t="shared" si="15"/>
        <v>3768.2236840095347</v>
      </c>
      <c r="Y24" s="15">
        <f t="shared" si="15"/>
        <v>2402.7940785695973</v>
      </c>
      <c r="Z24" s="15">
        <f t="shared" si="15"/>
        <v>2190.1041315916368</v>
      </c>
      <c r="AA24" s="15">
        <f t="shared" si="15"/>
        <v>1999.7207811095416</v>
      </c>
      <c r="AB24" s="8"/>
      <c r="AC24" s="8"/>
      <c r="AD24" s="8"/>
      <c r="AE24" s="8"/>
      <c r="AF24" s="8"/>
    </row>
    <row r="25" spans="2:32" s="2" customFormat="1" x14ac:dyDescent="0.3">
      <c r="D25" s="2">
        <f>D24/C24-1</f>
        <v>-0.33642529347825534</v>
      </c>
      <c r="E25" s="2">
        <f t="shared" ref="E25:O25" si="16">E24/D24-1</f>
        <v>-0.22619161923212772</v>
      </c>
      <c r="F25" s="2">
        <f t="shared" si="16"/>
        <v>-9.7168103225147351E-2</v>
      </c>
      <c r="G25" s="2">
        <f t="shared" si="16"/>
        <v>0.68678148173188247</v>
      </c>
      <c r="H25" s="2">
        <f t="shared" si="16"/>
        <v>-0.39446222497350736</v>
      </c>
      <c r="I25" s="2">
        <f t="shared" si="16"/>
        <v>-0.1649875795066279</v>
      </c>
      <c r="J25" s="2">
        <f t="shared" si="16"/>
        <v>-5.7194506183091409E-2</v>
      </c>
      <c r="K25" s="2">
        <f t="shared" si="16"/>
        <v>0.65780961558121565</v>
      </c>
      <c r="L25" s="2">
        <f t="shared" si="16"/>
        <v>-0.37717343116819302</v>
      </c>
      <c r="M25" s="2">
        <f t="shared" si="16"/>
        <v>0.10462592198283382</v>
      </c>
      <c r="N25" s="2">
        <f t="shared" si="16"/>
        <v>-0.12742410077946731</v>
      </c>
      <c r="O25" s="2">
        <f t="shared" si="16"/>
        <v>0.30027514704659986</v>
      </c>
      <c r="P25" s="2" t="s">
        <v>42</v>
      </c>
      <c r="Q25" s="10">
        <f>AVERAGE(D25,L25,H25)-$N$35</f>
        <v>-0.36235364987331853</v>
      </c>
      <c r="R25" s="11">
        <f>AVERAGE(E25,M25,I25)-$N$35</f>
        <v>-8.8517758918640596E-2</v>
      </c>
      <c r="S25" s="11">
        <f>AVERAGE(F25,N25,J25)-$N$35</f>
        <v>-8.6928903395902021E-2</v>
      </c>
      <c r="T25" s="11">
        <f>AVERAGE(G25,O25,K25)-$N$35</f>
        <v>0.55528874811989937</v>
      </c>
      <c r="U25" s="29">
        <f>Q25+ABS(Q25*$P$35)</f>
        <v>-0.36235364987331853</v>
      </c>
      <c r="V25" s="29">
        <f t="shared" ref="V25:AA25" si="17">R25+ABS(R25*$P$35)</f>
        <v>-8.8517758918640596E-2</v>
      </c>
      <c r="W25" s="29">
        <f t="shared" si="17"/>
        <v>-8.6928903395902021E-2</v>
      </c>
      <c r="X25" s="29">
        <f t="shared" si="17"/>
        <v>0.55528874811989937</v>
      </c>
      <c r="Y25" s="29">
        <f t="shared" si="17"/>
        <v>-0.36235364987331853</v>
      </c>
      <c r="Z25" s="29">
        <f t="shared" si="17"/>
        <v>-8.8517758918640596E-2</v>
      </c>
      <c r="AA25" s="29">
        <f t="shared" si="17"/>
        <v>-8.6928903395902021E-2</v>
      </c>
      <c r="AB25" s="11"/>
      <c r="AC25" s="11"/>
      <c r="AD25" s="11"/>
      <c r="AE25" s="11"/>
      <c r="AF25" s="11"/>
    </row>
    <row r="26" spans="2:32" x14ac:dyDescent="0.3">
      <c r="B26" t="s">
        <v>3</v>
      </c>
      <c r="C26" s="13">
        <f t="shared" ref="C26:O26" si="18">C$21*C7</f>
        <v>6392.9340000000002</v>
      </c>
      <c r="D26" s="13">
        <f t="shared" si="18"/>
        <v>5518.6013999999996</v>
      </c>
      <c r="E26" s="13">
        <f t="shared" si="18"/>
        <v>5539.9359999999997</v>
      </c>
      <c r="F26" s="13">
        <f t="shared" si="18"/>
        <v>6625.9479000000001</v>
      </c>
      <c r="G26" s="13">
        <f t="shared" si="18"/>
        <v>6952.6268</v>
      </c>
      <c r="H26" s="13">
        <f t="shared" si="18"/>
        <v>5615.3679999999995</v>
      </c>
      <c r="I26" s="13">
        <f t="shared" si="18"/>
        <v>6031.9679999999998</v>
      </c>
      <c r="J26" s="13">
        <f t="shared" si="18"/>
        <v>6880.5335999999998</v>
      </c>
      <c r="K26" s="13">
        <f t="shared" si="18"/>
        <v>6745.0208000000002</v>
      </c>
      <c r="L26" s="13">
        <f t="shared" si="18"/>
        <v>5106.2570000000005</v>
      </c>
      <c r="M26" s="13">
        <f t="shared" si="18"/>
        <v>5239.6846000000005</v>
      </c>
      <c r="N26" s="13">
        <f t="shared" si="18"/>
        <v>5739.37</v>
      </c>
      <c r="O26" s="13">
        <f t="shared" si="18"/>
        <v>7247.4674999999997</v>
      </c>
      <c r="Q26" s="14">
        <f>O26*(1+Q27)</f>
        <v>5865.4644659585601</v>
      </c>
      <c r="R26" s="15">
        <f>Q26*(1+R27)</f>
        <v>6069.1630926748458</v>
      </c>
      <c r="S26" s="15">
        <f t="shared" ref="S26:AA26" si="19">R26*(1+S27)</f>
        <v>6943.2781712846427</v>
      </c>
      <c r="T26" s="15">
        <f t="shared" si="19"/>
        <v>7619.9503059700028</v>
      </c>
      <c r="U26" s="15">
        <f t="shared" si="19"/>
        <v>6166.9193759112568</v>
      </c>
      <c r="V26" s="15">
        <f t="shared" si="19"/>
        <v>6381.0870714507582</v>
      </c>
      <c r="W26" s="15">
        <f t="shared" si="19"/>
        <v>7300.1271997032436</v>
      </c>
      <c r="X26" s="15">
        <f t="shared" si="19"/>
        <v>8011.5768253465585</v>
      </c>
      <c r="Y26" s="15">
        <f t="shared" si="19"/>
        <v>6483.867528259676</v>
      </c>
      <c r="Z26" s="15">
        <f t="shared" si="19"/>
        <v>6709.0423492788959</v>
      </c>
      <c r="AA26" s="15">
        <f t="shared" si="19"/>
        <v>7675.3164452270648</v>
      </c>
      <c r="AB26" s="8"/>
      <c r="AC26" s="8"/>
      <c r="AD26" s="8"/>
      <c r="AE26" s="8"/>
      <c r="AF26" s="8"/>
    </row>
    <row r="27" spans="2:32" s="2" customFormat="1" x14ac:dyDescent="0.3">
      <c r="D27" s="2">
        <f>D26/C26-1</f>
        <v>-0.13676546637271725</v>
      </c>
      <c r="E27" s="2">
        <f t="shared" ref="E27:O27" si="20">E26/D26-1</f>
        <v>3.8659432804841742E-3</v>
      </c>
      <c r="F27" s="2">
        <f t="shared" si="20"/>
        <v>0.19603329352541277</v>
      </c>
      <c r="G27" s="2">
        <f t="shared" si="20"/>
        <v>4.9302968409999037E-2</v>
      </c>
      <c r="H27" s="2">
        <f t="shared" si="20"/>
        <v>-0.19233864242504728</v>
      </c>
      <c r="I27" s="2">
        <f t="shared" si="20"/>
        <v>7.4189260614798691E-2</v>
      </c>
      <c r="J27" s="2">
        <f t="shared" si="20"/>
        <v>0.14067806725765131</v>
      </c>
      <c r="K27" s="2">
        <f t="shared" si="20"/>
        <v>-1.9695100391632359E-2</v>
      </c>
      <c r="L27" s="2">
        <f t="shared" si="20"/>
        <v>-0.24295904321006689</v>
      </c>
      <c r="M27" s="2">
        <f t="shared" si="20"/>
        <v>2.613021632087853E-2</v>
      </c>
      <c r="N27" s="2">
        <f t="shared" si="20"/>
        <v>9.5365549292795171E-2</v>
      </c>
      <c r="O27" s="2">
        <f t="shared" si="20"/>
        <v>0.26276359600443944</v>
      </c>
      <c r="P27" s="2" t="s">
        <v>42</v>
      </c>
      <c r="Q27" s="10">
        <f>AVERAGE(D27,L27,H27)-$N$36</f>
        <v>-0.19068771733594381</v>
      </c>
      <c r="R27" s="11">
        <f>AVERAGE(E27,M27,I27)-$N$36</f>
        <v>3.4728473405387129E-2</v>
      </c>
      <c r="S27" s="11">
        <f>AVERAGE(F27,N27,J27)-$N$36</f>
        <v>0.14402563669195309</v>
      </c>
      <c r="T27" s="11">
        <f>AVERAGE(G27,O27,K27)-$N$36</f>
        <v>9.7457154674268701E-2</v>
      </c>
      <c r="U27" s="11">
        <f>Q27+ABS(Q27*$P$36)</f>
        <v>-0.19068771733594381</v>
      </c>
      <c r="V27" s="11">
        <f t="shared" ref="V27:AA27" si="21">R27+ABS(R27*$P$36)</f>
        <v>3.4728473405387129E-2</v>
      </c>
      <c r="W27" s="11">
        <f t="shared" si="21"/>
        <v>0.14402563669195309</v>
      </c>
      <c r="X27" s="11">
        <f t="shared" si="21"/>
        <v>9.7457154674268701E-2</v>
      </c>
      <c r="Y27" s="11">
        <f t="shared" si="21"/>
        <v>-0.19068771733594381</v>
      </c>
      <c r="Z27" s="11">
        <f t="shared" si="21"/>
        <v>3.4728473405387129E-2</v>
      </c>
      <c r="AA27" s="11">
        <f t="shared" si="21"/>
        <v>0.14402563669195309</v>
      </c>
      <c r="AB27" s="11"/>
      <c r="AC27" s="11"/>
      <c r="AD27" s="11"/>
      <c r="AE27" s="11"/>
      <c r="AF27" s="11"/>
    </row>
    <row r="28" spans="2:32" x14ac:dyDescent="0.3">
      <c r="B28" t="s">
        <v>4</v>
      </c>
      <c r="C28" s="13">
        <f t="shared" ref="C28:O28" si="22">C$21*C8</f>
        <v>4394.4222</v>
      </c>
      <c r="D28" s="13">
        <f t="shared" si="22"/>
        <v>4573.7291999999998</v>
      </c>
      <c r="E28" s="13">
        <f t="shared" si="22"/>
        <v>4484.3536000000004</v>
      </c>
      <c r="F28" s="13">
        <f t="shared" si="22"/>
        <v>4608.2561999999998</v>
      </c>
      <c r="G28" s="13">
        <f t="shared" si="22"/>
        <v>4804.1755999999996</v>
      </c>
      <c r="H28" s="13">
        <f t="shared" si="22"/>
        <v>4994.6610000000001</v>
      </c>
      <c r="I28" s="13">
        <f t="shared" si="22"/>
        <v>5029.9470000000001</v>
      </c>
      <c r="J28" s="13">
        <f t="shared" si="22"/>
        <v>5088.2987999999996</v>
      </c>
      <c r="K28" s="13">
        <f t="shared" si="22"/>
        <v>6054.5855999999994</v>
      </c>
      <c r="L28" s="13">
        <f t="shared" si="22"/>
        <v>5991.0045</v>
      </c>
      <c r="M28" s="13">
        <f t="shared" si="22"/>
        <v>5976.7138000000004</v>
      </c>
      <c r="N28" s="13">
        <f t="shared" si="22"/>
        <v>6325.02</v>
      </c>
      <c r="O28" s="13">
        <f t="shared" si="22"/>
        <v>7169.1165000000001</v>
      </c>
      <c r="Q28" s="14">
        <f>O28*(1+Q29)</f>
        <v>7336.2811061208386</v>
      </c>
      <c r="R28" s="15">
        <f>Q28*(1+R29)</f>
        <v>7299.9379176788316</v>
      </c>
      <c r="S28" s="15">
        <f t="shared" ref="S28:AA28" si="23">R28*(1+S29)</f>
        <v>7537.2055289645232</v>
      </c>
      <c r="T28" s="15">
        <f t="shared" si="23"/>
        <v>8456.423376226232</v>
      </c>
      <c r="U28" s="15">
        <f t="shared" si="23"/>
        <v>8653.6045327715201</v>
      </c>
      <c r="V28" s="15">
        <f t="shared" si="23"/>
        <v>8610.7354584152054</v>
      </c>
      <c r="W28" s="15">
        <f t="shared" si="23"/>
        <v>8890.6075144067181</v>
      </c>
      <c r="X28" s="15">
        <f t="shared" si="23"/>
        <v>9974.8827234130531</v>
      </c>
      <c r="Y28" s="15">
        <f t="shared" si="23"/>
        <v>10207.470287244789</v>
      </c>
      <c r="Z28" s="15">
        <f t="shared" si="23"/>
        <v>10156.903520404841</v>
      </c>
      <c r="AA28" s="15">
        <f t="shared" si="23"/>
        <v>10487.030195935798</v>
      </c>
      <c r="AB28" s="8"/>
      <c r="AC28" s="8"/>
      <c r="AD28" s="8"/>
      <c r="AE28" s="8"/>
      <c r="AF28" s="8"/>
    </row>
    <row r="29" spans="2:32" s="2" customFormat="1" x14ac:dyDescent="0.3">
      <c r="D29" s="2">
        <f>D28/C28-1</f>
        <v>4.0803316531579537E-2</v>
      </c>
      <c r="E29" s="2">
        <f t="shared" ref="E29:O29" si="24">E28/D28-1</f>
        <v>-1.9541078208128115E-2</v>
      </c>
      <c r="F29" s="2">
        <f t="shared" si="24"/>
        <v>2.762997993735361E-2</v>
      </c>
      <c r="G29" s="2">
        <f t="shared" si="24"/>
        <v>4.2514867120452049E-2</v>
      </c>
      <c r="H29" s="2">
        <f t="shared" si="24"/>
        <v>3.964996616693206E-2</v>
      </c>
      <c r="I29" s="2">
        <f t="shared" si="24"/>
        <v>7.064743733358414E-3</v>
      </c>
      <c r="J29" s="2">
        <f t="shared" si="24"/>
        <v>1.1600877703084933E-2</v>
      </c>
      <c r="K29" s="2">
        <f t="shared" si="24"/>
        <v>0.18990370612669216</v>
      </c>
      <c r="L29" s="2">
        <f t="shared" si="24"/>
        <v>-1.0501313252553435E-2</v>
      </c>
      <c r="M29" s="2">
        <f t="shared" si="24"/>
        <v>-2.3853595836891284E-3</v>
      </c>
      <c r="N29" s="2">
        <f t="shared" si="24"/>
        <v>5.8277209124519169E-2</v>
      </c>
      <c r="O29" s="2">
        <f t="shared" si="24"/>
        <v>0.13345357010728809</v>
      </c>
      <c r="P29" s="2" t="s">
        <v>42</v>
      </c>
      <c r="Q29" s="10">
        <f>AVERAGE(D29,L29,H29)-$N$37</f>
        <v>2.331732314865272E-2</v>
      </c>
      <c r="R29" s="11">
        <f>AVERAGE(E29,M29,I29)-$N$37</f>
        <v>-4.9538980194862763E-3</v>
      </c>
      <c r="S29" s="11">
        <f>AVERAGE(F29,N29,J29)-$N$37</f>
        <v>3.2502688921652569E-2</v>
      </c>
      <c r="T29" s="11">
        <f>AVERAGE(G29,O29,K29)-$N$37</f>
        <v>0.1219573811181441</v>
      </c>
      <c r="U29" s="11">
        <f>Q29+ABS(Q29*$P$37)</f>
        <v>2.331732314865272E-2</v>
      </c>
      <c r="V29" s="11">
        <f t="shared" ref="V29:AA29" si="25">R29+ABS(R29*$P$37)</f>
        <v>-4.9538980194862763E-3</v>
      </c>
      <c r="W29" s="11">
        <f t="shared" si="25"/>
        <v>3.2502688921652569E-2</v>
      </c>
      <c r="X29" s="11">
        <f t="shared" si="25"/>
        <v>0.1219573811181441</v>
      </c>
      <c r="Y29" s="11">
        <f t="shared" si="25"/>
        <v>2.331732314865272E-2</v>
      </c>
      <c r="Z29" s="11">
        <f t="shared" si="25"/>
        <v>-4.9538980194862763E-3</v>
      </c>
      <c r="AA29" s="11">
        <f t="shared" si="25"/>
        <v>3.2502688921652569E-2</v>
      </c>
      <c r="AB29" s="11"/>
      <c r="AC29" s="11"/>
      <c r="AD29" s="11"/>
      <c r="AE29" s="11"/>
      <c r="AF29" s="11"/>
    </row>
    <row r="30" spans="2:32" x14ac:dyDescent="0.3">
      <c r="B30" t="s">
        <v>5</v>
      </c>
      <c r="C30" s="13">
        <f t="shared" ref="C30:O30" si="26">C$21*C9</f>
        <v>2839.3842</v>
      </c>
      <c r="D30" s="13">
        <f t="shared" si="26"/>
        <v>1880.6152</v>
      </c>
      <c r="E30" s="13">
        <f t="shared" si="26"/>
        <v>1766.7903999999999</v>
      </c>
      <c r="F30" s="13">
        <f t="shared" si="26"/>
        <v>1895.5349999999999</v>
      </c>
      <c r="G30" s="13">
        <f t="shared" si="26"/>
        <v>2693.0239000000001</v>
      </c>
      <c r="H30" s="13">
        <f t="shared" si="26"/>
        <v>1688.0910000000001</v>
      </c>
      <c r="I30" s="13">
        <f t="shared" si="26"/>
        <v>2638.9859999999999</v>
      </c>
      <c r="J30" s="13">
        <f t="shared" si="26"/>
        <v>3048.8592000000003</v>
      </c>
      <c r="K30" s="13">
        <f t="shared" si="26"/>
        <v>4347.4655999999995</v>
      </c>
      <c r="L30" s="13">
        <f t="shared" si="26"/>
        <v>2189.1180999999997</v>
      </c>
      <c r="M30" s="13">
        <f t="shared" si="26"/>
        <v>2219.5592000000001</v>
      </c>
      <c r="N30" s="13">
        <f t="shared" si="26"/>
        <v>2375.3964000000001</v>
      </c>
      <c r="O30" s="13">
        <f t="shared" si="26"/>
        <v>4027.2413999999994</v>
      </c>
      <c r="Q30" s="14">
        <f>O30*(1+Q31)</f>
        <v>2406.5579107581189</v>
      </c>
      <c r="R30" s="15">
        <f>Q30*(1+R31)</f>
        <v>2821.0284695784953</v>
      </c>
      <c r="S30" s="15">
        <f t="shared" ref="S30:AA30" si="27">R30*(1+S31)</f>
        <v>3101.6218134918777</v>
      </c>
      <c r="T30" s="15">
        <f t="shared" si="27"/>
        <v>4695.906305275018</v>
      </c>
      <c r="U30" s="15">
        <f t="shared" si="27"/>
        <v>2806.1318765591072</v>
      </c>
      <c r="V30" s="15">
        <f t="shared" si="27"/>
        <v>3289.419248037625</v>
      </c>
      <c r="W30" s="15">
        <f t="shared" si="27"/>
        <v>3616.6010387544802</v>
      </c>
      <c r="X30" s="15">
        <f t="shared" si="27"/>
        <v>5475.593300148751</v>
      </c>
      <c r="Y30" s="15">
        <f t="shared" si="27"/>
        <v>3272.0492922443473</v>
      </c>
      <c r="Z30" s="15">
        <f t="shared" si="27"/>
        <v>3835.5795079860118</v>
      </c>
      <c r="AA30" s="15">
        <f t="shared" si="27"/>
        <v>4217.0850800131693</v>
      </c>
      <c r="AB30" s="8"/>
      <c r="AC30" s="8"/>
      <c r="AD30" s="8"/>
      <c r="AE30" s="8"/>
      <c r="AF30" s="8"/>
    </row>
    <row r="31" spans="2:32" s="2" customFormat="1" x14ac:dyDescent="0.3">
      <c r="D31" s="2">
        <f>D30/C30-1</f>
        <v>-0.33766793518115656</v>
      </c>
      <c r="E31" s="2">
        <f t="shared" ref="E31:O31" si="28">E30/D30-1</f>
        <v>-6.0525300444237651E-2</v>
      </c>
      <c r="F31" s="2">
        <f t="shared" si="28"/>
        <v>7.2869198293130877E-2</v>
      </c>
      <c r="G31" s="2">
        <f t="shared" si="28"/>
        <v>0.42071969127449527</v>
      </c>
      <c r="H31" s="2">
        <f t="shared" si="28"/>
        <v>-0.37316152300022287</v>
      </c>
      <c r="I31" s="2">
        <f t="shared" si="28"/>
        <v>0.56329605453734399</v>
      </c>
      <c r="J31" s="2">
        <f t="shared" si="28"/>
        <v>0.15531465494701391</v>
      </c>
      <c r="K31" s="2">
        <f t="shared" si="28"/>
        <v>0.42593190266050951</v>
      </c>
      <c r="L31" s="2">
        <f t="shared" si="28"/>
        <v>-0.49646108758169361</v>
      </c>
      <c r="M31" s="2">
        <f t="shared" si="28"/>
        <v>1.3905645382951359E-2</v>
      </c>
      <c r="N31" s="2">
        <f t="shared" si="28"/>
        <v>7.0210877907649349E-2</v>
      </c>
      <c r="O31" s="2">
        <f t="shared" si="28"/>
        <v>0.69539761868797956</v>
      </c>
      <c r="P31" s="2" t="s">
        <v>42</v>
      </c>
      <c r="Q31" s="10">
        <f>AVERAGE(D31,L31,H31)-$N$38</f>
        <v>-0.40243018192102431</v>
      </c>
      <c r="R31" s="11">
        <f>AVERAGE(E31,M31,I31)-$N$38</f>
        <v>0.17222546649201922</v>
      </c>
      <c r="S31" s="11">
        <f>AVERAGE(F31,N31,J31)-$N$38</f>
        <v>9.946491038259804E-2</v>
      </c>
      <c r="T31" s="11">
        <f>AVERAGE(G31,O31,K31)-$N$38</f>
        <v>0.51401640420766148</v>
      </c>
      <c r="U31" s="11">
        <f>Q31+ABS(Q31*$P$38)</f>
        <v>-0.40243018192102431</v>
      </c>
      <c r="V31" s="11">
        <f t="shared" ref="V31:AA31" si="29">R31+ABS(R31*$P$38)</f>
        <v>0.17222546649201922</v>
      </c>
      <c r="W31" s="11">
        <f t="shared" si="29"/>
        <v>9.946491038259804E-2</v>
      </c>
      <c r="X31" s="11">
        <f t="shared" si="29"/>
        <v>0.51401640420766148</v>
      </c>
      <c r="Y31" s="11">
        <f t="shared" si="29"/>
        <v>-0.40243018192102431</v>
      </c>
      <c r="Z31" s="11">
        <f t="shared" si="29"/>
        <v>0.17222546649201922</v>
      </c>
      <c r="AA31" s="11">
        <f t="shared" si="29"/>
        <v>9.946491038259804E-2</v>
      </c>
      <c r="AB31" s="11"/>
      <c r="AC31" s="11"/>
      <c r="AD31" s="11"/>
      <c r="AE31" s="11"/>
      <c r="AF31" s="11"/>
    </row>
    <row r="32" spans="2:32" s="1" customFormat="1" x14ac:dyDescent="0.3">
      <c r="Q32" s="9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7:32" x14ac:dyDescent="0.3">
      <c r="N33" s="8" t="s">
        <v>113</v>
      </c>
      <c r="P33" s="8" t="s">
        <v>119</v>
      </c>
      <c r="S33" s="8"/>
      <c r="T33" s="28"/>
      <c r="U33" s="8"/>
      <c r="V33" s="8"/>
      <c r="W33" s="8"/>
      <c r="X33" s="28"/>
      <c r="Y33" s="8"/>
      <c r="Z33" s="8"/>
      <c r="AB33" s="28"/>
      <c r="AC33" s="8"/>
      <c r="AD33" s="8"/>
      <c r="AE33" s="8"/>
      <c r="AF33" s="8"/>
    </row>
    <row r="34" spans="7:32" x14ac:dyDescent="0.3">
      <c r="G34" s="3"/>
      <c r="H34" s="3"/>
      <c r="I34" s="3"/>
      <c r="J34" s="3"/>
      <c r="K34" s="3"/>
      <c r="L34" s="3"/>
      <c r="M34" t="s">
        <v>1</v>
      </c>
      <c r="N34" s="11">
        <v>-2.8000000000000001E-2</v>
      </c>
      <c r="P34" s="11">
        <v>0.01</v>
      </c>
      <c r="S34" s="8"/>
      <c r="T34" s="8"/>
      <c r="U34" s="8"/>
      <c r="V34" s="8"/>
      <c r="W34" s="8"/>
    </row>
    <row r="35" spans="7:32" x14ac:dyDescent="0.3">
      <c r="M35" t="s">
        <v>2</v>
      </c>
      <c r="N35" s="11">
        <v>-7.0000000000000001E-3</v>
      </c>
      <c r="P35" s="11">
        <v>0</v>
      </c>
      <c r="S35" s="8"/>
      <c r="T35" s="8"/>
      <c r="U35" s="8"/>
      <c r="V35" s="8"/>
      <c r="W35" s="8"/>
    </row>
    <row r="36" spans="7:32" x14ac:dyDescent="0.3">
      <c r="M36" t="s">
        <v>3</v>
      </c>
      <c r="N36" s="11">
        <v>0</v>
      </c>
      <c r="P36" s="11">
        <v>0</v>
      </c>
      <c r="S36" s="8"/>
      <c r="T36" s="8"/>
      <c r="U36" s="8"/>
      <c r="V36" s="8"/>
      <c r="W36" s="8"/>
    </row>
    <row r="37" spans="7:32" x14ac:dyDescent="0.3">
      <c r="M37" t="s">
        <v>4</v>
      </c>
      <c r="N37" s="11">
        <v>0</v>
      </c>
      <c r="P37" s="2">
        <v>0</v>
      </c>
    </row>
    <row r="38" spans="7:32" x14ac:dyDescent="0.3">
      <c r="M38" t="s">
        <v>5</v>
      </c>
      <c r="N38" s="11">
        <v>0</v>
      </c>
      <c r="P38" s="26">
        <v>0</v>
      </c>
    </row>
    <row r="39" spans="7:32" x14ac:dyDescent="0.3">
      <c r="N39" s="8"/>
      <c r="T39" s="2">
        <f>T40/O40-1</f>
        <v>0.35391693064362251</v>
      </c>
      <c r="X39" s="2">
        <f>X40/T40-1</f>
        <v>0.37010075269399523</v>
      </c>
    </row>
    <row r="40" spans="7:32" x14ac:dyDescent="0.3">
      <c r="O40" s="13">
        <f>SUM(O22:S22)</f>
        <v>167131.3455942829</v>
      </c>
      <c r="S40" s="13"/>
      <c r="T40" s="13">
        <f>SUM(T22:W22)</f>
        <v>226281.95844135003</v>
      </c>
      <c r="W40" s="13"/>
      <c r="X40" s="13">
        <f>SUM(X22:AA22)</f>
        <v>310029.08158156503</v>
      </c>
    </row>
  </sheetData>
  <mergeCells count="1">
    <mergeCell ref="C2:O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9"/>
  <sheetViews>
    <sheetView workbookViewId="0">
      <selection activeCell="G15" sqref="G15:I15"/>
    </sheetView>
  </sheetViews>
  <sheetFormatPr defaultRowHeight="14.4" x14ac:dyDescent="0.3"/>
  <cols>
    <col min="1" max="1" width="57.5546875" customWidth="1"/>
    <col min="2" max="4" width="7.6640625" customWidth="1"/>
    <col min="5" max="5" width="16.5546875" customWidth="1"/>
    <col min="6" max="6" width="7.6640625" customWidth="1"/>
    <col min="7" max="7" width="12" customWidth="1"/>
    <col min="8" max="9" width="11" customWidth="1"/>
    <col min="11" max="13" width="10" customWidth="1"/>
  </cols>
  <sheetData>
    <row r="1" spans="1:13" x14ac:dyDescent="0.3">
      <c r="A1" t="s">
        <v>9</v>
      </c>
      <c r="B1" s="30" t="s">
        <v>31</v>
      </c>
      <c r="C1" s="30"/>
      <c r="D1" s="30"/>
      <c r="E1" s="24" t="s">
        <v>36</v>
      </c>
      <c r="F1" s="24" t="s">
        <v>37</v>
      </c>
      <c r="G1" s="30" t="s">
        <v>32</v>
      </c>
      <c r="H1" s="30"/>
      <c r="I1" s="30"/>
    </row>
    <row r="2" spans="1:13" x14ac:dyDescent="0.3">
      <c r="A2" s="6" t="s">
        <v>10</v>
      </c>
      <c r="B2" s="6" t="s">
        <v>11</v>
      </c>
      <c r="C2" s="6" t="s">
        <v>12</v>
      </c>
      <c r="D2" s="6" t="s">
        <v>13</v>
      </c>
      <c r="E2" s="6"/>
      <c r="F2" s="6"/>
      <c r="G2" s="6" t="s">
        <v>33</v>
      </c>
      <c r="H2" s="6" t="s">
        <v>34</v>
      </c>
      <c r="I2" s="6" t="s">
        <v>35</v>
      </c>
    </row>
    <row r="3" spans="1:13" x14ac:dyDescent="0.3">
      <c r="A3" t="s">
        <v>14</v>
      </c>
      <c r="B3">
        <v>182795</v>
      </c>
      <c r="C3">
        <v>233715</v>
      </c>
      <c r="D3">
        <v>215639</v>
      </c>
      <c r="G3" s="16">
        <f>'Product Breakdown (iPhone Bump)'!O18</f>
        <v>250164.95423655305</v>
      </c>
      <c r="H3" s="16">
        <f>'Product Breakdown (iPhone Bump)'!T18</f>
        <v>315322.58260341379</v>
      </c>
      <c r="I3" s="16">
        <f>'Product Breakdown (iPhone Bump)'!X18</f>
        <v>406896.32131234824</v>
      </c>
    </row>
    <row r="4" spans="1:13" x14ac:dyDescent="0.3">
      <c r="A4" t="s">
        <v>15</v>
      </c>
      <c r="B4">
        <v>112258</v>
      </c>
      <c r="C4">
        <v>140089</v>
      </c>
      <c r="D4">
        <v>131376</v>
      </c>
      <c r="G4" s="16">
        <f>G3*$F$5</f>
        <v>151996.97951725035</v>
      </c>
      <c r="H4" s="16">
        <f t="shared" ref="H4:I4" si="0">H3*$F$5</f>
        <v>191585.90888785059</v>
      </c>
      <c r="I4" s="16">
        <f t="shared" si="0"/>
        <v>247224.92407020248</v>
      </c>
    </row>
    <row r="5" spans="1:13" s="2" customFormat="1" x14ac:dyDescent="0.3">
      <c r="B5" s="2">
        <f>B4/B3</f>
        <v>0.61411964222216142</v>
      </c>
      <c r="C5" s="2">
        <f t="shared" ref="C5:D5" si="1">C4/C3</f>
        <v>0.59940097982585627</v>
      </c>
      <c r="D5" s="2">
        <f t="shared" si="1"/>
        <v>0.60924044351902951</v>
      </c>
      <c r="E5" s="2" t="s">
        <v>43</v>
      </c>
      <c r="F5" s="2">
        <f>AVERAGE(B5:D5)</f>
        <v>0.60758702185568236</v>
      </c>
    </row>
    <row r="6" spans="1:13" x14ac:dyDescent="0.3">
      <c r="A6" t="s">
        <v>16</v>
      </c>
      <c r="B6">
        <v>70537</v>
      </c>
      <c r="C6">
        <v>93626</v>
      </c>
      <c r="D6">
        <v>84263</v>
      </c>
      <c r="G6" s="16">
        <f>G3-G4</f>
        <v>98167.9747193027</v>
      </c>
      <c r="H6" s="16">
        <f t="shared" ref="H6:I6" si="2">H3-H4</f>
        <v>123736.6737155632</v>
      </c>
      <c r="I6" s="16">
        <f t="shared" si="2"/>
        <v>159671.39724214576</v>
      </c>
    </row>
    <row r="7" spans="1:13" x14ac:dyDescent="0.3">
      <c r="A7" t="s">
        <v>17</v>
      </c>
    </row>
    <row r="8" spans="1:13" x14ac:dyDescent="0.3">
      <c r="A8" t="s">
        <v>45</v>
      </c>
      <c r="B8">
        <v>6041</v>
      </c>
      <c r="C8">
        <v>8067</v>
      </c>
      <c r="D8">
        <v>10045</v>
      </c>
      <c r="G8" s="16">
        <f>G3*G9</f>
        <v>11898.14029587115</v>
      </c>
      <c r="H8" s="16">
        <f t="shared" ref="H8:I8" si="3">H3*H9</f>
        <v>18746.392443944325</v>
      </c>
      <c r="I8" s="16">
        <f t="shared" si="3"/>
        <v>30238.232781888164</v>
      </c>
      <c r="K8" s="16"/>
      <c r="L8" s="16"/>
      <c r="M8" s="16"/>
    </row>
    <row r="9" spans="1:13" s="2" customFormat="1" x14ac:dyDescent="0.3">
      <c r="B9" s="2">
        <f>B8/B3</f>
        <v>3.3047949889220163E-2</v>
      </c>
      <c r="C9" s="2">
        <f t="shared" ref="C9:D9" si="4">C8/C3</f>
        <v>3.4516398177267184E-2</v>
      </c>
      <c r="D9" s="2">
        <f t="shared" si="4"/>
        <v>4.6582482760539605E-2</v>
      </c>
      <c r="E9" s="2" t="s">
        <v>44</v>
      </c>
      <c r="F9" s="3">
        <f>AVERAGE(B9:D9)</f>
        <v>3.8048943609008984E-2</v>
      </c>
      <c r="G9" s="2">
        <f>F9*(1+$F$10)</f>
        <v>4.756117951126123E-2</v>
      </c>
      <c r="H9" s="2">
        <f>G9*(1+$F$10)</f>
        <v>5.9451474389076539E-2</v>
      </c>
      <c r="I9" s="2">
        <f>H9*(1+$F$10)</f>
        <v>7.4314342986345677E-2</v>
      </c>
    </row>
    <row r="10" spans="1:13" s="2" customFormat="1" x14ac:dyDescent="0.3">
      <c r="C10" s="2">
        <f>C9/B9-1</f>
        <v>4.4433869361621525E-2</v>
      </c>
      <c r="D10" s="2">
        <f>D9/C9-1</f>
        <v>0.34957542560797239</v>
      </c>
      <c r="E10" s="2" t="s">
        <v>120</v>
      </c>
      <c r="F10" s="2">
        <v>0.25</v>
      </c>
      <c r="G10" s="27"/>
    </row>
    <row r="11" spans="1:13" x14ac:dyDescent="0.3">
      <c r="A11" t="s">
        <v>46</v>
      </c>
      <c r="B11">
        <v>11993</v>
      </c>
      <c r="C11">
        <v>14329</v>
      </c>
      <c r="D11">
        <v>14194</v>
      </c>
      <c r="F11" s="25"/>
      <c r="G11" s="16">
        <f>$F$12*G3</f>
        <v>16072.406440230907</v>
      </c>
      <c r="H11" s="16">
        <f>$F$12*H3</f>
        <v>20258.603859408362</v>
      </c>
      <c r="I11" s="16">
        <f>$F$12*I3</f>
        <v>26141.963310268031</v>
      </c>
    </row>
    <row r="12" spans="1:13" x14ac:dyDescent="0.3">
      <c r="B12" s="2">
        <f>B11/B3</f>
        <v>6.5609015563883044E-2</v>
      </c>
      <c r="C12" s="2">
        <f>C11/C3</f>
        <v>6.1309714823609952E-2</v>
      </c>
      <c r="D12" s="2">
        <f>D11/D3</f>
        <v>6.5822972653369755E-2</v>
      </c>
      <c r="E12" t="s">
        <v>43</v>
      </c>
      <c r="F12" s="3">
        <f>AVERAGE(B12:D12)</f>
        <v>6.4247234346954243E-2</v>
      </c>
    </row>
    <row r="13" spans="1:13" x14ac:dyDescent="0.3">
      <c r="A13" t="s">
        <v>18</v>
      </c>
      <c r="B13">
        <v>18034</v>
      </c>
      <c r="C13">
        <v>22396</v>
      </c>
      <c r="D13">
        <v>24239</v>
      </c>
      <c r="G13" s="16">
        <f>G11+G8</f>
        <v>27970.546736102056</v>
      </c>
      <c r="H13" s="16">
        <f>H11+H8</f>
        <v>39004.996303352687</v>
      </c>
      <c r="I13" s="16">
        <f>I11+I8</f>
        <v>56380.196092156199</v>
      </c>
    </row>
    <row r="14" spans="1:13" x14ac:dyDescent="0.3">
      <c r="A14" t="s">
        <v>47</v>
      </c>
      <c r="B14">
        <v>52503</v>
      </c>
      <c r="C14">
        <v>71230</v>
      </c>
      <c r="D14">
        <v>60024</v>
      </c>
      <c r="G14" s="16">
        <f>G6-G13</f>
        <v>70197.427983200643</v>
      </c>
      <c r="H14" s="16">
        <f>H6-H13</f>
        <v>84731.677412210513</v>
      </c>
      <c r="I14" s="16">
        <f>I6-I13</f>
        <v>103291.20114998956</v>
      </c>
    </row>
    <row r="15" spans="1:13" x14ac:dyDescent="0.3">
      <c r="A15" t="s">
        <v>123</v>
      </c>
      <c r="G15" s="2">
        <f>G13/G14</f>
        <v>0.39845543547259099</v>
      </c>
      <c r="H15" s="2">
        <f t="shared" ref="H15:I15" si="5">H13/H14</f>
        <v>0.46033546714291479</v>
      </c>
      <c r="I15" s="2">
        <f t="shared" si="5"/>
        <v>0.54583735559707836</v>
      </c>
    </row>
    <row r="16" spans="1:13" x14ac:dyDescent="0.3">
      <c r="A16" t="s">
        <v>19</v>
      </c>
      <c r="B16">
        <v>384</v>
      </c>
      <c r="C16">
        <v>733</v>
      </c>
      <c r="D16">
        <v>1456</v>
      </c>
    </row>
    <row r="17" spans="1:11" x14ac:dyDescent="0.3">
      <c r="A17" t="s">
        <v>20</v>
      </c>
      <c r="B17">
        <v>1364</v>
      </c>
      <c r="C17">
        <v>2018</v>
      </c>
      <c r="D17">
        <v>2804</v>
      </c>
    </row>
    <row r="18" spans="1:11" x14ac:dyDescent="0.3">
      <c r="A18" t="s">
        <v>21</v>
      </c>
      <c r="B18">
        <v>53483</v>
      </c>
      <c r="C18">
        <v>72515</v>
      </c>
      <c r="D18">
        <v>61372</v>
      </c>
    </row>
    <row r="19" spans="1:11" x14ac:dyDescent="0.3">
      <c r="A19" t="s">
        <v>22</v>
      </c>
      <c r="B19">
        <v>13973</v>
      </c>
      <c r="C19">
        <v>19121</v>
      </c>
      <c r="D19">
        <v>15685</v>
      </c>
      <c r="H19">
        <v>9.2899999999999991</v>
      </c>
    </row>
    <row r="20" spans="1:11" x14ac:dyDescent="0.3">
      <c r="A20" t="s">
        <v>23</v>
      </c>
      <c r="B20">
        <v>39510</v>
      </c>
      <c r="C20">
        <v>53394</v>
      </c>
      <c r="D20">
        <v>45687</v>
      </c>
      <c r="J20">
        <v>0.8</v>
      </c>
    </row>
    <row r="21" spans="1:11" x14ac:dyDescent="0.3">
      <c r="A21" t="s">
        <v>24</v>
      </c>
      <c r="B21">
        <v>39510</v>
      </c>
      <c r="C21">
        <v>53394</v>
      </c>
      <c r="D21">
        <v>45687</v>
      </c>
    </row>
    <row r="22" spans="1:11" x14ac:dyDescent="0.3">
      <c r="A22" t="s">
        <v>25</v>
      </c>
      <c r="B22">
        <v>39510</v>
      </c>
      <c r="C22">
        <v>53394</v>
      </c>
      <c r="D22">
        <v>45687</v>
      </c>
    </row>
    <row r="23" spans="1:11" x14ac:dyDescent="0.3">
      <c r="A23" t="s">
        <v>26</v>
      </c>
    </row>
    <row r="24" spans="1:11" x14ac:dyDescent="0.3">
      <c r="A24" t="s">
        <v>27</v>
      </c>
      <c r="B24">
        <v>6.49</v>
      </c>
      <c r="C24">
        <v>9.2799999999999994</v>
      </c>
      <c r="D24">
        <v>8.35</v>
      </c>
    </row>
    <row r="25" spans="1:11" x14ac:dyDescent="0.3">
      <c r="A25" t="s">
        <v>28</v>
      </c>
      <c r="B25">
        <v>6.45</v>
      </c>
      <c r="C25">
        <v>9.2200000000000006</v>
      </c>
      <c r="D25">
        <v>8.31</v>
      </c>
      <c r="K25">
        <f>3.45/3.3-1</f>
        <v>4.5454545454545636E-2</v>
      </c>
    </row>
    <row r="26" spans="1:11" x14ac:dyDescent="0.3">
      <c r="A26" t="s">
        <v>29</v>
      </c>
    </row>
    <row r="27" spans="1:11" x14ac:dyDescent="0.3">
      <c r="A27" t="s">
        <v>27</v>
      </c>
      <c r="B27">
        <v>6086</v>
      </c>
      <c r="C27">
        <v>5753</v>
      </c>
      <c r="D27">
        <v>5471</v>
      </c>
    </row>
    <row r="28" spans="1:11" x14ac:dyDescent="0.3">
      <c r="A28" t="s">
        <v>28</v>
      </c>
      <c r="B28">
        <v>6123</v>
      </c>
      <c r="C28">
        <v>5793</v>
      </c>
      <c r="D28">
        <v>5500</v>
      </c>
    </row>
    <row r="29" spans="1:11" x14ac:dyDescent="0.3">
      <c r="A29" t="s">
        <v>30</v>
      </c>
      <c r="B29">
        <v>61813</v>
      </c>
      <c r="C29">
        <v>84505</v>
      </c>
      <c r="D29">
        <v>73333</v>
      </c>
    </row>
  </sheetData>
  <mergeCells count="2">
    <mergeCell ref="B1:D1"/>
    <mergeCell ref="G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2"/>
  <sheetViews>
    <sheetView topLeftCell="A14" workbookViewId="0">
      <selection activeCell="N36" sqref="N36"/>
    </sheetView>
  </sheetViews>
  <sheetFormatPr defaultRowHeight="14.4" x14ac:dyDescent="0.3"/>
  <cols>
    <col min="1" max="1" width="16.6640625" customWidth="1"/>
    <col min="2" max="2" width="11" style="16" customWidth="1"/>
    <col min="3" max="4" width="10.6640625" style="16" customWidth="1"/>
    <col min="5" max="5" width="12.44140625" style="16" customWidth="1"/>
  </cols>
  <sheetData>
    <row r="1" spans="1:5" x14ac:dyDescent="0.3">
      <c r="C1" s="23">
        <v>2017</v>
      </c>
      <c r="D1" s="23">
        <f>C1+1</f>
        <v>2018</v>
      </c>
      <c r="E1" s="23">
        <f>D1+1</f>
        <v>2019</v>
      </c>
    </row>
    <row r="2" spans="1:5" s="6" customFormat="1" x14ac:dyDescent="0.3">
      <c r="A2" s="6" t="s">
        <v>94</v>
      </c>
      <c r="B2" s="19"/>
      <c r="C2" s="19"/>
      <c r="D2" s="19"/>
      <c r="E2" s="19"/>
    </row>
    <row r="4" spans="1:5" x14ac:dyDescent="0.3">
      <c r="A4" t="s">
        <v>95</v>
      </c>
    </row>
    <row r="5" spans="1:5" x14ac:dyDescent="0.3">
      <c r="A5" t="s">
        <v>96</v>
      </c>
      <c r="B5" s="16">
        <f>BS!D11</f>
        <v>15754</v>
      </c>
      <c r="C5" s="16">
        <f>BS!G11</f>
        <v>19461.467013380832</v>
      </c>
      <c r="D5" s="16">
        <f>BS!H11</f>
        <v>22550.747826236795</v>
      </c>
      <c r="E5" s="16">
        <f>BS!I11</f>
        <v>26338.877418838394</v>
      </c>
    </row>
    <row r="6" spans="1:5" x14ac:dyDescent="0.3">
      <c r="A6" s="8" t="s">
        <v>56</v>
      </c>
      <c r="B6" s="20">
        <f>BS!D13</f>
        <v>2132</v>
      </c>
      <c r="C6" s="20">
        <f>BS!G13</f>
        <v>2546.1189962863696</v>
      </c>
      <c r="D6" s="20">
        <f>BS!H13</f>
        <v>2950.285678945364</v>
      </c>
      <c r="E6" s="20">
        <f>BS!I13</f>
        <v>3445.8818593096694</v>
      </c>
    </row>
    <row r="7" spans="1:5" x14ac:dyDescent="0.3">
      <c r="A7" s="6" t="s">
        <v>97</v>
      </c>
      <c r="B7" s="19">
        <f>BS!D16</f>
        <v>21828</v>
      </c>
      <c r="C7" s="19">
        <f>BS!G16</f>
        <v>24810.091432589481</v>
      </c>
      <c r="D7" s="19">
        <f>BS!H16</f>
        <v>28748.403964486635</v>
      </c>
      <c r="E7" s="19">
        <f>BS!I16</f>
        <v>33577.630943435579</v>
      </c>
    </row>
    <row r="8" spans="1:5" x14ac:dyDescent="0.3">
      <c r="A8" t="s">
        <v>41</v>
      </c>
      <c r="B8" s="16">
        <f t="shared" ref="B8" si="0">SUM(B5:B7)</f>
        <v>39714</v>
      </c>
      <c r="C8" s="16">
        <f>SUM(C5:C7)</f>
        <v>46817.677442256681</v>
      </c>
      <c r="D8" s="16">
        <f t="shared" ref="D8:E8" si="1">SUM(D5:D7)</f>
        <v>54249.437469668796</v>
      </c>
      <c r="E8" s="16">
        <f t="shared" si="1"/>
        <v>63362.390221583642</v>
      </c>
    </row>
    <row r="10" spans="1:5" x14ac:dyDescent="0.3">
      <c r="A10" t="s">
        <v>98</v>
      </c>
    </row>
    <row r="11" spans="1:5" x14ac:dyDescent="0.3">
      <c r="A11" t="s">
        <v>101</v>
      </c>
      <c r="B11" s="16">
        <f>BS!D34</f>
        <v>11605</v>
      </c>
      <c r="C11" s="16">
        <f>BS!G34</f>
        <v>10948.066049136703</v>
      </c>
      <c r="D11" s="16">
        <f>BS!H34</f>
        <v>12685.943792896904</v>
      </c>
      <c r="E11" s="16">
        <f>BS!I34</f>
        <v>14816.959556198653</v>
      </c>
    </row>
    <row r="12" spans="1:5" x14ac:dyDescent="0.3">
      <c r="A12" t="s">
        <v>99</v>
      </c>
      <c r="B12" s="16">
        <f>BS!D36</f>
        <v>37294</v>
      </c>
      <c r="C12" s="16">
        <f>BS!G36</f>
        <v>39622.915969385002</v>
      </c>
      <c r="D12" s="16">
        <f>BS!H36</f>
        <v>45912.591561130699</v>
      </c>
      <c r="E12" s="16">
        <f>BS!I36</f>
        <v>53625.100614307106</v>
      </c>
    </row>
    <row r="13" spans="1:5" x14ac:dyDescent="0.3">
      <c r="A13" s="6" t="s">
        <v>100</v>
      </c>
      <c r="B13" s="19">
        <f>BS!D39</f>
        <v>22027</v>
      </c>
      <c r="C13" s="19">
        <f>BS!G39</f>
        <v>20374.207889286674</v>
      </c>
      <c r="D13" s="19">
        <f>BS!H39</f>
        <v>23608.375666373369</v>
      </c>
      <c r="E13" s="19">
        <f>BS!I39</f>
        <v>27574.168161777656</v>
      </c>
    </row>
    <row r="14" spans="1:5" x14ac:dyDescent="0.3">
      <c r="A14" s="17" t="s">
        <v>41</v>
      </c>
      <c r="B14" s="16">
        <f t="shared" ref="B14" si="2">SUM(B11:B13)</f>
        <v>70926</v>
      </c>
      <c r="C14" s="16">
        <f>SUM(C11:C13)</f>
        <v>70945.189907808381</v>
      </c>
      <c r="D14" s="16">
        <f t="shared" ref="D14:E14" si="3">SUM(D11:D13)</f>
        <v>82206.911020400978</v>
      </c>
      <c r="E14" s="16">
        <f t="shared" si="3"/>
        <v>96016.228332283412</v>
      </c>
    </row>
    <row r="16" spans="1:5" x14ac:dyDescent="0.3">
      <c r="A16" t="s">
        <v>104</v>
      </c>
      <c r="B16" s="16">
        <f t="shared" ref="B16" si="4">B8-B14</f>
        <v>-31212</v>
      </c>
      <c r="C16" s="16">
        <f>C8-C14</f>
        <v>-24127.512465551699</v>
      </c>
      <c r="D16" s="16">
        <f t="shared" ref="D16:E16" si="5">D8-D14</f>
        <v>-27957.473550732182</v>
      </c>
      <c r="E16" s="16">
        <f t="shared" si="5"/>
        <v>-32653.838110699769</v>
      </c>
    </row>
    <row r="17" spans="1:6" x14ac:dyDescent="0.3">
      <c r="A17" t="s">
        <v>94</v>
      </c>
      <c r="C17" s="16">
        <f>C16-B16</f>
        <v>7084.4875344483007</v>
      </c>
      <c r="D17" s="16">
        <f t="shared" ref="D17:E17" si="6">D16-C16</f>
        <v>-3829.9610851804828</v>
      </c>
      <c r="E17" s="16">
        <f t="shared" si="6"/>
        <v>-4696.3645599675874</v>
      </c>
    </row>
    <row r="19" spans="1:6" s="6" customFormat="1" x14ac:dyDescent="0.3">
      <c r="A19" s="6" t="s">
        <v>102</v>
      </c>
      <c r="B19" s="19"/>
      <c r="C19" s="19"/>
      <c r="D19" s="19"/>
      <c r="E19" s="19"/>
    </row>
    <row r="20" spans="1:6" x14ac:dyDescent="0.3">
      <c r="A20" s="18" t="s">
        <v>103</v>
      </c>
      <c r="B20" s="21">
        <f>BS!D23</f>
        <v>27010</v>
      </c>
      <c r="C20" s="21">
        <f>BS!G23</f>
        <v>27027.380067048347</v>
      </c>
      <c r="D20" s="21">
        <f>BS!H23</f>
        <v>31317.661298442195</v>
      </c>
      <c r="E20" s="21">
        <f>BS!I23</f>
        <v>36578.478387517869</v>
      </c>
      <c r="F20" t="s">
        <v>117</v>
      </c>
    </row>
    <row r="21" spans="1:6" x14ac:dyDescent="0.3">
      <c r="A21" s="17" t="s">
        <v>102</v>
      </c>
      <c r="B21" s="22"/>
      <c r="C21" s="16">
        <f>C20-B20</f>
        <v>17.380067048346973</v>
      </c>
      <c r="D21" s="16">
        <f t="shared" ref="D21:E21" si="7">D20-C20</f>
        <v>4290.2812313938484</v>
      </c>
      <c r="E21" s="16">
        <f t="shared" si="7"/>
        <v>5260.8170890756737</v>
      </c>
    </row>
    <row r="23" spans="1:6" x14ac:dyDescent="0.3">
      <c r="A23" t="s">
        <v>47</v>
      </c>
      <c r="C23" s="16">
        <f>'IS (iPhone Bump) '!G14</f>
        <v>70197.427983200643</v>
      </c>
      <c r="D23" s="16">
        <f>'IS (iPhone Bump) '!H14</f>
        <v>84731.677412210513</v>
      </c>
      <c r="E23" s="16">
        <f>'IS (iPhone Bump) '!I14</f>
        <v>103291.20114998956</v>
      </c>
    </row>
    <row r="24" spans="1:6" x14ac:dyDescent="0.3">
      <c r="A24" t="s">
        <v>121</v>
      </c>
      <c r="C24" s="16">
        <f>C23*(1-$B$34)</f>
        <v>52648.070987400482</v>
      </c>
      <c r="D24" s="16">
        <f t="shared" ref="D24:E24" si="8">D23*(1-$B$34)</f>
        <v>63548.758059157888</v>
      </c>
      <c r="E24" s="16">
        <f t="shared" si="8"/>
        <v>77468.40086249217</v>
      </c>
    </row>
    <row r="25" spans="1:6" x14ac:dyDescent="0.3">
      <c r="A25" t="s">
        <v>94</v>
      </c>
      <c r="C25" s="16">
        <f t="shared" ref="C25:E25" si="9">C17</f>
        <v>7084.4875344483007</v>
      </c>
      <c r="D25" s="16">
        <f t="shared" si="9"/>
        <v>-3829.9610851804828</v>
      </c>
      <c r="E25" s="16">
        <f t="shared" si="9"/>
        <v>-4696.3645599675874</v>
      </c>
    </row>
    <row r="26" spans="1:6" x14ac:dyDescent="0.3">
      <c r="A26" s="6" t="s">
        <v>102</v>
      </c>
      <c r="B26" s="19"/>
      <c r="C26" s="19">
        <f>C21</f>
        <v>17.380067048346973</v>
      </c>
      <c r="D26" s="19">
        <f t="shared" ref="D26:E26" si="10">D21</f>
        <v>4290.2812313938484</v>
      </c>
      <c r="E26" s="19">
        <f t="shared" si="10"/>
        <v>5260.8170890756737</v>
      </c>
    </row>
    <row r="27" spans="1:6" x14ac:dyDescent="0.3">
      <c r="A27" t="s">
        <v>105</v>
      </c>
      <c r="C27" s="16">
        <f>C24-C25-C26</f>
        <v>45546.203385903835</v>
      </c>
      <c r="D27" s="16">
        <f t="shared" ref="D27:E27" si="11">D24-D25-D26</f>
        <v>63088.437912944515</v>
      </c>
      <c r="E27" s="16">
        <f t="shared" si="11"/>
        <v>76903.948333384076</v>
      </c>
    </row>
    <row r="28" spans="1:6" x14ac:dyDescent="0.3">
      <c r="E28" s="16">
        <f>(E27*(1+B33))/(B32-B33)</f>
        <v>925362.92971244862</v>
      </c>
    </row>
    <row r="29" spans="1:6" x14ac:dyDescent="0.3">
      <c r="C29" s="16">
        <f>SUM(C27:C28)</f>
        <v>45546.203385903835</v>
      </c>
      <c r="D29" s="16">
        <f t="shared" ref="D29:E29" si="12">SUM(D27:D28)</f>
        <v>63088.437912944515</v>
      </c>
      <c r="E29" s="16">
        <f t="shared" si="12"/>
        <v>1002266.8780458327</v>
      </c>
    </row>
    <row r="32" spans="1:6" x14ac:dyDescent="0.3">
      <c r="A32" t="s">
        <v>106</v>
      </c>
      <c r="B32" s="2">
        <v>0.11559999999999999</v>
      </c>
    </row>
    <row r="33" spans="1:2" x14ac:dyDescent="0.3">
      <c r="A33" t="s">
        <v>108</v>
      </c>
      <c r="B33" s="2">
        <v>0.03</v>
      </c>
    </row>
    <row r="34" spans="1:2" x14ac:dyDescent="0.3">
      <c r="A34" t="s">
        <v>118</v>
      </c>
      <c r="B34" s="2">
        <v>0.25</v>
      </c>
    </row>
    <row r="36" spans="1:2" x14ac:dyDescent="0.3">
      <c r="A36" t="s">
        <v>107</v>
      </c>
      <c r="B36" s="16">
        <f>NPV(B32,C29:E29)</f>
        <v>813385.98444804642</v>
      </c>
    </row>
    <row r="37" spans="1:2" x14ac:dyDescent="0.3">
      <c r="A37" t="s">
        <v>109</v>
      </c>
      <c r="B37" s="16">
        <f>BS!D45-BS!D9</f>
        <v>8272</v>
      </c>
    </row>
    <row r="38" spans="1:2" x14ac:dyDescent="0.3">
      <c r="A38" t="s">
        <v>110</v>
      </c>
      <c r="B38" s="16">
        <f>B36-B37</f>
        <v>805113.98444804642</v>
      </c>
    </row>
    <row r="39" spans="1:2" x14ac:dyDescent="0.3">
      <c r="A39" t="s">
        <v>111</v>
      </c>
      <c r="B39" s="23">
        <f>IS!D26</f>
        <v>5471</v>
      </c>
    </row>
    <row r="40" spans="1:2" x14ac:dyDescent="0.3">
      <c r="A40" t="s">
        <v>112</v>
      </c>
      <c r="B40" s="16">
        <f>B38/B39</f>
        <v>147.16029691976721</v>
      </c>
    </row>
    <row r="41" spans="1:2" x14ac:dyDescent="0.3">
      <c r="A41" t="s">
        <v>114</v>
      </c>
      <c r="B41" s="16">
        <v>130.29</v>
      </c>
    </row>
    <row r="42" spans="1:2" x14ac:dyDescent="0.3">
      <c r="A42" t="s">
        <v>115</v>
      </c>
      <c r="B42" s="2">
        <f>B40/B41-1</f>
        <v>0.12948266881393211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F40"/>
  <sheetViews>
    <sheetView topLeftCell="E3" workbookViewId="0">
      <selection activeCell="T36" sqref="T36:T67"/>
    </sheetView>
  </sheetViews>
  <sheetFormatPr defaultRowHeight="14.4" x14ac:dyDescent="0.3"/>
  <cols>
    <col min="2" max="2" width="12.33203125" customWidth="1"/>
    <col min="3" max="15" width="8" customWidth="1"/>
    <col min="16" max="16" width="12.77734375" customWidth="1"/>
    <col min="17" max="17" width="10.88671875" style="7" customWidth="1"/>
    <col min="18" max="23" width="8.5546875" customWidth="1"/>
    <col min="24" max="25" width="9.5546875" customWidth="1"/>
    <col min="26" max="26" width="8.5546875" customWidth="1"/>
    <col min="27" max="27" width="9.5546875" customWidth="1"/>
  </cols>
  <sheetData>
    <row r="2" spans="2:27" x14ac:dyDescent="0.3">
      <c r="C2" s="30" t="s">
        <v>38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4"/>
    </row>
    <row r="3" spans="2:27" x14ac:dyDescent="0.3">
      <c r="B3" t="s">
        <v>40</v>
      </c>
      <c r="D3">
        <v>2014</v>
      </c>
      <c r="H3">
        <f>D3+1</f>
        <v>2015</v>
      </c>
      <c r="L3">
        <f>H3+1</f>
        <v>2016</v>
      </c>
      <c r="P3" t="s">
        <v>36</v>
      </c>
      <c r="Q3" s="7">
        <f>L3+1</f>
        <v>2017</v>
      </c>
      <c r="U3">
        <f>Q3+1</f>
        <v>2018</v>
      </c>
      <c r="Y3">
        <f>U3+1</f>
        <v>2019</v>
      </c>
    </row>
    <row r="4" spans="2:27" x14ac:dyDescent="0.3">
      <c r="B4" t="s">
        <v>39</v>
      </c>
      <c r="C4" t="s">
        <v>0</v>
      </c>
      <c r="D4" t="s">
        <v>6</v>
      </c>
      <c r="E4" t="s">
        <v>7</v>
      </c>
      <c r="F4" t="s">
        <v>8</v>
      </c>
      <c r="G4" t="str">
        <f>C4</f>
        <v>Q1</v>
      </c>
      <c r="H4" t="str">
        <f t="shared" ref="H4:O4" si="0">D4</f>
        <v>Q2</v>
      </c>
      <c r="I4" t="str">
        <f t="shared" si="0"/>
        <v>Q3</v>
      </c>
      <c r="J4" t="str">
        <f t="shared" si="0"/>
        <v>Q4</v>
      </c>
      <c r="K4" t="str">
        <f t="shared" si="0"/>
        <v>Q1</v>
      </c>
      <c r="L4" t="str">
        <f t="shared" si="0"/>
        <v>Q2</v>
      </c>
      <c r="M4" t="str">
        <f t="shared" si="0"/>
        <v>Q3</v>
      </c>
      <c r="N4" t="str">
        <f t="shared" si="0"/>
        <v>Q4</v>
      </c>
      <c r="O4" t="str">
        <f t="shared" si="0"/>
        <v>Q1</v>
      </c>
      <c r="Q4" s="7" t="str">
        <f>L4</f>
        <v>Q2</v>
      </c>
      <c r="R4" t="str">
        <f>M4</f>
        <v>Q3</v>
      </c>
      <c r="S4" t="str">
        <f>N4</f>
        <v>Q4</v>
      </c>
      <c r="T4" t="str">
        <f>O4</f>
        <v>Q1</v>
      </c>
      <c r="U4" t="str">
        <f t="shared" ref="U4:AA4" si="1">Q4</f>
        <v>Q2</v>
      </c>
      <c r="V4" t="str">
        <f t="shared" si="1"/>
        <v>Q3</v>
      </c>
      <c r="W4" t="str">
        <f t="shared" si="1"/>
        <v>Q4</v>
      </c>
      <c r="X4" t="str">
        <f t="shared" si="1"/>
        <v>Q1</v>
      </c>
      <c r="Y4" t="str">
        <f t="shared" si="1"/>
        <v>Q2</v>
      </c>
      <c r="Z4" t="str">
        <f t="shared" si="1"/>
        <v>Q3</v>
      </c>
      <c r="AA4" t="str">
        <f t="shared" si="1"/>
        <v>Q4</v>
      </c>
    </row>
    <row r="5" spans="2:27" x14ac:dyDescent="0.3">
      <c r="B5" t="s">
        <v>1</v>
      </c>
      <c r="C5" s="2">
        <v>0.56430000000000002</v>
      </c>
      <c r="D5" s="2">
        <v>0.57099999999999995</v>
      </c>
      <c r="E5" s="2">
        <v>0.52769999999999995</v>
      </c>
      <c r="F5" s="2">
        <v>0.56210000000000004</v>
      </c>
      <c r="G5" s="2">
        <v>0.68610000000000004</v>
      </c>
      <c r="H5" s="2">
        <v>0.69440000000000002</v>
      </c>
      <c r="I5" s="2">
        <v>0.63239999999999996</v>
      </c>
      <c r="J5" s="2">
        <v>0.62539999999999996</v>
      </c>
      <c r="K5" s="2">
        <v>0.68059999999999998</v>
      </c>
      <c r="L5" s="2">
        <v>0.64990000000000003</v>
      </c>
      <c r="M5" s="2">
        <v>0.56769999999999998</v>
      </c>
      <c r="N5" s="2">
        <v>0.60099999999999998</v>
      </c>
      <c r="O5" s="2">
        <v>0.69400000000000006</v>
      </c>
      <c r="P5" s="2"/>
    </row>
    <row r="6" spans="2:27" x14ac:dyDescent="0.3">
      <c r="B6" t="s">
        <v>2</v>
      </c>
      <c r="C6" s="2">
        <v>0.1991</v>
      </c>
      <c r="D6" s="2">
        <v>0.16669999999999999</v>
      </c>
      <c r="E6" s="2">
        <v>0.1573</v>
      </c>
      <c r="F6" s="2">
        <v>0.12620000000000001</v>
      </c>
      <c r="G6" s="2">
        <v>0.1202</v>
      </c>
      <c r="H6" s="2">
        <v>9.3600000000000003E-2</v>
      </c>
      <c r="I6" s="2">
        <v>9.1399999999999995E-2</v>
      </c>
      <c r="J6" s="2">
        <v>8.3000000000000004E-2</v>
      </c>
      <c r="K6" s="2">
        <v>9.3399999999999997E-2</v>
      </c>
      <c r="L6" s="2">
        <v>8.7300000000000003E-2</v>
      </c>
      <c r="M6" s="2">
        <v>0.11509999999999999</v>
      </c>
      <c r="N6" s="2">
        <v>9.0800000000000006E-2</v>
      </c>
      <c r="O6" s="2">
        <v>7.0599999999999996E-2</v>
      </c>
      <c r="P6" s="2"/>
    </row>
    <row r="7" spans="2:27" x14ac:dyDescent="0.3">
      <c r="B7" t="s">
        <v>3</v>
      </c>
      <c r="C7" s="2">
        <v>0.111</v>
      </c>
      <c r="D7" s="2">
        <v>0.12089999999999999</v>
      </c>
      <c r="E7" s="2">
        <v>0.14799999999999999</v>
      </c>
      <c r="F7" s="2">
        <v>0.1573</v>
      </c>
      <c r="G7" s="2">
        <v>9.3200000000000005E-2</v>
      </c>
      <c r="H7" s="2">
        <v>9.6799999999999997E-2</v>
      </c>
      <c r="I7" s="2">
        <v>0.1216</v>
      </c>
      <c r="J7" s="2">
        <v>0.1336</v>
      </c>
      <c r="K7" s="2">
        <v>8.8900000000000007E-2</v>
      </c>
      <c r="L7" s="2">
        <v>0.10100000000000001</v>
      </c>
      <c r="M7" s="2">
        <v>0.1237</v>
      </c>
      <c r="N7" s="2">
        <v>0.1225</v>
      </c>
      <c r="O7" s="2">
        <v>9.2499999999999999E-2</v>
      </c>
      <c r="P7" s="2"/>
    </row>
    <row r="8" spans="2:27" x14ac:dyDescent="0.3">
      <c r="B8" t="s">
        <v>4</v>
      </c>
      <c r="C8" s="2">
        <v>7.6300000000000007E-2</v>
      </c>
      <c r="D8" s="2">
        <v>0.1002</v>
      </c>
      <c r="E8" s="2">
        <v>0.1198</v>
      </c>
      <c r="F8" s="2">
        <v>0.1094</v>
      </c>
      <c r="G8" s="2">
        <v>6.4399999999999999E-2</v>
      </c>
      <c r="H8" s="2">
        <v>8.6099999999999996E-2</v>
      </c>
      <c r="I8" s="2">
        <v>0.1014</v>
      </c>
      <c r="J8" s="2">
        <v>9.8799999999999999E-2</v>
      </c>
      <c r="K8" s="2">
        <v>7.9799999999999996E-2</v>
      </c>
      <c r="L8" s="2">
        <v>0.11849999999999999</v>
      </c>
      <c r="M8" s="2">
        <v>0.1411</v>
      </c>
      <c r="N8" s="2">
        <v>0.13500000000000001</v>
      </c>
      <c r="O8" s="2">
        <v>9.1499999999999998E-2</v>
      </c>
      <c r="P8" s="2"/>
    </row>
    <row r="9" spans="2:27" x14ac:dyDescent="0.3">
      <c r="B9" t="s">
        <v>5</v>
      </c>
      <c r="C9" s="2">
        <v>4.9299999999999997E-2</v>
      </c>
      <c r="D9" s="2">
        <v>4.1200000000000001E-2</v>
      </c>
      <c r="E9" s="2">
        <v>4.7199999999999999E-2</v>
      </c>
      <c r="F9" s="2">
        <v>4.4999999999999998E-2</v>
      </c>
      <c r="G9" s="2">
        <v>3.61E-2</v>
      </c>
      <c r="H9" s="2">
        <v>2.9100000000000001E-2</v>
      </c>
      <c r="I9" s="2">
        <v>5.3199999999999997E-2</v>
      </c>
      <c r="J9" s="2">
        <v>5.9200000000000003E-2</v>
      </c>
      <c r="K9" s="2">
        <v>5.7299999999999997E-2</v>
      </c>
      <c r="L9" s="2">
        <v>4.3299999999999998E-2</v>
      </c>
      <c r="M9" s="2">
        <v>5.2400000000000002E-2</v>
      </c>
      <c r="N9" s="2">
        <v>5.0700000000000002E-2</v>
      </c>
      <c r="O9" s="2">
        <v>5.1399999999999994E-2</v>
      </c>
      <c r="P9" s="2"/>
    </row>
    <row r="10" spans="2:27" x14ac:dyDescent="0.3">
      <c r="C10" s="3">
        <f t="shared" ref="C10:O10" si="2">SUM(C5:C9)</f>
        <v>1</v>
      </c>
      <c r="D10" s="3">
        <f t="shared" si="2"/>
        <v>0.99999999999999989</v>
      </c>
      <c r="E10" s="3">
        <f t="shared" si="2"/>
        <v>1</v>
      </c>
      <c r="F10" s="3">
        <f t="shared" si="2"/>
        <v>1</v>
      </c>
      <c r="G10" s="3">
        <f t="shared" si="2"/>
        <v>1</v>
      </c>
      <c r="H10" s="3">
        <f t="shared" si="2"/>
        <v>1</v>
      </c>
      <c r="I10" s="3">
        <f t="shared" si="2"/>
        <v>1</v>
      </c>
      <c r="J10" s="3">
        <f t="shared" si="2"/>
        <v>0.99999999999999989</v>
      </c>
      <c r="K10" s="3">
        <f t="shared" si="2"/>
        <v>1</v>
      </c>
      <c r="L10" s="3">
        <f t="shared" si="2"/>
        <v>1</v>
      </c>
      <c r="M10" s="3">
        <f t="shared" si="2"/>
        <v>1</v>
      </c>
      <c r="N10" s="3">
        <f t="shared" si="2"/>
        <v>1</v>
      </c>
      <c r="O10" s="3">
        <f t="shared" si="2"/>
        <v>1</v>
      </c>
      <c r="P10" s="3"/>
    </row>
    <row r="12" spans="2:27" x14ac:dyDescent="0.3">
      <c r="B12" t="s">
        <v>1</v>
      </c>
      <c r="C12" s="3">
        <f>AVERAGE(C5:F5)</f>
        <v>0.55627499999999996</v>
      </c>
      <c r="G12" s="3">
        <f>AVERAGE(G5:J5)</f>
        <v>0.65957500000000002</v>
      </c>
      <c r="K12" s="3">
        <f>AVERAGE(K5:N5)</f>
        <v>0.62480000000000002</v>
      </c>
      <c r="L12" s="3"/>
    </row>
    <row r="13" spans="2:27" x14ac:dyDescent="0.3">
      <c r="B13" t="s">
        <v>2</v>
      </c>
      <c r="C13" s="3">
        <f t="shared" ref="C13:C16" si="3">AVERAGE(C6:F6)</f>
        <v>0.162325</v>
      </c>
      <c r="G13" s="3">
        <f t="shared" ref="G13:G16" si="4">AVERAGE(G6:J6)</f>
        <v>9.7049999999999997E-2</v>
      </c>
      <c r="K13" s="3">
        <f t="shared" ref="K13:K16" si="5">AVERAGE(K6:N6)</f>
        <v>9.665E-2</v>
      </c>
      <c r="L13" s="3"/>
    </row>
    <row r="14" spans="2:27" x14ac:dyDescent="0.3">
      <c r="B14" t="s">
        <v>3</v>
      </c>
      <c r="C14" s="3">
        <f t="shared" si="3"/>
        <v>0.1343</v>
      </c>
      <c r="G14" s="3">
        <f t="shared" si="4"/>
        <v>0.1113</v>
      </c>
      <c r="K14" s="3">
        <f t="shared" si="5"/>
        <v>0.109025</v>
      </c>
      <c r="L14" s="3"/>
    </row>
    <row r="15" spans="2:27" x14ac:dyDescent="0.3">
      <c r="B15" t="s">
        <v>4</v>
      </c>
      <c r="C15" s="3">
        <f t="shared" si="3"/>
        <v>0.101425</v>
      </c>
      <c r="G15" s="3">
        <f t="shared" si="4"/>
        <v>8.7675000000000003E-2</v>
      </c>
      <c r="K15" s="3">
        <f t="shared" si="5"/>
        <v>0.1186</v>
      </c>
      <c r="L15" s="3"/>
    </row>
    <row r="16" spans="2:27" x14ac:dyDescent="0.3">
      <c r="B16" t="s">
        <v>5</v>
      </c>
      <c r="C16" s="3">
        <f t="shared" si="3"/>
        <v>4.5674999999999993E-2</v>
      </c>
      <c r="G16" s="3">
        <f t="shared" si="4"/>
        <v>4.4400000000000002E-2</v>
      </c>
      <c r="K16" s="3">
        <f t="shared" si="5"/>
        <v>5.0924999999999998E-2</v>
      </c>
      <c r="L16" s="3"/>
    </row>
    <row r="17" spans="2:32" x14ac:dyDescent="0.3">
      <c r="C17" s="3">
        <f>SUM(C12:C16)</f>
        <v>0.99999999999999989</v>
      </c>
      <c r="G17" s="3">
        <f t="shared" ref="G17" si="6">SUM(G12:G16)</f>
        <v>1</v>
      </c>
      <c r="K17" s="3">
        <f t="shared" ref="K17" si="7">SUM(K12:K16)</f>
        <v>1</v>
      </c>
      <c r="L17" s="3"/>
      <c r="T17" s="2">
        <f>T18/O18-1</f>
        <v>0.21133168762289256</v>
      </c>
      <c r="X17" s="2">
        <f>X18/T18-1</f>
        <v>0.28578284324822012</v>
      </c>
    </row>
    <row r="18" spans="2:32" x14ac:dyDescent="0.3">
      <c r="C18" s="13">
        <f>SUM(C21:F21)</f>
        <v>182795</v>
      </c>
      <c r="G18" s="13">
        <f>SUM(G21:J21)</f>
        <v>233715</v>
      </c>
      <c r="K18" s="13">
        <f>SUM(K21:N21)</f>
        <v>215639</v>
      </c>
      <c r="O18" s="13">
        <f>SUM(O21:S21)</f>
        <v>245097.32956313126</v>
      </c>
      <c r="S18" s="13"/>
      <c r="T18" s="13">
        <f>SUM(T21:W21)</f>
        <v>296894.16185157205</v>
      </c>
      <c r="W18" s="13"/>
      <c r="X18" s="13">
        <f>SUM(X21:AA21)</f>
        <v>381741.41956931155</v>
      </c>
    </row>
    <row r="19" spans="2:32" x14ac:dyDescent="0.3">
      <c r="L19" s="15"/>
      <c r="Q19" s="14"/>
    </row>
    <row r="20" spans="2:32" x14ac:dyDescent="0.3"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2:32" x14ac:dyDescent="0.3">
      <c r="B21" t="s">
        <v>41</v>
      </c>
      <c r="C21" s="13">
        <v>57594</v>
      </c>
      <c r="D21" s="13">
        <v>45646</v>
      </c>
      <c r="E21" s="13">
        <v>37432</v>
      </c>
      <c r="F21" s="13">
        <v>42123</v>
      </c>
      <c r="G21" s="13">
        <v>74599</v>
      </c>
      <c r="H21" s="13">
        <v>58010</v>
      </c>
      <c r="I21" s="13">
        <v>49605</v>
      </c>
      <c r="J21" s="13">
        <v>51501</v>
      </c>
      <c r="K21" s="13">
        <v>75872</v>
      </c>
      <c r="L21" s="13">
        <v>50557</v>
      </c>
      <c r="M21" s="13">
        <v>42358</v>
      </c>
      <c r="N21" s="13">
        <v>46852</v>
      </c>
      <c r="O21" s="13">
        <v>78351</v>
      </c>
      <c r="Q21" s="14">
        <f>SUM(Q22,Q24,Q26,Q28,Q30)</f>
        <v>59824.686316572726</v>
      </c>
      <c r="R21" s="15">
        <f t="shared" ref="R21:AA21" si="8">SUM(R22,R24,R26,R28,R30)</f>
        <v>50661.629142140373</v>
      </c>
      <c r="S21" s="15">
        <f t="shared" si="8"/>
        <v>56260.014104418151</v>
      </c>
      <c r="T21" s="15">
        <f t="shared" si="8"/>
        <v>92690.075773761157</v>
      </c>
      <c r="U21" s="15">
        <f t="shared" si="8"/>
        <v>72565.279151199269</v>
      </c>
      <c r="V21" s="15">
        <f t="shared" si="8"/>
        <v>62132.222151013688</v>
      </c>
      <c r="W21" s="15">
        <f t="shared" si="8"/>
        <v>69506.584775597978</v>
      </c>
      <c r="X21" s="15">
        <f t="shared" si="8"/>
        <v>116694.26052660622</v>
      </c>
      <c r="Y21" s="15">
        <f t="shared" si="8"/>
        <v>93427.854594953606</v>
      </c>
      <c r="Z21" s="15">
        <f t="shared" si="8"/>
        <v>80719.766874227833</v>
      </c>
      <c r="AA21" s="15">
        <f t="shared" si="8"/>
        <v>90899.537573523849</v>
      </c>
      <c r="AB21" s="8"/>
      <c r="AC21" s="8"/>
      <c r="AD21" s="8"/>
      <c r="AE21" s="8"/>
      <c r="AF21" s="8"/>
    </row>
    <row r="22" spans="2:32" x14ac:dyDescent="0.3">
      <c r="B22" t="s">
        <v>1</v>
      </c>
      <c r="C22" s="13">
        <f>C$21*C5</f>
        <v>32500.2942</v>
      </c>
      <c r="D22" s="13">
        <f>D$21*D5</f>
        <v>26063.865999999998</v>
      </c>
      <c r="E22" s="13">
        <f t="shared" ref="E22:O22" si="9">E$21*E5</f>
        <v>19752.866399999999</v>
      </c>
      <c r="F22" s="13">
        <f t="shared" si="9"/>
        <v>23677.338300000003</v>
      </c>
      <c r="G22" s="13">
        <f t="shared" si="9"/>
        <v>51182.373900000006</v>
      </c>
      <c r="H22" s="13">
        <f t="shared" si="9"/>
        <v>40282.144</v>
      </c>
      <c r="I22" s="13">
        <f t="shared" si="9"/>
        <v>31370.201999999997</v>
      </c>
      <c r="J22" s="13">
        <f t="shared" si="9"/>
        <v>32208.725399999999</v>
      </c>
      <c r="K22" s="13">
        <f>K$21*K5</f>
        <v>51638.483199999995</v>
      </c>
      <c r="L22" s="13">
        <f t="shared" si="9"/>
        <v>32856.994299999998</v>
      </c>
      <c r="M22" s="13">
        <f t="shared" si="9"/>
        <v>24046.636599999998</v>
      </c>
      <c r="N22" s="13">
        <f t="shared" si="9"/>
        <v>28158.052</v>
      </c>
      <c r="O22" s="13">
        <f t="shared" si="9"/>
        <v>54375.594000000005</v>
      </c>
      <c r="Q22" s="14">
        <f>O22*(1+Q23)</f>
        <v>40333.610310413649</v>
      </c>
      <c r="R22" s="15">
        <f>Q22*(1+R23)</f>
        <v>30498.709372634883</v>
      </c>
      <c r="S22" s="15">
        <f t="shared" ref="S22:U22" si="10">R22*(1+S23)</f>
        <v>34528.455760096658</v>
      </c>
      <c r="T22" s="15">
        <f t="shared" si="10"/>
        <v>65557.924797190179</v>
      </c>
      <c r="U22" s="15">
        <f t="shared" si="10"/>
        <v>49474.695523611859</v>
      </c>
      <c r="V22" s="15">
        <f>U22*(1+V23)</f>
        <v>38014.035558538824</v>
      </c>
      <c r="W22" s="15">
        <f>V22*(1+W23)</f>
        <v>43287.906876268382</v>
      </c>
      <c r="X22" s="15">
        <f t="shared" ref="X22:AA22" si="11">W22*(1+X23)</f>
        <v>84134.239947223454</v>
      </c>
      <c r="Y22" s="15">
        <f t="shared" si="11"/>
        <v>64525.737065767527</v>
      </c>
      <c r="Z22" s="15">
        <f t="shared" si="11"/>
        <v>50325.909305415502</v>
      </c>
      <c r="AA22" s="15">
        <f t="shared" si="11"/>
        <v>57656.964375234726</v>
      </c>
      <c r="AB22" s="8"/>
      <c r="AC22" s="8"/>
      <c r="AD22" s="8"/>
      <c r="AE22" s="8"/>
      <c r="AF22" s="8"/>
    </row>
    <row r="23" spans="2:32" s="2" customFormat="1" x14ac:dyDescent="0.3">
      <c r="D23" s="2">
        <f>D22/C22-1</f>
        <v>-0.19804215187688989</v>
      </c>
      <c r="E23" s="2">
        <f t="shared" ref="E23:N23" si="12">E22/D22-1</f>
        <v>-0.24213597476291504</v>
      </c>
      <c r="F23" s="2">
        <f t="shared" si="12"/>
        <v>0.19867860291911876</v>
      </c>
      <c r="G23" s="2">
        <f t="shared" si="12"/>
        <v>1.1616607936036458</v>
      </c>
      <c r="H23" s="2">
        <f t="shared" si="12"/>
        <v>-0.2129684316967565</v>
      </c>
      <c r="I23" s="2">
        <f t="shared" si="12"/>
        <v>-0.22123802546359006</v>
      </c>
      <c r="J23" s="2">
        <f t="shared" si="12"/>
        <v>2.6729933074705725E-2</v>
      </c>
      <c r="K23" s="2">
        <f t="shared" si="12"/>
        <v>0.60324516287751018</v>
      </c>
      <c r="L23" s="2">
        <f t="shared" si="12"/>
        <v>-0.36371108785782458</v>
      </c>
      <c r="M23" s="2">
        <f t="shared" si="12"/>
        <v>-0.26814253365835117</v>
      </c>
      <c r="N23" s="2">
        <f t="shared" si="12"/>
        <v>0.17097673443445327</v>
      </c>
      <c r="O23" s="2">
        <f>O22/N22-1</f>
        <v>0.93108507648185346</v>
      </c>
      <c r="P23" s="2" t="s">
        <v>42</v>
      </c>
      <c r="Q23" s="10">
        <f>AVERAGE(D23,L23,H23)-$N$34</f>
        <v>-0.25824055714382366</v>
      </c>
      <c r="R23" s="11">
        <f>AVERAGE(E23,M23,I23)-$N$34</f>
        <v>-0.24383884462828542</v>
      </c>
      <c r="S23" s="11">
        <f>AVERAGE(F23,N23,J23)-$N$34</f>
        <v>0.13212842347609258</v>
      </c>
      <c r="T23" s="11">
        <f>AVERAGE(G23,O23,K23)-$N$34</f>
        <v>0.89866367765433652</v>
      </c>
      <c r="U23" s="11">
        <f>Q23+ABS(Q23*$P$34)</f>
        <v>-0.24532852928663249</v>
      </c>
      <c r="V23" s="11">
        <f t="shared" ref="V23:AA23" si="13">R23+ABS(R23*$P$34)</f>
        <v>-0.23164690239687116</v>
      </c>
      <c r="W23" s="11">
        <f t="shared" si="13"/>
        <v>0.13873484464989722</v>
      </c>
      <c r="X23" s="11">
        <f t="shared" si="13"/>
        <v>0.94359686153705336</v>
      </c>
      <c r="Y23" s="11">
        <f t="shared" si="13"/>
        <v>-0.23306210282230086</v>
      </c>
      <c r="Z23" s="11">
        <f t="shared" si="13"/>
        <v>-0.22006455727702762</v>
      </c>
      <c r="AA23" s="11">
        <f t="shared" si="13"/>
        <v>0.14567158688239207</v>
      </c>
      <c r="AB23" s="11"/>
      <c r="AC23" s="11"/>
      <c r="AD23" s="11"/>
      <c r="AE23" s="11"/>
      <c r="AF23" s="11"/>
    </row>
    <row r="24" spans="2:32" x14ac:dyDescent="0.3">
      <c r="B24" t="s">
        <v>2</v>
      </c>
      <c r="C24" s="13">
        <f t="shared" ref="C24:N24" si="14">C$21*C6</f>
        <v>11466.965399999999</v>
      </c>
      <c r="D24" s="13">
        <f t="shared" si="14"/>
        <v>7609.1881999999996</v>
      </c>
      <c r="E24" s="13">
        <f t="shared" si="14"/>
        <v>5888.0536000000002</v>
      </c>
      <c r="F24" s="13">
        <f t="shared" si="14"/>
        <v>5315.9225999999999</v>
      </c>
      <c r="G24" s="13">
        <f t="shared" si="14"/>
        <v>8966.7998000000007</v>
      </c>
      <c r="H24" s="13">
        <f t="shared" si="14"/>
        <v>5429.7359999999999</v>
      </c>
      <c r="I24" s="13">
        <f t="shared" si="14"/>
        <v>4533.8969999999999</v>
      </c>
      <c r="J24" s="13">
        <f t="shared" si="14"/>
        <v>4274.5830000000005</v>
      </c>
      <c r="K24" s="13">
        <f t="shared" si="14"/>
        <v>7086.4448000000002</v>
      </c>
      <c r="L24" s="13">
        <f t="shared" si="14"/>
        <v>4413.6261000000004</v>
      </c>
      <c r="M24" s="13">
        <f t="shared" si="14"/>
        <v>4875.4057999999995</v>
      </c>
      <c r="N24" s="13">
        <f t="shared" si="14"/>
        <v>4254.1616000000004</v>
      </c>
      <c r="O24" s="13">
        <f>O$21*O6</f>
        <v>5531.5805999999993</v>
      </c>
      <c r="Q24" s="14">
        <f>O24*(1+Q25)</f>
        <v>3488.4711158215582</v>
      </c>
      <c r="R24" s="15">
        <f>Q24*(1+R25)</f>
        <v>3155.2601727858737</v>
      </c>
      <c r="S24" s="15">
        <f t="shared" ref="S24:AA24" si="15">R24*(1+S25)</f>
        <v>2858.8900448273325</v>
      </c>
      <c r="T24" s="15">
        <f t="shared" si="15"/>
        <v>4426.3872885181536</v>
      </c>
      <c r="U24" s="15">
        <f t="shared" si="15"/>
        <v>2873.2301027894637</v>
      </c>
      <c r="V24" s="15">
        <f t="shared" si="15"/>
        <v>2612.5078275272399</v>
      </c>
      <c r="W24" s="15">
        <f t="shared" si="15"/>
        <v>2379.3873319420381</v>
      </c>
      <c r="X24" s="15">
        <f t="shared" si="15"/>
        <v>3749.2081985410277</v>
      </c>
      <c r="Y24" s="15">
        <f t="shared" si="15"/>
        <v>2499.4408801708742</v>
      </c>
      <c r="Z24" s="15">
        <f t="shared" si="15"/>
        <v>2283.9771354111144</v>
      </c>
      <c r="AA24" s="15">
        <f t="shared" si="15"/>
        <v>2090.3624858024068</v>
      </c>
      <c r="AB24" s="8"/>
      <c r="AC24" s="8"/>
      <c r="AD24" s="8"/>
      <c r="AE24" s="8"/>
      <c r="AF24" s="8"/>
    </row>
    <row r="25" spans="2:32" s="2" customFormat="1" x14ac:dyDescent="0.3">
      <c r="D25" s="2">
        <f>D24/C24-1</f>
        <v>-0.33642529347825534</v>
      </c>
      <c r="E25" s="2">
        <f t="shared" ref="E25:O25" si="16">E24/D24-1</f>
        <v>-0.22619161923212772</v>
      </c>
      <c r="F25" s="2">
        <f t="shared" si="16"/>
        <v>-9.7168103225147351E-2</v>
      </c>
      <c r="G25" s="2">
        <f t="shared" si="16"/>
        <v>0.68678148173188247</v>
      </c>
      <c r="H25" s="2">
        <f t="shared" si="16"/>
        <v>-0.39446222497350736</v>
      </c>
      <c r="I25" s="2">
        <f t="shared" si="16"/>
        <v>-0.1649875795066279</v>
      </c>
      <c r="J25" s="2">
        <f t="shared" si="16"/>
        <v>-5.7194506183091409E-2</v>
      </c>
      <c r="K25" s="2">
        <f t="shared" si="16"/>
        <v>0.65780961558121565</v>
      </c>
      <c r="L25" s="2">
        <f t="shared" si="16"/>
        <v>-0.37717343116819302</v>
      </c>
      <c r="M25" s="2">
        <f t="shared" si="16"/>
        <v>0.10462592198283382</v>
      </c>
      <c r="N25" s="2">
        <f t="shared" si="16"/>
        <v>-0.12742410077946731</v>
      </c>
      <c r="O25" s="2">
        <f t="shared" si="16"/>
        <v>0.30027514704659986</v>
      </c>
      <c r="P25" s="2" t="s">
        <v>42</v>
      </c>
      <c r="Q25" s="10">
        <f>AVERAGE(D25,L25,H25)-$N$35</f>
        <v>-0.36935364987331853</v>
      </c>
      <c r="R25" s="11">
        <f>AVERAGE(E25,M25,I25)-$N$35</f>
        <v>-9.5517758918640602E-2</v>
      </c>
      <c r="S25" s="11">
        <f>AVERAGE(F25,N25,J25)-$N$35</f>
        <v>-9.3928903395902028E-2</v>
      </c>
      <c r="T25" s="11">
        <f>AVERAGE(G25,O25,K25)-$N$35</f>
        <v>0.54828874811989936</v>
      </c>
      <c r="U25" s="29">
        <f>Q25+ABS(Q25*$P$35)</f>
        <v>-0.35088596737965261</v>
      </c>
      <c r="V25" s="29">
        <f t="shared" ref="V25:AA25" si="17">R25+ABS(R25*$P$35)</f>
        <v>-9.0741870972708569E-2</v>
      </c>
      <c r="W25" s="29">
        <f t="shared" si="17"/>
        <v>-8.9232458226106925E-2</v>
      </c>
      <c r="X25" s="29">
        <f t="shared" si="17"/>
        <v>0.57570318552589428</v>
      </c>
      <c r="Y25" s="29">
        <f t="shared" si="17"/>
        <v>-0.33334166901066997</v>
      </c>
      <c r="Z25" s="29">
        <f t="shared" si="17"/>
        <v>-8.6204777424073134E-2</v>
      </c>
      <c r="AA25" s="29">
        <f t="shared" si="17"/>
        <v>-8.4770835314801576E-2</v>
      </c>
      <c r="AB25" s="11"/>
      <c r="AC25" s="11"/>
      <c r="AD25" s="11"/>
      <c r="AE25" s="11"/>
      <c r="AF25" s="11"/>
    </row>
    <row r="26" spans="2:32" x14ac:dyDescent="0.3">
      <c r="B26" t="s">
        <v>3</v>
      </c>
      <c r="C26" s="13">
        <f t="shared" ref="C26:O26" si="18">C$21*C7</f>
        <v>6392.9340000000002</v>
      </c>
      <c r="D26" s="13">
        <f t="shared" si="18"/>
        <v>5518.6013999999996</v>
      </c>
      <c r="E26" s="13">
        <f t="shared" si="18"/>
        <v>5539.9359999999997</v>
      </c>
      <c r="F26" s="13">
        <f t="shared" si="18"/>
        <v>6625.9479000000001</v>
      </c>
      <c r="G26" s="13">
        <f t="shared" si="18"/>
        <v>6952.6268</v>
      </c>
      <c r="H26" s="13">
        <f t="shared" si="18"/>
        <v>5615.3679999999995</v>
      </c>
      <c r="I26" s="13">
        <f t="shared" si="18"/>
        <v>6031.9679999999998</v>
      </c>
      <c r="J26" s="13">
        <f t="shared" si="18"/>
        <v>6880.5335999999998</v>
      </c>
      <c r="K26" s="13">
        <f t="shared" si="18"/>
        <v>6745.0208000000002</v>
      </c>
      <c r="L26" s="13">
        <f t="shared" si="18"/>
        <v>5106.2570000000005</v>
      </c>
      <c r="M26" s="13">
        <f t="shared" si="18"/>
        <v>5239.6846000000005</v>
      </c>
      <c r="N26" s="13">
        <f t="shared" si="18"/>
        <v>5739.37</v>
      </c>
      <c r="O26" s="13">
        <f t="shared" si="18"/>
        <v>7247.4674999999997</v>
      </c>
      <c r="Q26" s="14">
        <f>O26*(1+Q27)</f>
        <v>5865.4644659585601</v>
      </c>
      <c r="R26" s="15">
        <f>Q26*(1+R27)</f>
        <v>6069.1630926748458</v>
      </c>
      <c r="S26" s="15">
        <f t="shared" ref="S26:AA26" si="19">R26*(1+S27)</f>
        <v>6943.2781712846427</v>
      </c>
      <c r="T26" s="15">
        <f t="shared" si="19"/>
        <v>7619.9503059700028</v>
      </c>
      <c r="U26" s="15">
        <f t="shared" si="19"/>
        <v>6166.9193759112568</v>
      </c>
      <c r="V26" s="15">
        <f t="shared" si="19"/>
        <v>6381.0870714507582</v>
      </c>
      <c r="W26" s="15">
        <f t="shared" si="19"/>
        <v>7300.1271997032436</v>
      </c>
      <c r="X26" s="15">
        <f t="shared" si="19"/>
        <v>8011.5768253465585</v>
      </c>
      <c r="Y26" s="15">
        <f t="shared" si="19"/>
        <v>6483.867528259676</v>
      </c>
      <c r="Z26" s="15">
        <f t="shared" si="19"/>
        <v>6709.0423492788959</v>
      </c>
      <c r="AA26" s="15">
        <f t="shared" si="19"/>
        <v>7675.3164452270648</v>
      </c>
      <c r="AB26" s="8"/>
      <c r="AC26" s="8"/>
      <c r="AD26" s="8"/>
      <c r="AE26" s="8"/>
      <c r="AF26" s="8"/>
    </row>
    <row r="27" spans="2:32" s="2" customFormat="1" x14ac:dyDescent="0.3">
      <c r="D27" s="2">
        <f>D26/C26-1</f>
        <v>-0.13676546637271725</v>
      </c>
      <c r="E27" s="2">
        <f t="shared" ref="E27:O27" si="20">E26/D26-1</f>
        <v>3.8659432804841742E-3</v>
      </c>
      <c r="F27" s="2">
        <f t="shared" si="20"/>
        <v>0.19603329352541277</v>
      </c>
      <c r="G27" s="2">
        <f t="shared" si="20"/>
        <v>4.9302968409999037E-2</v>
      </c>
      <c r="H27" s="2">
        <f t="shared" si="20"/>
        <v>-0.19233864242504728</v>
      </c>
      <c r="I27" s="2">
        <f t="shared" si="20"/>
        <v>7.4189260614798691E-2</v>
      </c>
      <c r="J27" s="2">
        <f t="shared" si="20"/>
        <v>0.14067806725765131</v>
      </c>
      <c r="K27" s="2">
        <f t="shared" si="20"/>
        <v>-1.9695100391632359E-2</v>
      </c>
      <c r="L27" s="2">
        <f t="shared" si="20"/>
        <v>-0.24295904321006689</v>
      </c>
      <c r="M27" s="2">
        <f t="shared" si="20"/>
        <v>2.613021632087853E-2</v>
      </c>
      <c r="N27" s="2">
        <f t="shared" si="20"/>
        <v>9.5365549292795171E-2</v>
      </c>
      <c r="O27" s="2">
        <f t="shared" si="20"/>
        <v>0.26276359600443944</v>
      </c>
      <c r="P27" s="2" t="s">
        <v>42</v>
      </c>
      <c r="Q27" s="10">
        <f>AVERAGE(D27,L27,H27)-$N$36</f>
        <v>-0.19068771733594381</v>
      </c>
      <c r="R27" s="11">
        <f>AVERAGE(E27,M27,I27)-$N$36</f>
        <v>3.4728473405387129E-2</v>
      </c>
      <c r="S27" s="11">
        <f>AVERAGE(F27,N27,J27)-$N$36</f>
        <v>0.14402563669195309</v>
      </c>
      <c r="T27" s="11">
        <f>AVERAGE(G27,O27,K27)-$N$36</f>
        <v>9.7457154674268701E-2</v>
      </c>
      <c r="U27" s="11">
        <f>Q27+ABS(Q27*$P$36)</f>
        <v>-0.19068771733594381</v>
      </c>
      <c r="V27" s="11">
        <f t="shared" ref="V27:AA27" si="21">R27+ABS(R27*$P$36)</f>
        <v>3.4728473405387129E-2</v>
      </c>
      <c r="W27" s="11">
        <f t="shared" si="21"/>
        <v>0.14402563669195309</v>
      </c>
      <c r="X27" s="11">
        <f t="shared" si="21"/>
        <v>9.7457154674268701E-2</v>
      </c>
      <c r="Y27" s="11">
        <f t="shared" si="21"/>
        <v>-0.19068771733594381</v>
      </c>
      <c r="Z27" s="11">
        <f t="shared" si="21"/>
        <v>3.4728473405387129E-2</v>
      </c>
      <c r="AA27" s="11">
        <f t="shared" si="21"/>
        <v>0.14402563669195309</v>
      </c>
      <c r="AB27" s="11"/>
      <c r="AC27" s="11"/>
      <c r="AD27" s="11"/>
      <c r="AE27" s="11"/>
      <c r="AF27" s="11"/>
    </row>
    <row r="28" spans="2:32" x14ac:dyDescent="0.3">
      <c r="B28" t="s">
        <v>4</v>
      </c>
      <c r="C28" s="13">
        <f t="shared" ref="C28:O28" si="22">C$21*C8</f>
        <v>4394.4222</v>
      </c>
      <c r="D28" s="13">
        <f t="shared" si="22"/>
        <v>4573.7291999999998</v>
      </c>
      <c r="E28" s="13">
        <f t="shared" si="22"/>
        <v>4484.3536000000004</v>
      </c>
      <c r="F28" s="13">
        <f t="shared" si="22"/>
        <v>4608.2561999999998</v>
      </c>
      <c r="G28" s="13">
        <f t="shared" si="22"/>
        <v>4804.1755999999996</v>
      </c>
      <c r="H28" s="13">
        <f t="shared" si="22"/>
        <v>4994.6610000000001</v>
      </c>
      <c r="I28" s="13">
        <f t="shared" si="22"/>
        <v>5029.9470000000001</v>
      </c>
      <c r="J28" s="13">
        <f t="shared" si="22"/>
        <v>5088.2987999999996</v>
      </c>
      <c r="K28" s="13">
        <f t="shared" si="22"/>
        <v>6054.5855999999994</v>
      </c>
      <c r="L28" s="13">
        <f t="shared" si="22"/>
        <v>5991.0045</v>
      </c>
      <c r="M28" s="13">
        <f t="shared" si="22"/>
        <v>5976.7138000000004</v>
      </c>
      <c r="N28" s="13">
        <f t="shared" si="22"/>
        <v>6325.02</v>
      </c>
      <c r="O28" s="13">
        <f t="shared" si="22"/>
        <v>7169.1165000000001</v>
      </c>
      <c r="Q28" s="14">
        <f>O28*(1+Q29)</f>
        <v>7730.5825136208377</v>
      </c>
      <c r="R28" s="15">
        <f>Q28*(1+R29)</f>
        <v>8117.4680344662811</v>
      </c>
      <c r="S28" s="15">
        <f t="shared" ref="S28:AA28" si="23">R28*(1+S29)</f>
        <v>8827.7683147176431</v>
      </c>
      <c r="T28" s="15">
        <f t="shared" si="23"/>
        <v>10389.907076807811</v>
      </c>
      <c r="U28" s="15">
        <f t="shared" si="23"/>
        <v>11244.302272327584</v>
      </c>
      <c r="V28" s="15">
        <f t="shared" si="23"/>
        <v>11835.172445459244</v>
      </c>
      <c r="W28" s="15">
        <f t="shared" si="23"/>
        <v>12922.562328929835</v>
      </c>
      <c r="X28" s="15">
        <f t="shared" si="23"/>
        <v>15323.642255346413</v>
      </c>
      <c r="Y28" s="15">
        <f t="shared" si="23"/>
        <v>16646.759828511174</v>
      </c>
      <c r="Z28" s="15">
        <f t="shared" si="23"/>
        <v>17565.258576136301</v>
      </c>
      <c r="AA28" s="15">
        <f t="shared" si="23"/>
        <v>19259.80918724649</v>
      </c>
      <c r="AB28" s="8"/>
      <c r="AC28" s="8"/>
      <c r="AD28" s="8"/>
      <c r="AE28" s="8"/>
      <c r="AF28" s="8"/>
    </row>
    <row r="29" spans="2:32" s="2" customFormat="1" x14ac:dyDescent="0.3">
      <c r="D29" s="2">
        <f>D28/C28-1</f>
        <v>4.0803316531579537E-2</v>
      </c>
      <c r="E29" s="2">
        <f t="shared" ref="E29:O29" si="24">E28/D28-1</f>
        <v>-1.9541078208128115E-2</v>
      </c>
      <c r="F29" s="2">
        <f t="shared" si="24"/>
        <v>2.762997993735361E-2</v>
      </c>
      <c r="G29" s="2">
        <f t="shared" si="24"/>
        <v>4.2514867120452049E-2</v>
      </c>
      <c r="H29" s="2">
        <f t="shared" si="24"/>
        <v>3.964996616693206E-2</v>
      </c>
      <c r="I29" s="2">
        <f t="shared" si="24"/>
        <v>7.064743733358414E-3</v>
      </c>
      <c r="J29" s="2">
        <f t="shared" si="24"/>
        <v>1.1600877703084933E-2</v>
      </c>
      <c r="K29" s="2">
        <f t="shared" si="24"/>
        <v>0.18990370612669216</v>
      </c>
      <c r="L29" s="2">
        <f t="shared" si="24"/>
        <v>-1.0501313252553435E-2</v>
      </c>
      <c r="M29" s="2">
        <f t="shared" si="24"/>
        <v>-2.3853595836891284E-3</v>
      </c>
      <c r="N29" s="2">
        <f t="shared" si="24"/>
        <v>5.8277209124519169E-2</v>
      </c>
      <c r="O29" s="2">
        <f t="shared" si="24"/>
        <v>0.13345357010728809</v>
      </c>
      <c r="P29" s="2" t="s">
        <v>42</v>
      </c>
      <c r="Q29" s="10">
        <f>AVERAGE(D29,L29,H29)-$N$37</f>
        <v>7.8317323148652723E-2</v>
      </c>
      <c r="R29" s="11">
        <f>AVERAGE(E29,M29,I29)-$N$37</f>
        <v>5.0046101980513721E-2</v>
      </c>
      <c r="S29" s="11">
        <f>AVERAGE(F29,N29,J29)-$N$37</f>
        <v>8.7502688921652569E-2</v>
      </c>
      <c r="T29" s="11">
        <f>AVERAGE(G29,O29,K29)-$N$37</f>
        <v>0.1769573811181441</v>
      </c>
      <c r="U29" s="11">
        <f>Q29+ABS(Q29*$P$37)</f>
        <v>8.2233189306085364E-2</v>
      </c>
      <c r="V29" s="11">
        <f t="shared" ref="V29:AA29" si="25">R29+ABS(R29*$P$37)</f>
        <v>5.2548407079539408E-2</v>
      </c>
      <c r="W29" s="11">
        <f t="shared" si="25"/>
        <v>9.1877823367735201E-2</v>
      </c>
      <c r="X29" s="11">
        <f t="shared" si="25"/>
        <v>0.18580525017405131</v>
      </c>
      <c r="Y29" s="11">
        <f t="shared" si="25"/>
        <v>8.6344848771389635E-2</v>
      </c>
      <c r="Z29" s="11">
        <f t="shared" si="25"/>
        <v>5.5175827433516379E-2</v>
      </c>
      <c r="AA29" s="11">
        <f t="shared" si="25"/>
        <v>9.6471714536121966E-2</v>
      </c>
      <c r="AB29" s="11"/>
      <c r="AC29" s="11"/>
      <c r="AD29" s="11"/>
      <c r="AE29" s="11"/>
      <c r="AF29" s="11"/>
    </row>
    <row r="30" spans="2:32" x14ac:dyDescent="0.3">
      <c r="B30" t="s">
        <v>5</v>
      </c>
      <c r="C30" s="13">
        <f t="shared" ref="C30:O30" si="26">C$21*C9</f>
        <v>2839.3842</v>
      </c>
      <c r="D30" s="13">
        <f t="shared" si="26"/>
        <v>1880.6152</v>
      </c>
      <c r="E30" s="13">
        <f t="shared" si="26"/>
        <v>1766.7903999999999</v>
      </c>
      <c r="F30" s="13">
        <f t="shared" si="26"/>
        <v>1895.5349999999999</v>
      </c>
      <c r="G30" s="13">
        <f t="shared" si="26"/>
        <v>2693.0239000000001</v>
      </c>
      <c r="H30" s="13">
        <f t="shared" si="26"/>
        <v>1688.0910000000001</v>
      </c>
      <c r="I30" s="13">
        <f t="shared" si="26"/>
        <v>2638.9859999999999</v>
      </c>
      <c r="J30" s="13">
        <f t="shared" si="26"/>
        <v>3048.8592000000003</v>
      </c>
      <c r="K30" s="13">
        <f t="shared" si="26"/>
        <v>4347.4655999999995</v>
      </c>
      <c r="L30" s="13">
        <f t="shared" si="26"/>
        <v>2189.1180999999997</v>
      </c>
      <c r="M30" s="13">
        <f t="shared" si="26"/>
        <v>2219.5592000000001</v>
      </c>
      <c r="N30" s="13">
        <f t="shared" si="26"/>
        <v>2375.3964000000001</v>
      </c>
      <c r="O30" s="13">
        <f t="shared" si="26"/>
        <v>4027.2413999999994</v>
      </c>
      <c r="Q30" s="14">
        <f>O30*(1+Q31)</f>
        <v>2406.5579107581189</v>
      </c>
      <c r="R30" s="15">
        <f>Q30*(1+R31)</f>
        <v>2821.0284695784953</v>
      </c>
      <c r="S30" s="15">
        <f t="shared" ref="S30:AA30" si="27">R30*(1+S31)</f>
        <v>3101.6218134918777</v>
      </c>
      <c r="T30" s="15">
        <f t="shared" si="27"/>
        <v>4695.906305275018</v>
      </c>
      <c r="U30" s="15">
        <f t="shared" si="27"/>
        <v>2806.1318765591072</v>
      </c>
      <c r="V30" s="15">
        <f t="shared" si="27"/>
        <v>3289.419248037625</v>
      </c>
      <c r="W30" s="15">
        <f t="shared" si="27"/>
        <v>3616.6010387544802</v>
      </c>
      <c r="X30" s="15">
        <f t="shared" si="27"/>
        <v>5475.593300148751</v>
      </c>
      <c r="Y30" s="15">
        <f t="shared" si="27"/>
        <v>3272.0492922443473</v>
      </c>
      <c r="Z30" s="15">
        <f t="shared" si="27"/>
        <v>3835.5795079860118</v>
      </c>
      <c r="AA30" s="15">
        <f t="shared" si="27"/>
        <v>4217.0850800131693</v>
      </c>
      <c r="AB30" s="8"/>
      <c r="AC30" s="8"/>
      <c r="AD30" s="8"/>
      <c r="AE30" s="8"/>
      <c r="AF30" s="8"/>
    </row>
    <row r="31" spans="2:32" s="2" customFormat="1" x14ac:dyDescent="0.3">
      <c r="D31" s="2">
        <f>D30/C30-1</f>
        <v>-0.33766793518115656</v>
      </c>
      <c r="E31" s="2">
        <f t="shared" ref="E31:O31" si="28">E30/D30-1</f>
        <v>-6.0525300444237651E-2</v>
      </c>
      <c r="F31" s="2">
        <f t="shared" si="28"/>
        <v>7.2869198293130877E-2</v>
      </c>
      <c r="G31" s="2">
        <f t="shared" si="28"/>
        <v>0.42071969127449527</v>
      </c>
      <c r="H31" s="2">
        <f t="shared" si="28"/>
        <v>-0.37316152300022287</v>
      </c>
      <c r="I31" s="2">
        <f t="shared" si="28"/>
        <v>0.56329605453734399</v>
      </c>
      <c r="J31" s="2">
        <f t="shared" si="28"/>
        <v>0.15531465494701391</v>
      </c>
      <c r="K31" s="2">
        <f t="shared" si="28"/>
        <v>0.42593190266050951</v>
      </c>
      <c r="L31" s="2">
        <f t="shared" si="28"/>
        <v>-0.49646108758169361</v>
      </c>
      <c r="M31" s="2">
        <f t="shared" si="28"/>
        <v>1.3905645382951359E-2</v>
      </c>
      <c r="N31" s="2">
        <f t="shared" si="28"/>
        <v>7.0210877907649349E-2</v>
      </c>
      <c r="O31" s="2">
        <f t="shared" si="28"/>
        <v>0.69539761868797956</v>
      </c>
      <c r="P31" s="2" t="s">
        <v>42</v>
      </c>
      <c r="Q31" s="10">
        <f>AVERAGE(D31,L31,H31)-$N$38</f>
        <v>-0.40243018192102431</v>
      </c>
      <c r="R31" s="11">
        <f>AVERAGE(E31,M31,I31)-$N$38</f>
        <v>0.17222546649201922</v>
      </c>
      <c r="S31" s="11">
        <f>AVERAGE(F31,N31,J31)-$N$38</f>
        <v>9.946491038259804E-2</v>
      </c>
      <c r="T31" s="11">
        <f>AVERAGE(G31,O31,K31)-$N$38</f>
        <v>0.51401640420766148</v>
      </c>
      <c r="U31" s="11">
        <f>Q31+ABS(Q31*$P$38)</f>
        <v>-0.40243018192102431</v>
      </c>
      <c r="V31" s="11">
        <f t="shared" ref="V31:AA31" si="29">R31+ABS(R31*$P$38)</f>
        <v>0.17222546649201922</v>
      </c>
      <c r="W31" s="11">
        <f t="shared" si="29"/>
        <v>9.946491038259804E-2</v>
      </c>
      <c r="X31" s="11">
        <f t="shared" si="29"/>
        <v>0.51401640420766148</v>
      </c>
      <c r="Y31" s="11">
        <f t="shared" si="29"/>
        <v>-0.40243018192102431</v>
      </c>
      <c r="Z31" s="11">
        <f t="shared" si="29"/>
        <v>0.17222546649201922</v>
      </c>
      <c r="AA31" s="11">
        <f t="shared" si="29"/>
        <v>9.946491038259804E-2</v>
      </c>
      <c r="AB31" s="11"/>
      <c r="AC31" s="11"/>
      <c r="AD31" s="11"/>
      <c r="AE31" s="11"/>
      <c r="AF31" s="11"/>
    </row>
    <row r="32" spans="2:32" s="1" customFormat="1" x14ac:dyDescent="0.3">
      <c r="Q32" s="9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7:32" x14ac:dyDescent="0.3">
      <c r="N33" s="8" t="s">
        <v>113</v>
      </c>
      <c r="P33" s="8" t="s">
        <v>119</v>
      </c>
      <c r="S33" s="8"/>
      <c r="T33" s="28"/>
      <c r="U33" s="8"/>
      <c r="V33" s="8"/>
      <c r="W33" s="8"/>
      <c r="X33" s="28"/>
      <c r="Y33" s="8"/>
      <c r="Z33" s="8"/>
      <c r="AB33" s="28"/>
      <c r="AC33" s="8"/>
      <c r="AD33" s="8"/>
      <c r="AE33" s="8"/>
      <c r="AF33" s="8"/>
    </row>
    <row r="34" spans="7:32" x14ac:dyDescent="0.3">
      <c r="G34" s="3"/>
      <c r="H34" s="3"/>
      <c r="I34" s="3"/>
      <c r="J34" s="3"/>
      <c r="K34" s="3"/>
      <c r="L34" s="3"/>
      <c r="M34" t="s">
        <v>1</v>
      </c>
      <c r="N34" s="11">
        <v>0</v>
      </c>
      <c r="P34" s="11">
        <v>0.05</v>
      </c>
      <c r="S34" s="8"/>
      <c r="T34" s="8"/>
      <c r="U34" s="8"/>
      <c r="V34" s="8"/>
      <c r="W34" s="8"/>
    </row>
    <row r="35" spans="7:32" x14ac:dyDescent="0.3">
      <c r="M35" t="s">
        <v>2</v>
      </c>
      <c r="N35" s="11">
        <v>0</v>
      </c>
      <c r="P35" s="11">
        <v>0.05</v>
      </c>
      <c r="S35" s="8"/>
      <c r="T35" s="8"/>
      <c r="U35" s="8"/>
      <c r="V35" s="8"/>
      <c r="W35" s="8"/>
    </row>
    <row r="36" spans="7:32" x14ac:dyDescent="0.3">
      <c r="M36" t="s">
        <v>3</v>
      </c>
      <c r="N36" s="11">
        <v>0</v>
      </c>
      <c r="P36" s="11">
        <v>0</v>
      </c>
      <c r="S36" s="8"/>
      <c r="T36" s="8"/>
      <c r="U36" s="8"/>
      <c r="V36" s="8"/>
      <c r="W36" s="8"/>
    </row>
    <row r="37" spans="7:32" x14ac:dyDescent="0.3">
      <c r="M37" t="s">
        <v>4</v>
      </c>
      <c r="N37" s="11">
        <v>-5.5E-2</v>
      </c>
      <c r="P37" s="2">
        <v>0.05</v>
      </c>
    </row>
    <row r="38" spans="7:32" x14ac:dyDescent="0.3">
      <c r="M38" t="s">
        <v>5</v>
      </c>
      <c r="N38" s="11">
        <v>0</v>
      </c>
      <c r="P38" s="26">
        <v>0</v>
      </c>
    </row>
    <row r="39" spans="7:32" x14ac:dyDescent="0.3">
      <c r="N39" s="8" t="s">
        <v>122</v>
      </c>
      <c r="T39" s="2">
        <f>T40/O40-1</f>
        <v>0.45680760833670209</v>
      </c>
      <c r="X39" s="2">
        <f>X40/T40-1</f>
        <v>0.48291844946320128</v>
      </c>
    </row>
    <row r="40" spans="7:32" x14ac:dyDescent="0.3">
      <c r="O40" s="13">
        <f>SUM(O28:S28)</f>
        <v>31844.935362804761</v>
      </c>
      <c r="S40" s="13"/>
      <c r="T40" s="13">
        <f>SUM(T28:W28)</f>
        <v>46391.944123524474</v>
      </c>
      <c r="W40" s="13"/>
      <c r="X40" s="13">
        <f>SUM(X28:AA28)</f>
        <v>68795.469847240383</v>
      </c>
    </row>
  </sheetData>
  <mergeCells count="1">
    <mergeCell ref="C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9"/>
  <sheetViews>
    <sheetView tabSelected="1" workbookViewId="0">
      <selection activeCell="G23" sqref="G23"/>
    </sheetView>
  </sheetViews>
  <sheetFormatPr defaultRowHeight="14.4" x14ac:dyDescent="0.3"/>
  <cols>
    <col min="1" max="1" width="57.5546875" customWidth="1"/>
    <col min="2" max="4" width="7.6640625" customWidth="1"/>
    <col min="5" max="5" width="16.5546875" customWidth="1"/>
    <col min="6" max="6" width="7.6640625" customWidth="1"/>
    <col min="7" max="7" width="12" customWidth="1"/>
    <col min="8" max="9" width="11" customWidth="1"/>
    <col min="11" max="13" width="10" customWidth="1"/>
  </cols>
  <sheetData>
    <row r="1" spans="1:13" x14ac:dyDescent="0.3">
      <c r="A1" t="s">
        <v>9</v>
      </c>
      <c r="B1" s="30" t="s">
        <v>31</v>
      </c>
      <c r="C1" s="30"/>
      <c r="D1" s="30"/>
      <c r="E1" s="24" t="s">
        <v>36</v>
      </c>
      <c r="F1" s="24" t="s">
        <v>37</v>
      </c>
      <c r="G1" s="30" t="s">
        <v>32</v>
      </c>
      <c r="H1" s="30"/>
      <c r="I1" s="30"/>
    </row>
    <row r="2" spans="1:13" x14ac:dyDescent="0.3">
      <c r="A2" s="6" t="s">
        <v>10</v>
      </c>
      <c r="B2" s="6" t="s">
        <v>11</v>
      </c>
      <c r="C2" s="6" t="s">
        <v>12</v>
      </c>
      <c r="D2" s="6" t="s">
        <v>13</v>
      </c>
      <c r="E2" s="6"/>
      <c r="F2" s="6"/>
      <c r="G2" s="6" t="s">
        <v>33</v>
      </c>
      <c r="H2" s="6" t="s">
        <v>34</v>
      </c>
      <c r="I2" s="6" t="s">
        <v>35</v>
      </c>
    </row>
    <row r="3" spans="1:13" x14ac:dyDescent="0.3">
      <c r="A3" t="s">
        <v>14</v>
      </c>
      <c r="B3">
        <v>182795</v>
      </c>
      <c r="C3">
        <v>233715</v>
      </c>
      <c r="D3">
        <v>215639</v>
      </c>
      <c r="G3" s="16">
        <f>'Product Breakdown (Services)'!O18</f>
        <v>245097.32956313126</v>
      </c>
      <c r="H3" s="16">
        <f>'Product Breakdown (Services)'!T18</f>
        <v>296894.16185157205</v>
      </c>
      <c r="I3" s="16">
        <f>'Product Breakdown (Services)'!X18</f>
        <v>381741.41956931155</v>
      </c>
    </row>
    <row r="4" spans="1:13" x14ac:dyDescent="0.3">
      <c r="A4" t="s">
        <v>15</v>
      </c>
      <c r="B4">
        <v>112258</v>
      </c>
      <c r="C4">
        <v>140089</v>
      </c>
      <c r="D4">
        <v>131376</v>
      </c>
      <c r="G4" s="16">
        <f>G3*$F$5</f>
        <v>148917.95653404362</v>
      </c>
      <c r="H4" s="16">
        <f t="shared" ref="H4:I4" si="0">H3*$F$5</f>
        <v>180389.0396057356</v>
      </c>
      <c r="I4" s="16">
        <f t="shared" si="0"/>
        <v>231941.13223507852</v>
      </c>
    </row>
    <row r="5" spans="1:13" s="2" customFormat="1" x14ac:dyDescent="0.3">
      <c r="B5" s="2">
        <f>B4/B3</f>
        <v>0.61411964222216142</v>
      </c>
      <c r="C5" s="2">
        <f t="shared" ref="C5:D5" si="1">C4/C3</f>
        <v>0.59940097982585627</v>
      </c>
      <c r="D5" s="2">
        <f t="shared" si="1"/>
        <v>0.60924044351902951</v>
      </c>
      <c r="E5" s="2" t="s">
        <v>43</v>
      </c>
      <c r="F5" s="2">
        <f>AVERAGE(B5:D5)</f>
        <v>0.60758702185568236</v>
      </c>
    </row>
    <row r="6" spans="1:13" x14ac:dyDescent="0.3">
      <c r="A6" t="s">
        <v>16</v>
      </c>
      <c r="B6">
        <v>70537</v>
      </c>
      <c r="C6">
        <v>93626</v>
      </c>
      <c r="D6">
        <v>84263</v>
      </c>
      <c r="G6" s="16">
        <f>G3-G4</f>
        <v>96179.373029087641</v>
      </c>
      <c r="H6" s="16">
        <f t="shared" ref="H6:I6" si="2">H3-H4</f>
        <v>116505.12224583645</v>
      </c>
      <c r="I6" s="16">
        <f t="shared" si="2"/>
        <v>149800.28733423303</v>
      </c>
    </row>
    <row r="7" spans="1:13" x14ac:dyDescent="0.3">
      <c r="A7" t="s">
        <v>17</v>
      </c>
    </row>
    <row r="8" spans="1:13" x14ac:dyDescent="0.3">
      <c r="A8" t="s">
        <v>45</v>
      </c>
      <c r="B8">
        <v>6041</v>
      </c>
      <c r="C8">
        <v>8067</v>
      </c>
      <c r="D8">
        <v>10045</v>
      </c>
      <c r="G8" s="16">
        <f>G3*G9</f>
        <v>12123.402812646153</v>
      </c>
      <c r="H8" s="16">
        <f t="shared" ref="H8:I8" si="3">H3*H9</f>
        <v>19091.100585407225</v>
      </c>
      <c r="I8" s="16">
        <f t="shared" si="3"/>
        <v>31911.112468875457</v>
      </c>
      <c r="K8" s="16"/>
      <c r="L8" s="16"/>
      <c r="M8" s="16"/>
    </row>
    <row r="9" spans="1:13" s="2" customFormat="1" x14ac:dyDescent="0.3">
      <c r="B9" s="2">
        <f>B8/B3</f>
        <v>3.3047949889220163E-2</v>
      </c>
      <c r="C9" s="2">
        <f t="shared" ref="C9:D9" si="4">C8/C3</f>
        <v>3.4516398177267184E-2</v>
      </c>
      <c r="D9" s="2">
        <f t="shared" si="4"/>
        <v>4.6582482760539605E-2</v>
      </c>
      <c r="E9" s="2" t="s">
        <v>44</v>
      </c>
      <c r="F9" s="3">
        <f>AVERAGE(B9:D9)</f>
        <v>3.8048943609008984E-2</v>
      </c>
      <c r="G9" s="2">
        <f>F9*(1+$F$10)</f>
        <v>4.9463626691711678E-2</v>
      </c>
      <c r="H9" s="2">
        <f>G9*(1+$F$10)</f>
        <v>6.4302714699225189E-2</v>
      </c>
      <c r="I9" s="2">
        <f>H9*(1+$F$10)</f>
        <v>8.3593529108992745E-2</v>
      </c>
    </row>
    <row r="10" spans="1:13" s="2" customFormat="1" x14ac:dyDescent="0.3">
      <c r="C10" s="2">
        <f>C9/B9-1</f>
        <v>4.4433869361621525E-2</v>
      </c>
      <c r="D10" s="2">
        <f>D9/C9-1</f>
        <v>0.34957542560797239</v>
      </c>
      <c r="E10" s="2" t="s">
        <v>120</v>
      </c>
      <c r="F10" s="2">
        <v>0.3</v>
      </c>
      <c r="G10" s="27"/>
    </row>
    <row r="11" spans="1:13" x14ac:dyDescent="0.3">
      <c r="A11" t="s">
        <v>46</v>
      </c>
      <c r="B11">
        <v>11993</v>
      </c>
      <c r="C11">
        <v>14329</v>
      </c>
      <c r="D11">
        <v>14194</v>
      </c>
      <c r="F11" s="25"/>
      <c r="G11" s="16">
        <f>$F$12*G3</f>
        <v>15746.825570255171</v>
      </c>
      <c r="H11" s="16">
        <f>$F$12*H3</f>
        <v>19074.628792720512</v>
      </c>
      <c r="I11" s="16">
        <f>$F$12*I3</f>
        <v>24525.830443008545</v>
      </c>
    </row>
    <row r="12" spans="1:13" x14ac:dyDescent="0.3">
      <c r="B12" s="2">
        <f>B11/B3</f>
        <v>6.5609015563883044E-2</v>
      </c>
      <c r="C12" s="2">
        <f>C11/C3</f>
        <v>6.1309714823609952E-2</v>
      </c>
      <c r="D12" s="2">
        <f>D11/D3</f>
        <v>6.5822972653369755E-2</v>
      </c>
      <c r="E12" t="s">
        <v>43</v>
      </c>
      <c r="F12" s="3">
        <f>AVERAGE(B12:D12)</f>
        <v>6.4247234346954243E-2</v>
      </c>
    </row>
    <row r="13" spans="1:13" x14ac:dyDescent="0.3">
      <c r="A13" t="s">
        <v>18</v>
      </c>
      <c r="B13">
        <v>18034</v>
      </c>
      <c r="C13">
        <v>22396</v>
      </c>
      <c r="D13">
        <v>24239</v>
      </c>
      <c r="G13" s="16">
        <f>G11+G8</f>
        <v>27870.228382901325</v>
      </c>
      <c r="H13" s="16">
        <f>H11+H8</f>
        <v>38165.72937812774</v>
      </c>
      <c r="I13" s="16">
        <f>I11+I8</f>
        <v>56436.942911884005</v>
      </c>
    </row>
    <row r="14" spans="1:13" x14ac:dyDescent="0.3">
      <c r="A14" t="s">
        <v>47</v>
      </c>
      <c r="B14">
        <v>52503</v>
      </c>
      <c r="C14">
        <v>71230</v>
      </c>
      <c r="D14">
        <v>60024</v>
      </c>
      <c r="G14" s="16">
        <f>G6-G13</f>
        <v>68309.144646186323</v>
      </c>
      <c r="H14" s="16">
        <f>H6-H13</f>
        <v>78339.39286770871</v>
      </c>
      <c r="I14" s="16">
        <f>I6-I13</f>
        <v>93363.344422349022</v>
      </c>
    </row>
    <row r="15" spans="1:13" x14ac:dyDescent="0.3">
      <c r="A15" t="s">
        <v>123</v>
      </c>
      <c r="G15" s="2">
        <f>G13/G14</f>
        <v>0.40800142539125339</v>
      </c>
      <c r="H15" s="2">
        <f t="shared" ref="H15:I15" si="5">H13/H14</f>
        <v>0.4871843906497717</v>
      </c>
      <c r="I15" s="2">
        <f t="shared" si="5"/>
        <v>0.60448715993483959</v>
      </c>
    </row>
    <row r="16" spans="1:13" x14ac:dyDescent="0.3">
      <c r="A16" t="s">
        <v>19</v>
      </c>
      <c r="B16">
        <v>384</v>
      </c>
      <c r="C16">
        <v>733</v>
      </c>
      <c r="D16">
        <v>1456</v>
      </c>
    </row>
    <row r="17" spans="1:11" x14ac:dyDescent="0.3">
      <c r="A17" t="s">
        <v>20</v>
      </c>
      <c r="B17">
        <v>1364</v>
      </c>
      <c r="C17">
        <v>2018</v>
      </c>
      <c r="D17">
        <v>2804</v>
      </c>
    </row>
    <row r="18" spans="1:11" x14ac:dyDescent="0.3">
      <c r="A18" t="s">
        <v>21</v>
      </c>
      <c r="B18">
        <v>53483</v>
      </c>
      <c r="C18">
        <v>72515</v>
      </c>
      <c r="D18">
        <v>61372</v>
      </c>
    </row>
    <row r="19" spans="1:11" x14ac:dyDescent="0.3">
      <c r="A19" t="s">
        <v>22</v>
      </c>
      <c r="B19">
        <v>13973</v>
      </c>
      <c r="C19">
        <v>19121</v>
      </c>
      <c r="D19">
        <v>15685</v>
      </c>
      <c r="H19">
        <v>9.2899999999999991</v>
      </c>
    </row>
    <row r="20" spans="1:11" x14ac:dyDescent="0.3">
      <c r="A20" t="s">
        <v>23</v>
      </c>
      <c r="B20">
        <v>39510</v>
      </c>
      <c r="C20">
        <v>53394</v>
      </c>
      <c r="D20">
        <v>45687</v>
      </c>
      <c r="J20">
        <v>0.8</v>
      </c>
    </row>
    <row r="21" spans="1:11" x14ac:dyDescent="0.3">
      <c r="A21" t="s">
        <v>24</v>
      </c>
      <c r="B21">
        <v>39510</v>
      </c>
      <c r="C21">
        <v>53394</v>
      </c>
      <c r="D21">
        <v>45687</v>
      </c>
    </row>
    <row r="22" spans="1:11" x14ac:dyDescent="0.3">
      <c r="A22" t="s">
        <v>25</v>
      </c>
      <c r="B22">
        <v>39510</v>
      </c>
      <c r="C22">
        <v>53394</v>
      </c>
      <c r="D22">
        <v>45687</v>
      </c>
    </row>
    <row r="23" spans="1:11" x14ac:dyDescent="0.3">
      <c r="A23" t="s">
        <v>26</v>
      </c>
    </row>
    <row r="24" spans="1:11" x14ac:dyDescent="0.3">
      <c r="A24" t="s">
        <v>27</v>
      </c>
      <c r="B24">
        <v>6.49</v>
      </c>
      <c r="C24">
        <v>9.2799999999999994</v>
      </c>
      <c r="D24">
        <v>8.35</v>
      </c>
    </row>
    <row r="25" spans="1:11" x14ac:dyDescent="0.3">
      <c r="A25" t="s">
        <v>28</v>
      </c>
      <c r="B25">
        <v>6.45</v>
      </c>
      <c r="C25">
        <v>9.2200000000000006</v>
      </c>
      <c r="D25">
        <v>8.31</v>
      </c>
      <c r="K25">
        <f>3.45/3.3-1</f>
        <v>4.5454545454545636E-2</v>
      </c>
    </row>
    <row r="26" spans="1:11" x14ac:dyDescent="0.3">
      <c r="A26" t="s">
        <v>29</v>
      </c>
    </row>
    <row r="27" spans="1:11" x14ac:dyDescent="0.3">
      <c r="A27" t="s">
        <v>27</v>
      </c>
      <c r="B27">
        <v>6086</v>
      </c>
      <c r="C27">
        <v>5753</v>
      </c>
      <c r="D27">
        <v>5471</v>
      </c>
    </row>
    <row r="28" spans="1:11" x14ac:dyDescent="0.3">
      <c r="A28" t="s">
        <v>28</v>
      </c>
      <c r="B28">
        <v>6123</v>
      </c>
      <c r="C28">
        <v>5793</v>
      </c>
      <c r="D28">
        <v>5500</v>
      </c>
    </row>
    <row r="29" spans="1:11" x14ac:dyDescent="0.3">
      <c r="A29" t="s">
        <v>30</v>
      </c>
      <c r="B29">
        <v>61813</v>
      </c>
      <c r="C29">
        <v>84505</v>
      </c>
      <c r="D29">
        <v>73333</v>
      </c>
    </row>
  </sheetData>
  <mergeCells count="2">
    <mergeCell ref="B1:D1"/>
    <mergeCell ref="G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Product Breakdown</vt:lpstr>
      <vt:lpstr>IS</vt:lpstr>
      <vt:lpstr>BS</vt:lpstr>
      <vt:lpstr>DCF</vt:lpstr>
      <vt:lpstr>Product Breakdown (iPhone Bump)</vt:lpstr>
      <vt:lpstr>IS (iPhone Bump) </vt:lpstr>
      <vt:lpstr>DCF (iPhone Bump)</vt:lpstr>
      <vt:lpstr>Product Breakdown (Services)</vt:lpstr>
      <vt:lpstr>IS (Services)</vt:lpstr>
      <vt:lpstr>DCF (Services)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Pranav Singh</dc:creator>
  <cp:lastModifiedBy>Pranav Singh</cp:lastModifiedBy>
  <dcterms:created xsi:type="dcterms:W3CDTF">2017-02-02T01:50:41Z</dcterms:created>
  <dcterms:modified xsi:type="dcterms:W3CDTF">2017-02-22T20:02:40Z</dcterms:modified>
</cp:coreProperties>
</file>