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Alexander/Desktop/Seeking Alpha/"/>
    </mc:Choice>
  </mc:AlternateContent>
  <bookViews>
    <workbookView xWindow="600" yWindow="460" windowWidth="24800" windowHeight="13200" tabRatio="500" activeTab="2"/>
  </bookViews>
  <sheets>
    <sheet name="File Description!" sheetId="9" r:id="rId1"/>
    <sheet name="Activision Blizzard" sheetId="1" r:id="rId2"/>
    <sheet name="Activision Blizzard modeling" sheetId="6" r:id="rId3"/>
    <sheet name="Assumptions" sheetId="7" r:id="rId4"/>
    <sheet name="Activision Margins" sheetId="5" r:id="rId5"/>
    <sheet name="Competitors" sheetId="2" r:id="rId6"/>
    <sheet name="Sensitivity Analysis" sheetId="8" r:id="rId7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5" i="6" l="1"/>
  <c r="H5" i="6"/>
  <c r="P6" i="6"/>
  <c r="V24" i="6"/>
  <c r="F6" i="7"/>
  <c r="G6" i="7"/>
  <c r="E6" i="7"/>
  <c r="D6" i="7"/>
  <c r="D9" i="7"/>
  <c r="E9" i="7"/>
  <c r="F9" i="7"/>
  <c r="G9" i="7"/>
  <c r="F3" i="7"/>
  <c r="G3" i="7"/>
  <c r="E3" i="7"/>
  <c r="D3" i="7"/>
  <c r="V27" i="6"/>
  <c r="S19" i="6"/>
  <c r="S31" i="6"/>
  <c r="S30" i="6"/>
  <c r="C24" i="7"/>
  <c r="D24" i="7"/>
  <c r="E24" i="7"/>
  <c r="F24" i="7"/>
  <c r="G24" i="7"/>
  <c r="P5" i="6"/>
  <c r="V31" i="6"/>
  <c r="V34" i="6"/>
  <c r="S20" i="6"/>
  <c r="V23" i="6"/>
  <c r="S25" i="6"/>
  <c r="S24" i="6"/>
  <c r="S22" i="6"/>
  <c r="V33" i="6"/>
  <c r="C7" i="6"/>
  <c r="C8" i="6"/>
  <c r="D7" i="6"/>
  <c r="D8" i="6"/>
  <c r="E7" i="6"/>
  <c r="E8" i="6"/>
  <c r="F7" i="6"/>
  <c r="F8" i="6"/>
  <c r="G7" i="6"/>
  <c r="G8" i="6"/>
  <c r="H8" i="6"/>
  <c r="C6" i="7"/>
  <c r="I8" i="6"/>
  <c r="J8" i="6"/>
  <c r="K8" i="6"/>
  <c r="L8" i="6"/>
  <c r="M8" i="6"/>
  <c r="C14" i="6"/>
  <c r="C16" i="6"/>
  <c r="C17" i="6"/>
  <c r="D14" i="6"/>
  <c r="D16" i="6"/>
  <c r="D17" i="6"/>
  <c r="E14" i="6"/>
  <c r="E16" i="6"/>
  <c r="E17" i="6"/>
  <c r="F14" i="6"/>
  <c r="F16" i="6"/>
  <c r="F17" i="6"/>
  <c r="G14" i="6"/>
  <c r="G16" i="6"/>
  <c r="G17" i="6"/>
  <c r="H17" i="6"/>
  <c r="C9" i="7"/>
  <c r="M17" i="6"/>
  <c r="D5" i="6"/>
  <c r="E5" i="6"/>
  <c r="F5" i="6"/>
  <c r="G5" i="6"/>
  <c r="C3" i="7"/>
  <c r="I5" i="6"/>
  <c r="I4" i="6"/>
  <c r="J4" i="6"/>
  <c r="J5" i="6"/>
  <c r="K4" i="6"/>
  <c r="K5" i="6"/>
  <c r="L4" i="6"/>
  <c r="L5" i="6"/>
  <c r="M4" i="6"/>
  <c r="M16" i="6"/>
  <c r="C21" i="6"/>
  <c r="C24" i="6"/>
  <c r="D21" i="6"/>
  <c r="D24" i="6"/>
  <c r="E21" i="6"/>
  <c r="E24" i="6"/>
  <c r="F21" i="6"/>
  <c r="F24" i="6"/>
  <c r="G21" i="6"/>
  <c r="G24" i="6"/>
  <c r="H24" i="6"/>
  <c r="G21" i="7"/>
  <c r="M24" i="6"/>
  <c r="M28" i="6"/>
  <c r="M29" i="6"/>
  <c r="M30" i="6"/>
  <c r="M31" i="6"/>
  <c r="M32" i="6"/>
  <c r="M33" i="6"/>
  <c r="M35" i="6"/>
  <c r="M5" i="6"/>
  <c r="P4" i="6"/>
  <c r="P7" i="6"/>
  <c r="S8" i="6"/>
  <c r="I37" i="6"/>
  <c r="I38" i="6"/>
  <c r="I17" i="6"/>
  <c r="I16" i="6"/>
  <c r="C21" i="7"/>
  <c r="I24" i="6"/>
  <c r="I28" i="6"/>
  <c r="I29" i="6"/>
  <c r="I30" i="6"/>
  <c r="I31" i="6"/>
  <c r="I32" i="6"/>
  <c r="I33" i="6"/>
  <c r="I40" i="6"/>
  <c r="J37" i="6"/>
  <c r="J38" i="6"/>
  <c r="J17" i="6"/>
  <c r="J16" i="6"/>
  <c r="D21" i="7"/>
  <c r="J24" i="6"/>
  <c r="J28" i="6"/>
  <c r="J29" i="6"/>
  <c r="J30" i="6"/>
  <c r="J31" i="6"/>
  <c r="J32" i="6"/>
  <c r="J33" i="6"/>
  <c r="J35" i="6"/>
  <c r="J40" i="6"/>
  <c r="K37" i="6"/>
  <c r="K38" i="6"/>
  <c r="K17" i="6"/>
  <c r="K16" i="6"/>
  <c r="E21" i="7"/>
  <c r="K24" i="6"/>
  <c r="K28" i="6"/>
  <c r="K29" i="6"/>
  <c r="K30" i="6"/>
  <c r="K31" i="6"/>
  <c r="K32" i="6"/>
  <c r="K33" i="6"/>
  <c r="K35" i="6"/>
  <c r="K40" i="6"/>
  <c r="L37" i="6"/>
  <c r="L38" i="6"/>
  <c r="L17" i="6"/>
  <c r="L16" i="6"/>
  <c r="F21" i="7"/>
  <c r="L24" i="6"/>
  <c r="L28" i="6"/>
  <c r="L29" i="6"/>
  <c r="L30" i="6"/>
  <c r="L31" i="6"/>
  <c r="L32" i="6"/>
  <c r="L33" i="6"/>
  <c r="L35" i="6"/>
  <c r="L40" i="6"/>
  <c r="M37" i="6"/>
  <c r="M38" i="6"/>
  <c r="M40" i="6"/>
  <c r="S7" i="6"/>
  <c r="S9" i="6"/>
  <c r="T8" i="6"/>
  <c r="T9" i="6"/>
  <c r="I7" i="6"/>
  <c r="I14" i="6"/>
  <c r="H11" i="6"/>
  <c r="C13" i="7"/>
  <c r="I11" i="6"/>
  <c r="J7" i="6"/>
  <c r="J14" i="6"/>
  <c r="D13" i="7"/>
  <c r="J11" i="6"/>
  <c r="K7" i="6"/>
  <c r="K14" i="6"/>
  <c r="E13" i="7"/>
  <c r="K11" i="6"/>
  <c r="L7" i="6"/>
  <c r="L14" i="6"/>
  <c r="F13" i="7"/>
  <c r="L11" i="6"/>
  <c r="M7" i="6"/>
  <c r="M14" i="6"/>
  <c r="G13" i="7"/>
  <c r="M11" i="6"/>
  <c r="H12" i="6"/>
  <c r="C14" i="7"/>
  <c r="I12" i="6"/>
  <c r="D14" i="7"/>
  <c r="J12" i="6"/>
  <c r="E14" i="7"/>
  <c r="K12" i="6"/>
  <c r="F14" i="7"/>
  <c r="L12" i="6"/>
  <c r="G14" i="7"/>
  <c r="M12" i="6"/>
  <c r="H13" i="6"/>
  <c r="C15" i="7"/>
  <c r="I13" i="6"/>
  <c r="D15" i="7"/>
  <c r="J13" i="6"/>
  <c r="E15" i="7"/>
  <c r="K13" i="6"/>
  <c r="F15" i="7"/>
  <c r="L13" i="6"/>
  <c r="G15" i="7"/>
  <c r="M13" i="6"/>
  <c r="S13" i="6"/>
  <c r="S15" i="6"/>
  <c r="H19" i="6"/>
  <c r="C18" i="7"/>
  <c r="I19" i="6"/>
  <c r="D18" i="7"/>
  <c r="J19" i="6"/>
  <c r="E18" i="7"/>
  <c r="K19" i="6"/>
  <c r="F18" i="7"/>
  <c r="L19" i="6"/>
  <c r="G18" i="7"/>
  <c r="M19" i="6"/>
  <c r="I21" i="6"/>
  <c r="J21" i="6"/>
  <c r="K21" i="6"/>
  <c r="L21" i="6"/>
  <c r="M21" i="6"/>
  <c r="J10" i="7"/>
  <c r="K10" i="7"/>
  <c r="L10" i="7"/>
  <c r="M10" i="7"/>
  <c r="N10" i="7"/>
  <c r="O10" i="7"/>
  <c r="P10" i="7"/>
  <c r="Q10" i="7"/>
  <c r="O20" i="7"/>
  <c r="P20" i="7"/>
  <c r="Q20" i="7"/>
  <c r="N20" i="7"/>
  <c r="M20" i="7"/>
  <c r="L20" i="7"/>
  <c r="K20" i="7"/>
  <c r="J20" i="7"/>
  <c r="J15" i="7"/>
  <c r="K15" i="7"/>
  <c r="L15" i="7"/>
  <c r="M15" i="7"/>
  <c r="N15" i="7"/>
  <c r="O15" i="7"/>
  <c r="P15" i="7"/>
  <c r="Q15" i="7"/>
  <c r="R15" i="7"/>
  <c r="S15" i="7"/>
  <c r="T15" i="7"/>
  <c r="G30" i="6"/>
  <c r="J23" i="6"/>
  <c r="J25" i="6"/>
  <c r="J3" i="7"/>
  <c r="J5" i="7"/>
  <c r="K3" i="7"/>
  <c r="K5" i="7"/>
  <c r="L3" i="7"/>
  <c r="L5" i="7"/>
  <c r="M5" i="7"/>
  <c r="N5" i="7"/>
  <c r="O5" i="7"/>
  <c r="G30" i="1"/>
  <c r="G24" i="1"/>
  <c r="G22" i="1"/>
  <c r="G4" i="1"/>
  <c r="G3" i="1"/>
  <c r="I23" i="6"/>
  <c r="I25" i="6"/>
  <c r="K23" i="6"/>
  <c r="K25" i="6"/>
  <c r="P5" i="7"/>
  <c r="L23" i="6"/>
  <c r="L25" i="6"/>
  <c r="Q5" i="7"/>
  <c r="M23" i="6"/>
  <c r="M25" i="6"/>
  <c r="R5" i="7"/>
  <c r="C25" i="6"/>
  <c r="C26" i="6"/>
  <c r="D25" i="6"/>
  <c r="D26" i="6"/>
  <c r="E25" i="6"/>
  <c r="E26" i="6"/>
  <c r="F25" i="6"/>
  <c r="F26" i="6"/>
  <c r="G25" i="6"/>
  <c r="G26" i="6"/>
  <c r="H26" i="6"/>
  <c r="I26" i="6"/>
  <c r="S4" i="6"/>
  <c r="T7" i="6"/>
  <c r="B11" i="2"/>
  <c r="B7" i="2"/>
  <c r="K6" i="6"/>
  <c r="L6" i="6"/>
  <c r="M6" i="6"/>
  <c r="J6" i="6"/>
  <c r="H20" i="6"/>
  <c r="I6" i="6"/>
  <c r="C7" i="5"/>
  <c r="E17" i="1"/>
  <c r="C17" i="1"/>
  <c r="E16" i="1"/>
  <c r="C16" i="1"/>
  <c r="E15" i="1"/>
  <c r="C15" i="1"/>
  <c r="E35" i="1"/>
  <c r="C35" i="1"/>
  <c r="C3" i="5"/>
  <c r="E25" i="1"/>
  <c r="C25" i="1"/>
  <c r="G34" i="1"/>
  <c r="G32" i="1"/>
  <c r="B3" i="2"/>
  <c r="E6" i="1"/>
</calcChain>
</file>

<file path=xl/sharedStrings.xml><?xml version="1.0" encoding="utf-8"?>
<sst xmlns="http://schemas.openxmlformats.org/spreadsheetml/2006/main" count="162" uniqueCount="127">
  <si>
    <t xml:space="preserve">Net revenues </t>
  </si>
  <si>
    <t xml:space="preserve">Product sales </t>
  </si>
  <si>
    <t xml:space="preserve">Subscription, licensing and other revenues </t>
  </si>
  <si>
    <t xml:space="preserve">Total net revenues </t>
  </si>
  <si>
    <t xml:space="preserve">Costs and expenses </t>
  </si>
  <si>
    <t xml:space="preserve">Cost of revenues—product sales: </t>
  </si>
  <si>
    <t xml:space="preserve">Product costs </t>
  </si>
  <si>
    <t>Software royalties, amortization, and intellectual property licences</t>
  </si>
  <si>
    <t xml:space="preserve">Cost of revenues—subscription, licensing, and other: </t>
  </si>
  <si>
    <t xml:space="preserve">Game operations and distribution costs </t>
  </si>
  <si>
    <t xml:space="preserve">Product development </t>
  </si>
  <si>
    <t xml:space="preserve">Sales and marketing </t>
  </si>
  <si>
    <t xml:space="preserve">General and administrative </t>
  </si>
  <si>
    <t xml:space="preserve">Total costs and expenses </t>
  </si>
  <si>
    <t xml:space="preserve">Operating income </t>
  </si>
  <si>
    <t xml:space="preserve">Interest and other expense (income), net </t>
  </si>
  <si>
    <t xml:space="preserve">Loss on extinguishment of debt </t>
  </si>
  <si>
    <t>Income tax expense</t>
  </si>
  <si>
    <t xml:space="preserve">Net income </t>
  </si>
  <si>
    <t xml:space="preserve">Income before income tax expense </t>
  </si>
  <si>
    <t>Revenue</t>
  </si>
  <si>
    <t>Operating Margin</t>
  </si>
  <si>
    <t>CoGS</t>
  </si>
  <si>
    <t>Gross Profit</t>
  </si>
  <si>
    <t>Gross Margin</t>
  </si>
  <si>
    <t>AVERAGE TILL 2015</t>
  </si>
  <si>
    <t>Cost of revenue</t>
  </si>
  <si>
    <t>Operating expenses</t>
  </si>
  <si>
    <t>Research and development</t>
  </si>
  <si>
    <t>Sales, general and administrtive expenses</t>
  </si>
  <si>
    <t>Total operating expenses</t>
  </si>
  <si>
    <t>Operating income</t>
  </si>
  <si>
    <t>Interest Expense</t>
  </si>
  <si>
    <t>Other income</t>
  </si>
  <si>
    <t>Provision for income taxes</t>
  </si>
  <si>
    <t>Growth of revenue</t>
  </si>
  <si>
    <t>Restructuring and others</t>
  </si>
  <si>
    <t>Operating Income Margin</t>
  </si>
  <si>
    <t>Income before taxes (Pre-tax Income)</t>
  </si>
  <si>
    <t>Net Income Margin</t>
  </si>
  <si>
    <t>Net Income from continuing operations</t>
  </si>
  <si>
    <t>Tax rate</t>
  </si>
  <si>
    <t>Gordon Growth</t>
  </si>
  <si>
    <t>Growth</t>
  </si>
  <si>
    <t>CAPEX</t>
  </si>
  <si>
    <t>Change in Net Workint Capital</t>
  </si>
  <si>
    <t>WACC</t>
  </si>
  <si>
    <t>Discounted Factor</t>
  </si>
  <si>
    <t>Discounted Free Cash Flow</t>
  </si>
  <si>
    <t>Rate</t>
  </si>
  <si>
    <t>Terminal Value</t>
  </si>
  <si>
    <t>EA</t>
  </si>
  <si>
    <t>Nintendo</t>
  </si>
  <si>
    <t>Take-Two</t>
  </si>
  <si>
    <t>Historical Peirod</t>
  </si>
  <si>
    <t>Projected Period</t>
  </si>
  <si>
    <t>in %</t>
  </si>
  <si>
    <t xml:space="preserve">PV of FCFF </t>
  </si>
  <si>
    <t xml:space="preserve">PV of Terminal Value </t>
  </si>
  <si>
    <t xml:space="preserve">Total Value </t>
  </si>
  <si>
    <t xml:space="preserve">minus MV of Debt </t>
  </si>
  <si>
    <t xml:space="preserve">plus cash and investments </t>
  </si>
  <si>
    <t xml:space="preserve">Equity value </t>
  </si>
  <si>
    <t>divided by # of shares</t>
  </si>
  <si>
    <t xml:space="preserve">Price per share </t>
  </si>
  <si>
    <t>_</t>
  </si>
  <si>
    <t>Average</t>
  </si>
  <si>
    <t>Terminal value  (Present value)</t>
  </si>
  <si>
    <t>Change in NWC</t>
  </si>
  <si>
    <t>Sales</t>
  </si>
  <si>
    <t>Change NWC/Sales</t>
  </si>
  <si>
    <t>% of Change in NWC from Sales</t>
  </si>
  <si>
    <t>% of CAPEX from Sales</t>
  </si>
  <si>
    <t>CAPEX/Sales</t>
  </si>
  <si>
    <t>AVERAGE</t>
  </si>
  <si>
    <t>Calculation of Price</t>
  </si>
  <si>
    <t>EV/EBITDA</t>
  </si>
  <si>
    <t>EV/Sales</t>
  </si>
  <si>
    <t>P/E</t>
  </si>
  <si>
    <t>Activ. Blizz.</t>
  </si>
  <si>
    <t>Square Enix</t>
  </si>
  <si>
    <t>Multiple</t>
  </si>
  <si>
    <t>Growth of terminal value</t>
  </si>
  <si>
    <t>Share Price</t>
  </si>
  <si>
    <t>Gross Profit Margin</t>
  </si>
  <si>
    <t>Operating income margin</t>
  </si>
  <si>
    <t>&lt;- Product Sales growth from 2015 to 2016</t>
  </si>
  <si>
    <t>&lt;- Subsription, licensing and other revenues growth from 2015 to 2016</t>
  </si>
  <si>
    <t>&lt;- Growth of operating income from 2015 to 2016</t>
  </si>
  <si>
    <t>&lt;- Growth of total costs and expenses amount from 2015 to 2016</t>
  </si>
  <si>
    <t>&lt;- Growth of Pre-Tax Income from 2015 to 2016</t>
  </si>
  <si>
    <t>&lt;- Growth of Income Tax Expense from 2015 to 2016</t>
  </si>
  <si>
    <t>&lt;- Growth of Net Income from 2015 to 2016</t>
  </si>
  <si>
    <t>Additional Data about Growth of Income Statement Lines</t>
  </si>
  <si>
    <t>Last FCF before TV</t>
  </si>
  <si>
    <t>Rev. Growth</t>
  </si>
  <si>
    <t>Free Cash Flow to firm</t>
  </si>
  <si>
    <t>&lt;- Used as an average or start for calculation</t>
  </si>
  <si>
    <t>D&amp;A/Sales</t>
  </si>
  <si>
    <t>D&amp;A</t>
  </si>
  <si>
    <t>% of D&amp;A from Sales</t>
  </si>
  <si>
    <t>Operating expenses (part in total Op. Expense)</t>
  </si>
  <si>
    <t>WACC calculation</t>
  </si>
  <si>
    <t>Stable growth Cost of Equity (CoE)</t>
  </si>
  <si>
    <t>CoE calculation</t>
  </si>
  <si>
    <t>Stable growth Cost of Debt (CoD), after-tax</t>
  </si>
  <si>
    <t xml:space="preserve">MV of Debt </t>
  </si>
  <si>
    <t>Beta</t>
  </si>
  <si>
    <t xml:space="preserve">MV of Equity </t>
  </si>
  <si>
    <t>Adjusted beta</t>
  </si>
  <si>
    <t>Debt weight</t>
  </si>
  <si>
    <r>
      <t>mltpl by</t>
    </r>
    <r>
      <rPr>
        <sz val="12"/>
        <color theme="1"/>
        <rFont val="Calibri"/>
        <family val="2"/>
        <scheme val="minor"/>
      </rPr>
      <t xml:space="preserve"> market risk premium</t>
    </r>
  </si>
  <si>
    <t>Equity weight</t>
  </si>
  <si>
    <r>
      <t xml:space="preserve">plus </t>
    </r>
    <r>
      <rPr>
        <sz val="12"/>
        <color theme="1"/>
        <rFont val="Calibri"/>
        <family val="2"/>
        <scheme val="minor"/>
      </rPr>
      <t>risk-free rate</t>
    </r>
  </si>
  <si>
    <t>plus country risk premium</t>
  </si>
  <si>
    <t>equals Cost of Equity</t>
  </si>
  <si>
    <t>or own Rate</t>
  </si>
  <si>
    <t>CoD calculation</t>
  </si>
  <si>
    <t>CoD Pre-tax</t>
  </si>
  <si>
    <r>
      <t>mltpl</t>
    </r>
    <r>
      <rPr>
        <sz val="12"/>
        <color theme="1"/>
        <rFont val="Calibri"/>
        <family val="2"/>
        <scheme val="minor"/>
      </rPr>
      <t xml:space="preserve"> by (1-Tax rate)</t>
    </r>
  </si>
  <si>
    <t>equals Cost of Debt (after tax)</t>
  </si>
  <si>
    <t xml:space="preserve">"Sensitiviy analysis" </t>
  </si>
  <si>
    <t>"Activision Blizzard" list: Description of 2015 and 2016 Income statements and calculations of a few metrics</t>
  </si>
  <si>
    <t>"Activision Blizzard modeling" list: DCF model for Activision Blizzard</t>
  </si>
  <si>
    <t>"Assumption" list: assumptions for DCF model (many of which are based on 4 year averages)</t>
  </si>
  <si>
    <t>"Activiosion Margins" list: margins of AB and graphs</t>
  </si>
  <si>
    <t>"Competitors" list: growth of revenues for closes competitors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</si>
</sst>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3" formatCode="_-* #,##0.00\ _₽_-;\-* #,##0.00\ _₽_-;_-* &quot;-&quot;??\ _₽_-;_-@_-"/>
    <numFmt numFmtId="164" formatCode="[$$-409]#,##0_ ;\-[$$-409]#,##0\ "/>
    <numFmt numFmtId="165" formatCode="[$$-475]#,##0"/>
    <numFmt numFmtId="166" formatCode="0.000%"/>
    <numFmt numFmtId="167" formatCode="0.0000%"/>
    <numFmt numFmtId="168" formatCode="0.00000%"/>
    <numFmt numFmtId="169" formatCode="[$$-409]#,##0"/>
    <numFmt numFmtId="170" formatCode="_-[$$-409]* #,##0_ ;_-[$$-409]* \-#,##0\ ;_-[$$-409]* &quot;-&quot;_ ;_-@_ "/>
    <numFmt numFmtId="171" formatCode="[$$-475]#,##0.000"/>
    <numFmt numFmtId="172" formatCode="#,##0_ ;\-#,##0\ "/>
    <numFmt numFmtId="173" formatCode="#,##0.00_ ;[Red]\-#,##0.00\ "/>
    <numFmt numFmtId="174" formatCode="#,##0.0_ ;[Red]\-#,##0.0\ "/>
    <numFmt numFmtId="175" formatCode="0.0%"/>
    <numFmt numFmtId="176" formatCode="[$$-409]#,##0.000_ ;[Red]\-[$$-409]#,##0.000\ "/>
    <numFmt numFmtId="177" formatCode="[$$-409]#,##0.00"/>
    <numFmt numFmtId="178" formatCode="#,##0.00_ ;\-#,##0.00\ "/>
  </numFmts>
  <fonts count="2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Times New Roman"/>
    </font>
    <font>
      <sz val="12"/>
      <color rgb="FF00B050"/>
      <name val="Calibri"/>
      <family val="2"/>
      <scheme val="minor"/>
    </font>
    <font>
      <i/>
      <sz val="12"/>
      <color theme="1"/>
      <name val="Calibri"/>
      <scheme val="minor"/>
    </font>
    <font>
      <b/>
      <sz val="12"/>
      <color rgb="FF00B050"/>
      <name val="Calibri"/>
      <scheme val="minor"/>
    </font>
    <font>
      <sz val="12"/>
      <color theme="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scheme val="minor"/>
    </font>
    <font>
      <i/>
      <sz val="12"/>
      <color theme="0"/>
      <name val="Calibri"/>
      <scheme val="minor"/>
    </font>
    <font>
      <b/>
      <sz val="15"/>
      <color theme="1"/>
      <name val="Calibri"/>
      <family val="2"/>
      <scheme val="minor"/>
    </font>
    <font>
      <b/>
      <sz val="12"/>
      <color rgb="FF002060"/>
      <name val="Calibri"/>
      <scheme val="minor"/>
    </font>
    <font>
      <sz val="12"/>
      <color rgb="FF002060"/>
      <name val="Calibri"/>
      <family val="2"/>
      <scheme val="minor"/>
    </font>
    <font>
      <sz val="12"/>
      <color rgb="FF002060"/>
      <name val="Times New Roman,Bold"/>
    </font>
    <font>
      <sz val="12"/>
      <color rgb="FF002060"/>
      <name val="Times New Roman"/>
    </font>
    <font>
      <b/>
      <sz val="12"/>
      <color rgb="FF002060"/>
      <name val="Times New Roman"/>
    </font>
    <font>
      <b/>
      <i/>
      <sz val="12"/>
      <color rgb="FF002060"/>
      <name val="Calibri"/>
      <scheme val="minor"/>
    </font>
    <font>
      <i/>
      <sz val="12"/>
      <color theme="1"/>
      <name val="Times New Roman"/>
    </font>
    <font>
      <i/>
      <sz val="12"/>
      <color rgb="FF00B05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6"/>
      <color theme="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5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9" tint="-0.24994659260841701"/>
      </left>
      <right/>
      <top style="thin">
        <color theme="9" tint="-0.24994659260841701"/>
      </top>
      <bottom/>
      <diagonal/>
    </border>
    <border>
      <left/>
      <right/>
      <top style="thin">
        <color theme="9" tint="-0.24994659260841701"/>
      </top>
      <bottom/>
      <diagonal/>
    </border>
    <border>
      <left/>
      <right style="thin">
        <color theme="9" tint="-0.24994659260841701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/>
      <top/>
      <bottom/>
      <diagonal/>
    </border>
    <border>
      <left/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9" tint="-0.24994659260841701"/>
      </right>
      <top style="thin">
        <color auto="1"/>
      </top>
      <bottom style="thin">
        <color auto="1"/>
      </bottom>
      <diagonal/>
    </border>
    <border>
      <left style="thin">
        <color theme="9" tint="-0.24994659260841701"/>
      </left>
      <right style="thin">
        <color auto="1"/>
      </right>
      <top style="thin">
        <color auto="1"/>
      </top>
      <bottom style="thin">
        <color theme="9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9" tint="-0.24994659260841701"/>
      </bottom>
      <diagonal/>
    </border>
    <border>
      <left style="thin">
        <color auto="1"/>
      </left>
      <right style="thin">
        <color theme="9" tint="-0.24994659260841701"/>
      </right>
      <top style="thin">
        <color auto="1"/>
      </top>
      <bottom style="thin">
        <color theme="9" tint="-0.2499465926084170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2060"/>
      </right>
      <top/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/>
      <diagonal/>
    </border>
    <border>
      <left style="thin">
        <color theme="9" tint="-0.24994659260841701"/>
      </left>
      <right/>
      <top style="thin">
        <color theme="1"/>
      </top>
      <bottom/>
      <diagonal/>
    </border>
    <border>
      <left style="thin">
        <color theme="9" tint="-0.24994659260841701"/>
      </left>
      <right/>
      <top/>
      <bottom style="thin">
        <color theme="9" tint="-0.24994659260841701"/>
      </bottom>
      <diagonal/>
    </border>
    <border>
      <left/>
      <right style="thin">
        <color theme="1"/>
      </right>
      <top/>
      <bottom style="thin">
        <color theme="9" tint="-0.24994659260841701"/>
      </bottom>
      <diagonal/>
    </border>
    <border>
      <left/>
      <right/>
      <top/>
      <bottom style="thin">
        <color theme="9" tint="-0.24994659260841701"/>
      </bottom>
      <diagonal/>
    </border>
    <border>
      <left style="thin">
        <color theme="1"/>
      </left>
      <right style="thin">
        <color theme="9" tint="-0.2499465926084170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9" tint="-0.24994659260841701"/>
      </left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theme="1"/>
      </right>
      <top style="thin">
        <color theme="9" tint="-0.2499465926084170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9" tint="-0.24994659260841701"/>
      </top>
      <bottom style="thin">
        <color theme="1"/>
      </bottom>
      <diagonal/>
    </border>
    <border>
      <left style="thin">
        <color theme="9" tint="-0.2499465926084170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9" tint="-0.24994659260841701"/>
      </right>
      <top style="thin">
        <color theme="1"/>
      </top>
      <bottom style="thin">
        <color theme="9" tint="-0.2499465926084170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9" tint="-0.24994659260841701"/>
      </bottom>
      <diagonal/>
    </border>
    <border>
      <left style="thin">
        <color theme="1"/>
      </left>
      <right style="thin">
        <color theme="9" tint="-0.24994659260841701"/>
      </right>
      <top style="thin">
        <color theme="1"/>
      </top>
      <bottom/>
      <diagonal/>
    </border>
    <border>
      <left style="thin">
        <color theme="1"/>
      </left>
      <right style="thin">
        <color theme="9" tint="-0.24994659260841701"/>
      </right>
      <top/>
      <bottom style="thin">
        <color theme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33">
    <xf numFmtId="0" fontId="0" fillId="0" borderId="0" xfId="0"/>
    <xf numFmtId="0" fontId="0" fillId="2" borderId="0" xfId="0" applyFont="1" applyFill="1"/>
    <xf numFmtId="0" fontId="0" fillId="2" borderId="0" xfId="0" applyFont="1" applyFill="1" applyAlignment="1">
      <alignment horizontal="left" vertical="center" wrapText="1"/>
    </xf>
    <xf numFmtId="0" fontId="0" fillId="2" borderId="0" xfId="0" applyFont="1" applyFill="1" applyAlignment="1">
      <alignment horizontal="right" vertical="center" wrapText="1"/>
    </xf>
    <xf numFmtId="0" fontId="0" fillId="2" borderId="0" xfId="0" applyFont="1" applyFill="1" applyAlignment="1">
      <alignment vertical="center" wrapText="1"/>
    </xf>
    <xf numFmtId="0" fontId="0" fillId="2" borderId="0" xfId="0" applyFont="1" applyFill="1" applyAlignment="1">
      <alignment horizontal="right" vertical="center"/>
    </xf>
    <xf numFmtId="0" fontId="5" fillId="2" borderId="0" xfId="0" applyFont="1" applyFill="1"/>
    <xf numFmtId="0" fontId="8" fillId="2" borderId="0" xfId="0" applyFont="1" applyFill="1"/>
    <xf numFmtId="165" fontId="0" fillId="2" borderId="0" xfId="0" applyNumberFormat="1" applyFont="1" applyFill="1" applyAlignment="1">
      <alignment horizontal="right" vertical="center"/>
    </xf>
    <xf numFmtId="164" fontId="0" fillId="2" borderId="0" xfId="0" applyNumberFormat="1" applyFont="1" applyFill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0" fontId="0" fillId="2" borderId="0" xfId="0" applyFont="1" applyFill="1" applyAlignment="1">
      <alignment horizontal="right"/>
    </xf>
    <xf numFmtId="0" fontId="0" fillId="2" borderId="0" xfId="0" applyFont="1" applyFill="1" applyAlignment="1">
      <alignment vertical="center"/>
    </xf>
    <xf numFmtId="0" fontId="8" fillId="2" borderId="0" xfId="0" applyFont="1" applyFill="1" applyAlignment="1">
      <alignment horizontal="left" vertical="center" wrapText="1"/>
    </xf>
    <xf numFmtId="10" fontId="8" fillId="2" borderId="0" xfId="1" applyNumberFormat="1" applyFont="1" applyFill="1" applyAlignment="1">
      <alignment horizontal="right" vertical="center" wrapText="1"/>
    </xf>
    <xf numFmtId="9" fontId="0" fillId="2" borderId="0" xfId="1" applyFont="1" applyFill="1" applyAlignment="1">
      <alignment horizontal="right" vertical="center"/>
    </xf>
    <xf numFmtId="9" fontId="0" fillId="2" borderId="0" xfId="1" applyNumberFormat="1" applyFont="1" applyFill="1" applyAlignment="1">
      <alignment horizontal="right" vertical="center" wrapText="1"/>
    </xf>
    <xf numFmtId="9" fontId="8" fillId="2" borderId="0" xfId="1" applyNumberFormat="1" applyFont="1" applyFill="1" applyAlignment="1">
      <alignment horizontal="right" vertical="center" wrapText="1"/>
    </xf>
    <xf numFmtId="10" fontId="8" fillId="2" borderId="0" xfId="1" applyNumberFormat="1" applyFont="1" applyFill="1"/>
    <xf numFmtId="10" fontId="8" fillId="2" borderId="0" xfId="1" applyNumberFormat="1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right" vertical="center" wrapText="1"/>
    </xf>
    <xf numFmtId="0" fontId="5" fillId="2" borderId="0" xfId="0" applyFont="1" applyFill="1" applyAlignment="1">
      <alignment vertical="center" wrapText="1"/>
    </xf>
    <xf numFmtId="169" fontId="5" fillId="2" borderId="0" xfId="0" applyNumberFormat="1" applyFont="1" applyFill="1" applyAlignment="1">
      <alignment horizontal="right" vertical="center" wrapText="1"/>
    </xf>
    <xf numFmtId="169" fontId="5" fillId="2" borderId="0" xfId="0" applyNumberFormat="1" applyFont="1" applyFill="1" applyAlignment="1">
      <alignment vertical="center" wrapText="1"/>
    </xf>
    <xf numFmtId="169" fontId="5" fillId="2" borderId="0" xfId="0" applyNumberFormat="1" applyFont="1" applyFill="1" applyAlignment="1">
      <alignment horizontal="right" vertical="center"/>
    </xf>
    <xf numFmtId="169" fontId="0" fillId="2" borderId="0" xfId="0" applyNumberFormat="1" applyFont="1" applyFill="1" applyAlignment="1">
      <alignment horizontal="right" vertical="center" wrapText="1"/>
    </xf>
    <xf numFmtId="169" fontId="0" fillId="2" borderId="0" xfId="0" applyNumberFormat="1" applyFont="1" applyFill="1" applyAlignment="1">
      <alignment vertical="center" wrapText="1"/>
    </xf>
    <xf numFmtId="169" fontId="0" fillId="2" borderId="0" xfId="0" applyNumberFormat="1" applyFont="1" applyFill="1" applyAlignment="1">
      <alignment horizontal="right" vertical="center"/>
    </xf>
    <xf numFmtId="169" fontId="0" fillId="2" borderId="0" xfId="1" applyNumberFormat="1" applyFont="1" applyFill="1" applyAlignment="1">
      <alignment horizontal="right" vertical="center" wrapText="1"/>
    </xf>
    <xf numFmtId="169" fontId="0" fillId="2" borderId="0" xfId="1" applyNumberFormat="1" applyFont="1" applyFill="1" applyAlignment="1">
      <alignment vertical="center" wrapText="1"/>
    </xf>
    <xf numFmtId="169" fontId="0" fillId="2" borderId="0" xfId="1" applyNumberFormat="1" applyFont="1" applyFill="1" applyAlignment="1">
      <alignment horizontal="right" vertical="center"/>
    </xf>
    <xf numFmtId="169" fontId="5" fillId="2" borderId="0" xfId="0" applyNumberFormat="1" applyFont="1" applyFill="1"/>
    <xf numFmtId="169" fontId="5" fillId="2" borderId="0" xfId="0" applyNumberFormat="1" applyFont="1" applyFill="1" applyAlignment="1">
      <alignment horizontal="left" vertical="center" wrapText="1"/>
    </xf>
    <xf numFmtId="10" fontId="8" fillId="2" borderId="0" xfId="1" applyNumberFormat="1" applyFont="1" applyFill="1" applyAlignment="1">
      <alignment horizontal="right" vertical="center"/>
    </xf>
    <xf numFmtId="9" fontId="8" fillId="2" borderId="0" xfId="0" applyNumberFormat="1" applyFont="1" applyFill="1" applyAlignment="1">
      <alignment horizontal="right" vertical="center"/>
    </xf>
    <xf numFmtId="169" fontId="5" fillId="2" borderId="0" xfId="1" applyNumberFormat="1" applyFont="1" applyFill="1" applyAlignment="1">
      <alignment horizontal="right" vertical="center"/>
    </xf>
    <xf numFmtId="10" fontId="5" fillId="2" borderId="0" xfId="1" applyNumberFormat="1" applyFont="1" applyFill="1" applyAlignment="1">
      <alignment horizontal="right" vertical="center" wrapText="1"/>
    </xf>
    <xf numFmtId="166" fontId="9" fillId="2" borderId="0" xfId="1" applyNumberFormat="1" applyFont="1" applyFill="1" applyAlignment="1">
      <alignment horizontal="right" vertical="center"/>
    </xf>
    <xf numFmtId="10" fontId="5" fillId="2" borderId="0" xfId="1" applyNumberFormat="1" applyFont="1" applyFill="1" applyAlignment="1">
      <alignment horizontal="right" vertical="center"/>
    </xf>
    <xf numFmtId="169" fontId="0" fillId="2" borderId="0" xfId="0" applyNumberFormat="1" applyFont="1" applyFill="1"/>
    <xf numFmtId="164" fontId="5" fillId="2" borderId="0" xfId="0" applyNumberFormat="1" applyFont="1" applyFill="1" applyAlignment="1">
      <alignment horizontal="right" vertical="center"/>
    </xf>
    <xf numFmtId="2" fontId="5" fillId="2" borderId="0" xfId="0" applyNumberFormat="1" applyFont="1" applyFill="1" applyAlignment="1">
      <alignment horizontal="right" vertical="center"/>
    </xf>
    <xf numFmtId="0" fontId="0" fillId="2" borderId="4" xfId="0" applyFont="1" applyFill="1" applyBorder="1"/>
    <xf numFmtId="0" fontId="0" fillId="2" borderId="5" xfId="0" applyFont="1" applyFill="1" applyBorder="1"/>
    <xf numFmtId="0" fontId="0" fillId="2" borderId="6" xfId="0" applyFont="1" applyFill="1" applyBorder="1"/>
    <xf numFmtId="169" fontId="5" fillId="2" borderId="4" xfId="0" applyNumberFormat="1" applyFont="1" applyFill="1" applyBorder="1"/>
    <xf numFmtId="10" fontId="8" fillId="2" borderId="5" xfId="1" applyNumberFormat="1" applyFont="1" applyFill="1" applyBorder="1"/>
    <xf numFmtId="165" fontId="5" fillId="2" borderId="5" xfId="0" applyNumberFormat="1" applyFont="1" applyFill="1" applyBorder="1" applyAlignment="1">
      <alignment horizontal="right" vertical="center"/>
    </xf>
    <xf numFmtId="169" fontId="0" fillId="2" borderId="7" xfId="0" applyNumberFormat="1" applyFont="1" applyFill="1" applyBorder="1"/>
    <xf numFmtId="169" fontId="5" fillId="3" borderId="0" xfId="0" applyNumberFormat="1" applyFont="1" applyFill="1" applyAlignment="1">
      <alignment horizontal="right" vertical="center" wrapText="1"/>
    </xf>
    <xf numFmtId="169" fontId="5" fillId="3" borderId="0" xfId="0" applyNumberFormat="1" applyFont="1" applyFill="1" applyAlignment="1">
      <alignment vertical="center" wrapText="1"/>
    </xf>
    <xf numFmtId="169" fontId="5" fillId="3" borderId="0" xfId="0" applyNumberFormat="1" applyFont="1" applyFill="1" applyAlignment="1">
      <alignment horizontal="right" vertical="center"/>
    </xf>
    <xf numFmtId="169" fontId="5" fillId="3" borderId="0" xfId="0" applyNumberFormat="1" applyFont="1" applyFill="1"/>
    <xf numFmtId="165" fontId="0" fillId="3" borderId="0" xfId="0" applyNumberFormat="1" applyFont="1" applyFill="1" applyAlignment="1">
      <alignment horizontal="right" vertical="center"/>
    </xf>
    <xf numFmtId="169" fontId="0" fillId="3" borderId="0" xfId="0" applyNumberFormat="1" applyFont="1" applyFill="1"/>
    <xf numFmtId="165" fontId="5" fillId="3" borderId="0" xfId="0" applyNumberFormat="1" applyFont="1" applyFill="1" applyAlignment="1">
      <alignment horizontal="right" vertical="center"/>
    </xf>
    <xf numFmtId="0" fontId="5" fillId="3" borderId="0" xfId="0" applyFont="1" applyFill="1"/>
    <xf numFmtId="0" fontId="0" fillId="3" borderId="0" xfId="0" applyFont="1" applyFill="1" applyAlignment="1">
      <alignment horizontal="left" vertical="center" wrapText="1"/>
    </xf>
    <xf numFmtId="0" fontId="0" fillId="3" borderId="0" xfId="0" applyFont="1" applyFill="1" applyAlignment="1">
      <alignment horizontal="right" vertical="center" wrapText="1"/>
    </xf>
    <xf numFmtId="0" fontId="0" fillId="3" borderId="0" xfId="0" applyFont="1" applyFill="1" applyAlignment="1">
      <alignment vertical="center" wrapText="1"/>
    </xf>
    <xf numFmtId="166" fontId="5" fillId="3" borderId="0" xfId="1" applyNumberFormat="1" applyFont="1" applyFill="1" applyAlignment="1">
      <alignment horizontal="right" vertical="center"/>
    </xf>
    <xf numFmtId="170" fontId="5" fillId="3" borderId="0" xfId="1" applyNumberFormat="1" applyFont="1" applyFill="1" applyAlignment="1">
      <alignment horizontal="right" vertical="center"/>
    </xf>
    <xf numFmtId="0" fontId="5" fillId="3" borderId="0" xfId="0" applyFont="1" applyFill="1" applyAlignment="1">
      <alignment horizontal="left" vertical="center" wrapText="1"/>
    </xf>
    <xf numFmtId="0" fontId="5" fillId="3" borderId="0" xfId="0" applyFont="1" applyFill="1" applyAlignment="1">
      <alignment horizontal="right" vertical="center" wrapText="1"/>
    </xf>
    <xf numFmtId="0" fontId="5" fillId="3" borderId="0" xfId="0" applyFont="1" applyFill="1" applyAlignment="1">
      <alignment vertical="center" wrapText="1"/>
    </xf>
    <xf numFmtId="164" fontId="5" fillId="3" borderId="0" xfId="0" applyNumberFormat="1" applyFont="1" applyFill="1" applyAlignment="1">
      <alignment horizontal="right" vertical="center"/>
    </xf>
    <xf numFmtId="0" fontId="5" fillId="4" borderId="2" xfId="0" applyFont="1" applyFill="1" applyBorder="1" applyAlignment="1">
      <alignment horizontal="left" vertical="center"/>
    </xf>
    <xf numFmtId="0" fontId="0" fillId="4" borderId="3" xfId="0" applyFont="1" applyFill="1" applyBorder="1"/>
    <xf numFmtId="169" fontId="0" fillId="2" borderId="5" xfId="0" applyNumberFormat="1" applyFont="1" applyFill="1" applyBorder="1" applyAlignment="1">
      <alignment horizontal="right"/>
    </xf>
    <xf numFmtId="0" fontId="10" fillId="2" borderId="4" xfId="0" applyFont="1" applyFill="1" applyBorder="1"/>
    <xf numFmtId="0" fontId="10" fillId="2" borderId="0" xfId="0" applyFont="1" applyFill="1" applyBorder="1"/>
    <xf numFmtId="0" fontId="0" fillId="2" borderId="0" xfId="0" applyFont="1" applyFill="1" applyBorder="1"/>
    <xf numFmtId="0" fontId="0" fillId="2" borderId="14" xfId="0" applyFont="1" applyFill="1" applyBorder="1"/>
    <xf numFmtId="0" fontId="0" fillId="2" borderId="8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9" fontId="0" fillId="2" borderId="16" xfId="1" applyFont="1" applyFill="1" applyBorder="1" applyAlignment="1">
      <alignment horizontal="center" vertical="center"/>
    </xf>
    <xf numFmtId="169" fontId="0" fillId="2" borderId="8" xfId="2" applyNumberFormat="1" applyFont="1" applyFill="1" applyBorder="1" applyAlignment="1">
      <alignment horizontal="right" vertical="center"/>
    </xf>
    <xf numFmtId="0" fontId="0" fillId="2" borderId="13" xfId="0" applyFont="1" applyFill="1" applyBorder="1"/>
    <xf numFmtId="0" fontId="11" fillId="2" borderId="15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horizontal="left" vertical="center"/>
    </xf>
    <xf numFmtId="165" fontId="0" fillId="2" borderId="0" xfId="0" applyNumberFormat="1" applyFont="1" applyFill="1" applyBorder="1"/>
    <xf numFmtId="169" fontId="0" fillId="2" borderId="0" xfId="0" applyNumberFormat="1" applyFont="1" applyFill="1" applyBorder="1"/>
    <xf numFmtId="165" fontId="5" fillId="2" borderId="0" xfId="0" applyNumberFormat="1" applyFont="1" applyFill="1" applyBorder="1"/>
    <xf numFmtId="1" fontId="5" fillId="2" borderId="0" xfId="0" applyNumberFormat="1" applyFont="1" applyFill="1" applyBorder="1"/>
    <xf numFmtId="3" fontId="0" fillId="2" borderId="0" xfId="0" applyNumberFormat="1" applyFont="1" applyFill="1" applyBorder="1"/>
    <xf numFmtId="171" fontId="0" fillId="2" borderId="0" xfId="0" applyNumberFormat="1" applyFont="1" applyFill="1" applyBorder="1"/>
    <xf numFmtId="169" fontId="5" fillId="2" borderId="0" xfId="0" applyNumberFormat="1" applyFont="1" applyFill="1" applyBorder="1"/>
    <xf numFmtId="164" fontId="0" fillId="2" borderId="0" xfId="0" applyNumberFormat="1" applyFont="1" applyFill="1" applyBorder="1" applyAlignment="1">
      <alignment horizontal="right" vertical="center"/>
    </xf>
    <xf numFmtId="165" fontId="0" fillId="2" borderId="0" xfId="0" applyNumberFormat="1" applyFont="1" applyFill="1" applyBorder="1" applyAlignment="1">
      <alignment horizontal="right" vertical="center"/>
    </xf>
    <xf numFmtId="168" fontId="0" fillId="2" borderId="0" xfId="1" applyNumberFormat="1" applyFont="1" applyFill="1" applyBorder="1"/>
    <xf numFmtId="167" fontId="0" fillId="2" borderId="0" xfId="1" applyNumberFormat="1" applyFont="1" applyFill="1" applyBorder="1"/>
    <xf numFmtId="9" fontId="0" fillId="2" borderId="0" xfId="1" applyFont="1" applyFill="1" applyBorder="1"/>
    <xf numFmtId="0" fontId="11" fillId="3" borderId="15" xfId="0" applyFont="1" applyFill="1" applyBorder="1" applyAlignment="1">
      <alignment horizontal="center" vertical="center"/>
    </xf>
    <xf numFmtId="169" fontId="0" fillId="3" borderId="8" xfId="0" applyNumberFormat="1" applyFont="1" applyFill="1" applyBorder="1" applyAlignment="1">
      <alignment horizontal="right" vertical="center"/>
    </xf>
    <xf numFmtId="9" fontId="0" fillId="3" borderId="16" xfId="1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0" fontId="0" fillId="2" borderId="0" xfId="0" applyFill="1"/>
    <xf numFmtId="9" fontId="8" fillId="2" borderId="1" xfId="0" applyNumberFormat="1" applyFont="1" applyFill="1" applyBorder="1" applyAlignment="1">
      <alignment horizontal="center" vertical="center"/>
    </xf>
    <xf numFmtId="0" fontId="5" fillId="2" borderId="8" xfId="0" applyFont="1" applyFill="1" applyBorder="1"/>
    <xf numFmtId="0" fontId="0" fillId="2" borderId="8" xfId="0" applyFill="1" applyBorder="1"/>
    <xf numFmtId="0" fontId="0" fillId="2" borderId="8" xfId="0" applyFont="1" applyFill="1" applyBorder="1"/>
    <xf numFmtId="0" fontId="14" fillId="4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69" fontId="13" fillId="3" borderId="1" xfId="0" applyNumberFormat="1" applyFont="1" applyFill="1" applyBorder="1" applyAlignment="1">
      <alignment horizontal="center" vertical="center"/>
    </xf>
    <xf numFmtId="165" fontId="8" fillId="3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169" fontId="8" fillId="2" borderId="1" xfId="1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/>
    </xf>
    <xf numFmtId="169" fontId="8" fillId="2" borderId="1" xfId="0" applyNumberFormat="1" applyFont="1" applyFill="1" applyBorder="1" applyAlignment="1">
      <alignment horizontal="center" vertical="center"/>
    </xf>
    <xf numFmtId="169" fontId="13" fillId="3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69" fontId="13" fillId="2" borderId="1" xfId="1" applyNumberFormat="1" applyFont="1" applyFill="1" applyBorder="1" applyAlignment="1">
      <alignment horizontal="center" vertical="center"/>
    </xf>
    <xf numFmtId="164" fontId="13" fillId="3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10" fontId="8" fillId="2" borderId="8" xfId="0" applyNumberFormat="1" applyFont="1" applyFill="1" applyBorder="1" applyAlignment="1">
      <alignment horizontal="right" vertical="center"/>
    </xf>
    <xf numFmtId="0" fontId="5" fillId="2" borderId="8" xfId="0" applyFont="1" applyFill="1" applyBorder="1" applyAlignment="1">
      <alignment horizontal="right" vertical="center" wrapText="1"/>
    </xf>
    <xf numFmtId="0" fontId="0" fillId="2" borderId="8" xfId="0" applyFont="1" applyFill="1" applyBorder="1" applyAlignment="1">
      <alignment horizontal="right" vertical="center" wrapText="1"/>
    </xf>
    <xf numFmtId="9" fontId="8" fillId="2" borderId="8" xfId="0" applyNumberFormat="1" applyFont="1" applyFill="1" applyBorder="1" applyAlignment="1">
      <alignment horizontal="right" vertical="center"/>
    </xf>
    <xf numFmtId="0" fontId="0" fillId="2" borderId="8" xfId="0" applyFill="1" applyBorder="1" applyAlignment="1">
      <alignment horizontal="right" vertical="center"/>
    </xf>
    <xf numFmtId="0" fontId="0" fillId="2" borderId="0" xfId="0" applyFill="1" applyAlignment="1">
      <alignment horizontal="right" vertical="center"/>
    </xf>
    <xf numFmtId="9" fontId="0" fillId="2" borderId="8" xfId="0" applyNumberFormat="1" applyFill="1" applyBorder="1" applyAlignment="1">
      <alignment horizontal="right" vertical="center"/>
    </xf>
    <xf numFmtId="10" fontId="0" fillId="2" borderId="8" xfId="0" applyNumberFormat="1" applyFont="1" applyFill="1" applyBorder="1" applyAlignment="1">
      <alignment horizontal="right" vertical="center" wrapText="1"/>
    </xf>
    <xf numFmtId="10" fontId="0" fillId="2" borderId="8" xfId="1" applyNumberFormat="1" applyFont="1" applyFill="1" applyBorder="1" applyAlignment="1">
      <alignment horizontal="right" vertical="center"/>
    </xf>
    <xf numFmtId="169" fontId="0" fillId="2" borderId="8" xfId="0" applyNumberFormat="1" applyFill="1" applyBorder="1" applyAlignment="1">
      <alignment horizontal="right" vertical="center"/>
    </xf>
    <xf numFmtId="9" fontId="8" fillId="2" borderId="1" xfId="1" applyNumberFormat="1" applyFont="1" applyFill="1" applyBorder="1" applyAlignment="1">
      <alignment horizontal="center" vertical="center"/>
    </xf>
    <xf numFmtId="9" fontId="13" fillId="2" borderId="1" xfId="1" applyNumberFormat="1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right" vertical="center"/>
    </xf>
    <xf numFmtId="0" fontId="5" fillId="3" borderId="8" xfId="0" applyFont="1" applyFill="1" applyBorder="1"/>
    <xf numFmtId="10" fontId="5" fillId="3" borderId="8" xfId="1" applyNumberFormat="1" applyFont="1" applyFill="1" applyBorder="1"/>
    <xf numFmtId="169" fontId="0" fillId="2" borderId="8" xfId="1" applyNumberFormat="1" applyFont="1" applyFill="1" applyBorder="1" applyAlignment="1">
      <alignment horizontal="right" vertical="center"/>
    </xf>
    <xf numFmtId="10" fontId="0" fillId="2" borderId="0" xfId="1" applyNumberFormat="1" applyFont="1" applyFill="1" applyBorder="1" applyAlignment="1">
      <alignment horizontal="right" vertical="center"/>
    </xf>
    <xf numFmtId="10" fontId="1" fillId="2" borderId="8" xfId="1" applyNumberFormat="1" applyFont="1" applyFill="1" applyBorder="1" applyAlignment="1">
      <alignment horizontal="right" vertical="center"/>
    </xf>
    <xf numFmtId="0" fontId="8" fillId="2" borderId="0" xfId="0" applyFont="1" applyFill="1" applyAlignment="1">
      <alignment horizontal="right" vertical="center" wrapText="1"/>
    </xf>
    <xf numFmtId="0" fontId="8" fillId="2" borderId="0" xfId="0" applyFont="1" applyFill="1" applyAlignment="1">
      <alignment vertical="center" wrapText="1"/>
    </xf>
    <xf numFmtId="9" fontId="8" fillId="2" borderId="0" xfId="1" applyNumberFormat="1" applyFont="1" applyFill="1" applyAlignment="1">
      <alignment horizontal="right" vertical="center"/>
    </xf>
    <xf numFmtId="9" fontId="8" fillId="2" borderId="0" xfId="1" applyFont="1" applyFill="1" applyAlignment="1">
      <alignment horizontal="right" vertical="center"/>
    </xf>
    <xf numFmtId="169" fontId="8" fillId="2" borderId="0" xfId="0" applyNumberFormat="1" applyFont="1" applyFill="1" applyAlignment="1">
      <alignment horizontal="right" vertical="center" wrapText="1"/>
    </xf>
    <xf numFmtId="0" fontId="0" fillId="2" borderId="0" xfId="0" applyFill="1" applyBorder="1"/>
    <xf numFmtId="169" fontId="0" fillId="2" borderId="8" xfId="0" applyNumberFormat="1" applyFill="1" applyBorder="1" applyAlignment="1">
      <alignment horizontal="right"/>
    </xf>
    <xf numFmtId="0" fontId="5" fillId="5" borderId="8" xfId="0" applyFont="1" applyFill="1" applyBorder="1" applyAlignment="1">
      <alignment horizontal="right" vertical="center"/>
    </xf>
    <xf numFmtId="169" fontId="0" fillId="5" borderId="8" xfId="1" applyNumberFormat="1" applyFont="1" applyFill="1" applyBorder="1" applyAlignment="1">
      <alignment horizontal="right" vertical="center"/>
    </xf>
    <xf numFmtId="169" fontId="0" fillId="5" borderId="8" xfId="0" applyNumberFormat="1" applyFill="1" applyBorder="1" applyAlignment="1">
      <alignment horizontal="right" vertical="center"/>
    </xf>
    <xf numFmtId="10" fontId="1" fillId="5" borderId="8" xfId="1" applyNumberFormat="1" applyFont="1" applyFill="1" applyBorder="1" applyAlignment="1">
      <alignment horizontal="right" vertical="center"/>
    </xf>
    <xf numFmtId="175" fontId="5" fillId="2" borderId="5" xfId="1" applyNumberFormat="1" applyFont="1" applyFill="1" applyBorder="1"/>
    <xf numFmtId="2" fontId="0" fillId="2" borderId="8" xfId="0" applyNumberFormat="1" applyFill="1" applyBorder="1"/>
    <xf numFmtId="0" fontId="0" fillId="5" borderId="8" xfId="0" applyFill="1" applyBorder="1"/>
    <xf numFmtId="0" fontId="5" fillId="0" borderId="8" xfId="0" applyFont="1" applyBorder="1"/>
    <xf numFmtId="0" fontId="0" fillId="3" borderId="8" xfId="0" applyFill="1" applyBorder="1"/>
    <xf numFmtId="0" fontId="0" fillId="3" borderId="8" xfId="0" applyFill="1" applyBorder="1" applyAlignment="1">
      <alignment horizontal="right" vertical="center"/>
    </xf>
    <xf numFmtId="0" fontId="0" fillId="2" borderId="0" xfId="0" applyFill="1" applyBorder="1" applyAlignment="1">
      <alignment horizontal="right" vertical="center"/>
    </xf>
    <xf numFmtId="0" fontId="6" fillId="2" borderId="0" xfId="0" applyFont="1" applyFill="1" applyAlignment="1">
      <alignment horizontal="left" vertical="center" wrapText="1"/>
    </xf>
    <xf numFmtId="164" fontId="0" fillId="2" borderId="0" xfId="0" applyNumberFormat="1" applyFill="1"/>
    <xf numFmtId="165" fontId="0" fillId="2" borderId="0" xfId="0" applyNumberFormat="1" applyFill="1"/>
    <xf numFmtId="0" fontId="5" fillId="2" borderId="1" xfId="0" applyFont="1" applyFill="1" applyBorder="1" applyAlignment="1">
      <alignment horizontal="right" vertical="center"/>
    </xf>
    <xf numFmtId="164" fontId="6" fillId="2" borderId="1" xfId="0" applyNumberFormat="1" applyFont="1" applyFill="1" applyBorder="1" applyAlignment="1">
      <alignment horizontal="right" vertical="center"/>
    </xf>
    <xf numFmtId="164" fontId="0" fillId="2" borderId="1" xfId="0" applyNumberFormat="1" applyFont="1" applyFill="1" applyBorder="1" applyAlignment="1">
      <alignment horizontal="right" vertical="center"/>
    </xf>
    <xf numFmtId="9" fontId="0" fillId="2" borderId="1" xfId="1" applyFont="1" applyFill="1" applyBorder="1"/>
    <xf numFmtId="0" fontId="0" fillId="2" borderId="1" xfId="0" applyFill="1" applyBorder="1"/>
    <xf numFmtId="165" fontId="6" fillId="2" borderId="1" xfId="0" applyNumberFormat="1" applyFont="1" applyFill="1" applyBorder="1" applyAlignment="1">
      <alignment horizontal="right" vertical="center"/>
    </xf>
    <xf numFmtId="165" fontId="0" fillId="2" borderId="1" xfId="0" applyNumberFormat="1" applyFont="1" applyFill="1" applyBorder="1" applyAlignment="1">
      <alignment horizontal="right" vertical="center"/>
    </xf>
    <xf numFmtId="164" fontId="6" fillId="3" borderId="1" xfId="0" applyNumberFormat="1" applyFont="1" applyFill="1" applyBorder="1" applyAlignment="1">
      <alignment horizontal="right" vertical="center"/>
    </xf>
    <xf numFmtId="0" fontId="0" fillId="3" borderId="0" xfId="0" applyFont="1" applyFill="1" applyAlignment="1">
      <alignment horizontal="right" vertical="center"/>
    </xf>
    <xf numFmtId="165" fontId="6" fillId="3" borderId="1" xfId="0" applyNumberFormat="1" applyFont="1" applyFill="1" applyBorder="1" applyAlignment="1">
      <alignment horizontal="right" vertical="center"/>
    </xf>
    <xf numFmtId="0" fontId="6" fillId="3" borderId="0" xfId="0" applyFont="1" applyFill="1" applyAlignment="1">
      <alignment horizontal="left" vertical="center" wrapText="1"/>
    </xf>
    <xf numFmtId="165" fontId="0" fillId="3" borderId="1" xfId="0" applyNumberFormat="1" applyFont="1" applyFill="1" applyBorder="1" applyAlignment="1">
      <alignment horizontal="right" vertical="center"/>
    </xf>
    <xf numFmtId="164" fontId="0" fillId="3" borderId="0" xfId="0" applyNumberFormat="1" applyFont="1" applyFill="1" applyAlignment="1">
      <alignment horizontal="right" vertical="center"/>
    </xf>
    <xf numFmtId="0" fontId="0" fillId="4" borderId="0" xfId="0" applyFont="1" applyFill="1" applyAlignment="1">
      <alignment horizontal="left" vertical="center" wrapText="1"/>
    </xf>
    <xf numFmtId="164" fontId="0" fillId="4" borderId="1" xfId="0" applyNumberFormat="1" applyFont="1" applyFill="1" applyBorder="1" applyAlignment="1">
      <alignment horizontal="right" vertical="center"/>
    </xf>
    <xf numFmtId="0" fontId="0" fillId="4" borderId="0" xfId="0" applyFont="1" applyFill="1" applyAlignment="1">
      <alignment horizontal="right" vertical="center"/>
    </xf>
    <xf numFmtId="165" fontId="0" fillId="4" borderId="1" xfId="0" applyNumberFormat="1" applyFont="1" applyFill="1" applyBorder="1" applyAlignment="1">
      <alignment horizontal="right" vertical="center"/>
    </xf>
    <xf numFmtId="0" fontId="0" fillId="4" borderId="1" xfId="0" applyFont="1" applyFill="1" applyBorder="1" applyAlignment="1">
      <alignment horizontal="right" vertical="center"/>
    </xf>
    <xf numFmtId="0" fontId="16" fillId="2" borderId="0" xfId="0" applyFont="1" applyFill="1"/>
    <xf numFmtId="0" fontId="17" fillId="2" borderId="0" xfId="0" applyFont="1" applyFill="1"/>
    <xf numFmtId="0" fontId="18" fillId="4" borderId="0" xfId="0" applyFont="1" applyFill="1"/>
    <xf numFmtId="0" fontId="19" fillId="2" borderId="0" xfId="0" applyFont="1" applyFill="1"/>
    <xf numFmtId="0" fontId="20" fillId="3" borderId="0" xfId="0" applyFont="1" applyFill="1"/>
    <xf numFmtId="0" fontId="16" fillId="3" borderId="0" xfId="0" applyFont="1" applyFill="1"/>
    <xf numFmtId="0" fontId="20" fillId="2" borderId="0" xfId="0" applyFont="1" applyFill="1"/>
    <xf numFmtId="0" fontId="21" fillId="2" borderId="0" xfId="0" applyFont="1" applyFill="1"/>
    <xf numFmtId="168" fontId="8" fillId="2" borderId="1" xfId="1" applyNumberFormat="1" applyFont="1" applyFill="1" applyBorder="1"/>
    <xf numFmtId="167" fontId="8" fillId="2" borderId="1" xfId="1" applyNumberFormat="1" applyFont="1" applyFill="1" applyBorder="1"/>
    <xf numFmtId="0" fontId="22" fillId="2" borderId="0" xfId="0" applyFont="1" applyFill="1" applyAlignment="1">
      <alignment horizontal="left" vertical="center" wrapText="1"/>
    </xf>
    <xf numFmtId="166" fontId="22" fillId="2" borderId="1" xfId="1" applyNumberFormat="1" applyFont="1" applyFill="1" applyBorder="1" applyAlignment="1">
      <alignment horizontal="right" vertical="center"/>
    </xf>
    <xf numFmtId="166" fontId="8" fillId="2" borderId="0" xfId="1" applyNumberFormat="1" applyFont="1" applyFill="1" applyAlignment="1">
      <alignment horizontal="right" vertical="center"/>
    </xf>
    <xf numFmtId="166" fontId="13" fillId="2" borderId="1" xfId="1" applyNumberFormat="1" applyFont="1" applyFill="1" applyBorder="1" applyAlignment="1">
      <alignment horizontal="right" vertical="center"/>
    </xf>
    <xf numFmtId="0" fontId="13" fillId="2" borderId="0" xfId="0" applyFont="1" applyFill="1" applyAlignment="1">
      <alignment horizontal="right" vertical="center"/>
    </xf>
    <xf numFmtId="167" fontId="13" fillId="2" borderId="1" xfId="1" applyNumberFormat="1" applyFont="1" applyFill="1" applyBorder="1" applyAlignment="1">
      <alignment horizontal="right" vertical="center"/>
    </xf>
    <xf numFmtId="164" fontId="8" fillId="2" borderId="1" xfId="0" applyNumberFormat="1" applyFont="1" applyFill="1" applyBorder="1" applyAlignment="1">
      <alignment horizontal="right" vertical="center"/>
    </xf>
    <xf numFmtId="0" fontId="8" fillId="2" borderId="0" xfId="0" applyFont="1" applyFill="1" applyAlignment="1">
      <alignment horizontal="right" vertical="center"/>
    </xf>
    <xf numFmtId="166" fontId="23" fillId="2" borderId="1" xfId="1" applyNumberFormat="1" applyFont="1" applyFill="1" applyBorder="1" applyAlignment="1">
      <alignment horizontal="right" vertical="center"/>
    </xf>
    <xf numFmtId="10" fontId="4" fillId="2" borderId="20" xfId="1" applyNumberFormat="1" applyFont="1" applyFill="1" applyBorder="1"/>
    <xf numFmtId="166" fontId="7" fillId="2" borderId="20" xfId="1" applyNumberFormat="1" applyFont="1" applyFill="1" applyBorder="1"/>
    <xf numFmtId="167" fontId="7" fillId="2" borderId="20" xfId="1" applyNumberFormat="1" applyFont="1" applyFill="1" applyBorder="1"/>
    <xf numFmtId="167" fontId="4" fillId="2" borderId="20" xfId="1" applyNumberFormat="1" applyFont="1" applyFill="1" applyBorder="1"/>
    <xf numFmtId="166" fontId="4" fillId="2" borderId="20" xfId="1" applyNumberFormat="1" applyFont="1" applyFill="1" applyBorder="1"/>
    <xf numFmtId="167" fontId="0" fillId="2" borderId="20" xfId="1" applyNumberFormat="1" applyFont="1" applyFill="1" applyBorder="1"/>
    <xf numFmtId="175" fontId="8" fillId="2" borderId="0" xfId="1" applyNumberFormat="1" applyFont="1" applyFill="1" applyAlignment="1">
      <alignment horizontal="right" vertical="center"/>
    </xf>
    <xf numFmtId="169" fontId="0" fillId="5" borderId="8" xfId="0" applyNumberFormat="1" applyFill="1" applyBorder="1" applyAlignment="1">
      <alignment horizontal="right"/>
    </xf>
    <xf numFmtId="0" fontId="5" fillId="5" borderId="0" xfId="0" applyFont="1" applyFill="1"/>
    <xf numFmtId="0" fontId="0" fillId="2" borderId="0" xfId="0" applyFill="1" applyAlignment="1">
      <alignment horizontal="left" vertical="center"/>
    </xf>
    <xf numFmtId="0" fontId="11" fillId="3" borderId="8" xfId="0" applyFont="1" applyFill="1" applyBorder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0" fillId="0" borderId="0" xfId="0" applyBorder="1"/>
    <xf numFmtId="0" fontId="0" fillId="0" borderId="24" xfId="0" applyBorder="1"/>
    <xf numFmtId="0" fontId="0" fillId="0" borderId="13" xfId="0" applyBorder="1"/>
    <xf numFmtId="0" fontId="0" fillId="0" borderId="14" xfId="0" applyBorder="1"/>
    <xf numFmtId="0" fontId="0" fillId="0" borderId="24" xfId="0" applyBorder="1" applyAlignment="1">
      <alignment horizontal="center" vertical="center"/>
    </xf>
    <xf numFmtId="0" fontId="0" fillId="0" borderId="30" xfId="0" applyBorder="1"/>
    <xf numFmtId="0" fontId="11" fillId="0" borderId="32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12" fillId="5" borderId="32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8" xfId="0" applyBorder="1"/>
    <xf numFmtId="0" fontId="0" fillId="2" borderId="32" xfId="0" applyFont="1" applyFill="1" applyBorder="1"/>
    <xf numFmtId="0" fontId="0" fillId="5" borderId="32" xfId="0" applyFill="1" applyBorder="1" applyAlignment="1">
      <alignment horizontal="center" vertical="center"/>
    </xf>
    <xf numFmtId="0" fontId="5" fillId="2" borderId="31" xfId="0" applyFont="1" applyFill="1" applyBorder="1"/>
    <xf numFmtId="0" fontId="0" fillId="2" borderId="31" xfId="0" applyFont="1" applyFill="1" applyBorder="1"/>
    <xf numFmtId="0" fontId="0" fillId="0" borderId="32" xfId="0" applyBorder="1"/>
    <xf numFmtId="0" fontId="0" fillId="0" borderId="31" xfId="0" applyBorder="1"/>
    <xf numFmtId="0" fontId="25" fillId="0" borderId="40" xfId="0" applyFont="1" applyBorder="1" applyAlignment="1">
      <alignment horizontal="center" vertical="center"/>
    </xf>
    <xf numFmtId="9" fontId="0" fillId="2" borderId="31" xfId="1" applyFont="1" applyFill="1" applyBorder="1"/>
    <xf numFmtId="9" fontId="0" fillId="2" borderId="31" xfId="0" applyNumberFormat="1" applyFont="1" applyFill="1" applyBorder="1"/>
    <xf numFmtId="175" fontId="0" fillId="2" borderId="31" xfId="1" applyNumberFormat="1" applyFont="1" applyFill="1" applyBorder="1"/>
    <xf numFmtId="9" fontId="0" fillId="2" borderId="39" xfId="1" applyFont="1" applyFill="1" applyBorder="1"/>
    <xf numFmtId="9" fontId="0" fillId="2" borderId="37" xfId="0" applyNumberFormat="1" applyFont="1" applyFill="1" applyBorder="1"/>
    <xf numFmtId="9" fontId="5" fillId="2" borderId="32" xfId="0" applyNumberFormat="1" applyFont="1" applyFill="1" applyBorder="1"/>
    <xf numFmtId="0" fontId="0" fillId="0" borderId="13" xfId="0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10" fontId="0" fillId="2" borderId="0" xfId="0" applyNumberFormat="1" applyFill="1" applyBorder="1" applyAlignment="1">
      <alignment horizontal="center" vertical="center"/>
    </xf>
    <xf numFmtId="172" fontId="0" fillId="2" borderId="0" xfId="2" applyNumberFormat="1" applyFont="1" applyFill="1" applyBorder="1" applyAlignment="1">
      <alignment horizontal="center" vertical="center"/>
    </xf>
    <xf numFmtId="2" fontId="0" fillId="2" borderId="0" xfId="0" applyNumberForma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178" fontId="0" fillId="2" borderId="0" xfId="2" applyNumberFormat="1" applyFont="1" applyFill="1" applyBorder="1" applyAlignment="1">
      <alignment horizontal="center" vertical="center"/>
    </xf>
    <xf numFmtId="9" fontId="0" fillId="2" borderId="0" xfId="0" applyNumberForma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166" fontId="0" fillId="2" borderId="0" xfId="0" applyNumberFormat="1" applyFill="1" applyBorder="1" applyAlignment="1">
      <alignment horizontal="center" vertical="center"/>
    </xf>
    <xf numFmtId="10" fontId="0" fillId="2" borderId="0" xfId="0" applyNumberFormat="1" applyFill="1" applyBorder="1" applyAlignment="1">
      <alignment horizontal="center"/>
    </xf>
    <xf numFmtId="0" fontId="25" fillId="2" borderId="0" xfId="0" applyFont="1" applyFill="1" applyBorder="1" applyAlignment="1">
      <alignment horizontal="center" vertical="center"/>
    </xf>
    <xf numFmtId="10" fontId="0" fillId="2" borderId="0" xfId="1" applyNumberFormat="1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0" fillId="2" borderId="0" xfId="0" applyNumberFormat="1" applyFill="1" applyBorder="1" applyAlignment="1">
      <alignment horizontal="center" vertical="center"/>
    </xf>
    <xf numFmtId="10" fontId="8" fillId="2" borderId="1" xfId="0" applyNumberFormat="1" applyFont="1" applyFill="1" applyBorder="1" applyAlignment="1">
      <alignment horizontal="center" vertical="center"/>
    </xf>
    <xf numFmtId="176" fontId="0" fillId="2" borderId="0" xfId="0" applyNumberFormat="1" applyFill="1"/>
    <xf numFmtId="0" fontId="0" fillId="2" borderId="20" xfId="0" applyFill="1" applyBorder="1" applyAlignment="1">
      <alignment horizontal="left"/>
    </xf>
    <xf numFmtId="0" fontId="5" fillId="2" borderId="20" xfId="0" applyFont="1" applyFill="1" applyBorder="1" applyAlignment="1">
      <alignment horizontal="left"/>
    </xf>
    <xf numFmtId="0" fontId="0" fillId="2" borderId="20" xfId="0" applyFill="1" applyBorder="1" applyAlignment="1"/>
    <xf numFmtId="0" fontId="27" fillId="7" borderId="27" xfId="0" applyFont="1" applyFill="1" applyBorder="1" applyAlignment="1">
      <alignment horizontal="center" vertical="center"/>
    </xf>
    <xf numFmtId="0" fontId="27" fillId="7" borderId="13" xfId="0" applyFont="1" applyFill="1" applyBorder="1" applyAlignment="1">
      <alignment horizontal="center" vertical="center"/>
    </xf>
    <xf numFmtId="0" fontId="27" fillId="7" borderId="28" xfId="0" applyFont="1" applyFill="1" applyBorder="1" applyAlignment="1">
      <alignment horizontal="center" vertical="center"/>
    </xf>
    <xf numFmtId="0" fontId="24" fillId="4" borderId="33" xfId="0" applyFont="1" applyFill="1" applyBorder="1" applyAlignment="1">
      <alignment horizontal="center" vertical="center"/>
    </xf>
    <xf numFmtId="0" fontId="24" fillId="4" borderId="34" xfId="0" applyFont="1" applyFill="1" applyBorder="1" applyAlignment="1">
      <alignment horizontal="center" vertical="center"/>
    </xf>
    <xf numFmtId="0" fontId="24" fillId="4" borderId="35" xfId="0" applyFont="1" applyFill="1" applyBorder="1" applyAlignment="1">
      <alignment horizontal="center" vertical="center"/>
    </xf>
    <xf numFmtId="0" fontId="11" fillId="7" borderId="13" xfId="0" applyFont="1" applyFill="1" applyBorder="1" applyAlignment="1">
      <alignment horizontal="center" vertical="center"/>
    </xf>
    <xf numFmtId="0" fontId="11" fillId="7" borderId="14" xfId="0" applyFont="1" applyFill="1" applyBorder="1" applyAlignment="1">
      <alignment horizontal="center" vertical="center"/>
    </xf>
    <xf numFmtId="0" fontId="11" fillId="7" borderId="32" xfId="0" applyFont="1" applyFill="1" applyBorder="1" applyAlignment="1">
      <alignment horizontal="center"/>
    </xf>
    <xf numFmtId="0" fontId="11" fillId="7" borderId="31" xfId="0" applyFont="1" applyFill="1" applyBorder="1" applyAlignment="1">
      <alignment horizontal="center"/>
    </xf>
    <xf numFmtId="0" fontId="0" fillId="0" borderId="32" xfId="0" applyBorder="1" applyAlignment="1">
      <alignment horizontal="center" vertical="center"/>
    </xf>
    <xf numFmtId="175" fontId="0" fillId="2" borderId="41" xfId="1" applyNumberFormat="1" applyFont="1" applyFill="1" applyBorder="1" applyAlignment="1">
      <alignment horizontal="center"/>
    </xf>
    <xf numFmtId="175" fontId="0" fillId="2" borderId="42" xfId="1" applyNumberFormat="1" applyFont="1" applyFill="1" applyBorder="1" applyAlignment="1">
      <alignment horizont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2" borderId="29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/>
    </xf>
    <xf numFmtId="0" fontId="27" fillId="2" borderId="0" xfId="0" applyFont="1" applyFill="1" applyBorder="1" applyAlignment="1">
      <alignment horizontal="center" vertical="center"/>
    </xf>
    <xf numFmtId="175" fontId="28" fillId="2" borderId="0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75" fontId="0" fillId="2" borderId="0" xfId="1" applyNumberFormat="1" applyFont="1" applyFill="1" applyBorder="1" applyAlignment="1">
      <alignment horizontal="center" vertical="center"/>
    </xf>
    <xf numFmtId="173" fontId="0" fillId="2" borderId="8" xfId="2" applyNumberFormat="1" applyFont="1" applyFill="1" applyBorder="1" applyAlignment="1">
      <alignment horizontal="center" vertical="center"/>
    </xf>
    <xf numFmtId="173" fontId="0" fillId="2" borderId="16" xfId="2" applyNumberFormat="1" applyFont="1" applyFill="1" applyBorder="1" applyAlignment="1">
      <alignment horizontal="center" vertical="center"/>
    </xf>
    <xf numFmtId="174" fontId="0" fillId="2" borderId="8" xfId="2" applyNumberFormat="1" applyFont="1" applyFill="1" applyBorder="1" applyAlignment="1">
      <alignment horizontal="center" vertical="center"/>
    </xf>
    <xf numFmtId="174" fontId="0" fillId="2" borderId="16" xfId="2" applyNumberFormat="1" applyFont="1" applyFill="1" applyBorder="1" applyAlignment="1">
      <alignment horizontal="center" vertical="center"/>
    </xf>
    <xf numFmtId="176" fontId="11" fillId="3" borderId="18" xfId="2" applyNumberFormat="1" applyFont="1" applyFill="1" applyBorder="1" applyAlignment="1">
      <alignment horizontal="center" vertical="center"/>
    </xf>
    <xf numFmtId="176" fontId="11" fillId="3" borderId="19" xfId="2" applyNumberFormat="1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1" fillId="4" borderId="10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172" fontId="0" fillId="3" borderId="8" xfId="2" applyNumberFormat="1" applyFont="1" applyFill="1" applyBorder="1" applyAlignment="1">
      <alignment horizontal="center" vertical="center"/>
    </xf>
    <xf numFmtId="172" fontId="0" fillId="3" borderId="16" xfId="2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0" fillId="3" borderId="8" xfId="0" applyFill="1" applyBorder="1" applyAlignment="1">
      <alignment horizontal="left" vertical="center"/>
    </xf>
    <xf numFmtId="0" fontId="0" fillId="2" borderId="8" xfId="0" applyFill="1" applyBorder="1" applyAlignment="1">
      <alignment horizontal="center"/>
    </xf>
    <xf numFmtId="0" fontId="5" fillId="2" borderId="0" xfId="0" applyFont="1" applyFill="1" applyBorder="1" applyAlignment="1">
      <alignment horizontal="left" vertical="center"/>
    </xf>
    <xf numFmtId="2" fontId="0" fillId="6" borderId="9" xfId="0" applyNumberFormat="1" applyFill="1" applyBorder="1" applyAlignment="1">
      <alignment horizontal="center"/>
    </xf>
    <xf numFmtId="2" fontId="0" fillId="6" borderId="20" xfId="0" applyNumberFormat="1" applyFill="1" applyBorder="1" applyAlignment="1">
      <alignment horizontal="center"/>
    </xf>
    <xf numFmtId="2" fontId="0" fillId="6" borderId="21" xfId="0" applyNumberFormat="1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20" xfId="0" applyFill="1" applyBorder="1" applyAlignment="1">
      <alignment horizontal="center"/>
    </xf>
    <xf numFmtId="0" fontId="0" fillId="6" borderId="21" xfId="0" applyFill="1" applyBorder="1" applyAlignment="1">
      <alignment horizontal="center"/>
    </xf>
    <xf numFmtId="0" fontId="0" fillId="3" borderId="8" xfId="0" applyFill="1" applyBorder="1" applyAlignment="1">
      <alignment horizontal="left"/>
    </xf>
    <xf numFmtId="166" fontId="5" fillId="0" borderId="8" xfId="1" applyNumberFormat="1" applyFont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177" fontId="0" fillId="2" borderId="49" xfId="0" applyNumberFormat="1" applyFill="1" applyBorder="1" applyAlignment="1">
      <alignment horizontal="center" vertical="center"/>
    </xf>
    <xf numFmtId="177" fontId="0" fillId="2" borderId="47" xfId="0" applyNumberFormat="1" applyFill="1" applyBorder="1" applyAlignment="1">
      <alignment horizontal="center" vertical="center"/>
    </xf>
    <xf numFmtId="177" fontId="0" fillId="2" borderId="45" xfId="0" applyNumberFormat="1" applyFill="1" applyBorder="1" applyAlignment="1">
      <alignment horizontal="center" vertical="center"/>
    </xf>
    <xf numFmtId="177" fontId="0" fillId="2" borderId="48" xfId="0" applyNumberFormat="1" applyFill="1" applyBorder="1" applyAlignment="1">
      <alignment horizontal="center" vertical="center"/>
    </xf>
    <xf numFmtId="177" fontId="0" fillId="2" borderId="46" xfId="0" applyNumberFormat="1" applyFill="1" applyBorder="1" applyAlignment="1">
      <alignment horizontal="center" vertical="center"/>
    </xf>
    <xf numFmtId="177" fontId="0" fillId="2" borderId="50" xfId="0" applyNumberFormat="1" applyFill="1" applyBorder="1" applyAlignment="1">
      <alignment horizontal="center" vertical="center"/>
    </xf>
    <xf numFmtId="177" fontId="0" fillId="2" borderId="44" xfId="0" applyNumberFormat="1" applyFill="1" applyBorder="1" applyAlignment="1">
      <alignment horizontal="center" vertical="center"/>
    </xf>
    <xf numFmtId="177" fontId="0" fillId="2" borderId="23" xfId="0" applyNumberFormat="1" applyFill="1" applyBorder="1" applyAlignment="1">
      <alignment horizontal="center" vertical="center"/>
    </xf>
    <xf numFmtId="176" fontId="0" fillId="2" borderId="22" xfId="0" applyNumberFormat="1" applyFill="1" applyBorder="1" applyAlignment="1">
      <alignment horizontal="center" vertical="center"/>
    </xf>
    <xf numFmtId="176" fontId="0" fillId="2" borderId="23" xfId="0" applyNumberFormat="1" applyFill="1" applyBorder="1" applyAlignment="1">
      <alignment horizontal="center" vertical="center"/>
    </xf>
    <xf numFmtId="177" fontId="0" fillId="6" borderId="22" xfId="0" applyNumberFormat="1" applyFill="1" applyBorder="1" applyAlignment="1">
      <alignment horizontal="center" vertical="center"/>
    </xf>
    <xf numFmtId="177" fontId="0" fillId="6" borderId="23" xfId="0" applyNumberFormat="1" applyFill="1" applyBorder="1" applyAlignment="1">
      <alignment horizontal="center" vertical="center"/>
    </xf>
    <xf numFmtId="177" fontId="0" fillId="2" borderId="22" xfId="0" applyNumberFormat="1" applyFill="1" applyBorder="1" applyAlignment="1">
      <alignment horizontal="center" vertical="center"/>
    </xf>
    <xf numFmtId="177" fontId="0" fillId="2" borderId="51" xfId="0" applyNumberFormat="1" applyFill="1" applyBorder="1" applyAlignment="1">
      <alignment horizontal="center" vertical="center"/>
    </xf>
    <xf numFmtId="176" fontId="0" fillId="6" borderId="22" xfId="0" applyNumberFormat="1" applyFill="1" applyBorder="1" applyAlignment="1">
      <alignment horizontal="center" vertical="center"/>
    </xf>
    <xf numFmtId="176" fontId="0" fillId="6" borderId="23" xfId="0" applyNumberForma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6" borderId="22" xfId="0" applyFont="1" applyFill="1" applyBorder="1" applyAlignment="1">
      <alignment horizontal="center" vertical="center"/>
    </xf>
    <xf numFmtId="0" fontId="5" fillId="6" borderId="23" xfId="0" applyFont="1" applyFill="1" applyBorder="1" applyAlignment="1">
      <alignment horizontal="center" vertical="center"/>
    </xf>
    <xf numFmtId="175" fontId="0" fillId="2" borderId="22" xfId="1" applyNumberFormat="1" applyFont="1" applyFill="1" applyBorder="1" applyAlignment="1">
      <alignment horizontal="center" vertical="center"/>
    </xf>
    <xf numFmtId="175" fontId="0" fillId="2" borderId="1" xfId="1" applyNumberFormat="1" applyFont="1" applyFill="1" applyBorder="1" applyAlignment="1">
      <alignment horizontal="center" vertical="center"/>
    </xf>
    <xf numFmtId="10" fontId="0" fillId="2" borderId="2" xfId="1" applyNumberFormat="1" applyFont="1" applyFill="1" applyBorder="1" applyAlignment="1">
      <alignment horizontal="center" vertical="center"/>
    </xf>
    <xf numFmtId="10" fontId="0" fillId="2" borderId="6" xfId="1" applyNumberFormat="1" applyFont="1" applyFill="1" applyBorder="1" applyAlignment="1">
      <alignment horizontal="center" vertical="center"/>
    </xf>
    <xf numFmtId="177" fontId="0" fillId="2" borderId="43" xfId="0" applyNumberFormat="1" applyFill="1" applyBorder="1" applyAlignment="1">
      <alignment horizontal="center" vertical="center"/>
    </xf>
    <xf numFmtId="177" fontId="0" fillId="2" borderId="52" xfId="0" applyNumberFormat="1" applyFill="1" applyBorder="1" applyAlignment="1">
      <alignment horizontal="center" vertical="center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_rels/chart4.xml.rels><?xml version="1.0" encoding="UTF-8" standalone="yes"?>
<Relationships xmlns="http://schemas.openxmlformats.org/package/2006/relationships"><Relationship Id="rId1" Type="http://schemas.microsoft.com/office/2011/relationships/chartStyle" Target="style4.xml"/><Relationship Id="rId2" Type="http://schemas.microsoft.com/office/2011/relationships/chartColorStyle" Target="colors4.xml"/></Relationships>
</file>

<file path=xl/charts/_rels/chart5.xml.rels><?xml version="1.0" encoding="UTF-8" standalone="yes"?>
<Relationships xmlns="http://schemas.openxmlformats.org/package/2006/relationships"><Relationship Id="rId1" Type="http://schemas.microsoft.com/office/2011/relationships/chartStyle" Target="style5.xml"/><Relationship Id="rId2" Type="http://schemas.microsoft.com/office/2011/relationships/chartColorStyle" Target="colors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AB</a:t>
            </a:r>
            <a:r>
              <a:rPr lang="en-US" baseline="0"/>
              <a:t> Operating Margin (annual)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numRef>
              <c:f>'Activision Margins'!$C$1:$H$1</c:f>
              <c:numCache>
                <c:formatCode>General</c:formatCode>
                <c:ptCount val="6"/>
                <c:pt idx="0">
                  <c:v>2011.0</c:v>
                </c:pt>
                <c:pt idx="1">
                  <c:v>2012.0</c:v>
                </c:pt>
                <c:pt idx="2">
                  <c:v>2013.0</c:v>
                </c:pt>
                <c:pt idx="3">
                  <c:v>2014.0</c:v>
                </c:pt>
                <c:pt idx="4">
                  <c:v>2015.0</c:v>
                </c:pt>
                <c:pt idx="5">
                  <c:v>2016.0</c:v>
                </c:pt>
              </c:numCache>
            </c:numRef>
          </c:cat>
          <c:val>
            <c:numRef>
              <c:f>'Activision Margins'!$C$2:$H$2</c:f>
              <c:numCache>
                <c:formatCode>General</c:formatCode>
                <c:ptCount val="6"/>
                <c:pt idx="0" formatCode="0.00">
                  <c:v>27.9</c:v>
                </c:pt>
                <c:pt idx="1">
                  <c:v>29.9</c:v>
                </c:pt>
                <c:pt idx="2">
                  <c:v>29.9</c:v>
                </c:pt>
                <c:pt idx="3">
                  <c:v>26.8</c:v>
                </c:pt>
                <c:pt idx="4">
                  <c:v>28.3</c:v>
                </c:pt>
                <c:pt idx="5">
                  <c:v>21.36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42451136"/>
        <c:axId val="2144153408"/>
      </c:lineChart>
      <c:catAx>
        <c:axId val="2142451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44153408"/>
        <c:crosses val="autoZero"/>
        <c:auto val="1"/>
        <c:lblAlgn val="ctr"/>
        <c:lblOffset val="100"/>
        <c:noMultiLvlLbl val="0"/>
      </c:catAx>
      <c:valAx>
        <c:axId val="2144153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42451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AB</a:t>
            </a:r>
            <a:r>
              <a:rPr lang="en-US" baseline="0"/>
              <a:t> Gross Margin (annual)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'Activision Margins'!$C$5:$H$5</c:f>
              <c:numCache>
                <c:formatCode>General</c:formatCode>
                <c:ptCount val="6"/>
                <c:pt idx="0">
                  <c:v>2011.0</c:v>
                </c:pt>
                <c:pt idx="1">
                  <c:v>2012.0</c:v>
                </c:pt>
                <c:pt idx="2">
                  <c:v>2013.0</c:v>
                </c:pt>
                <c:pt idx="3">
                  <c:v>2014.0</c:v>
                </c:pt>
                <c:pt idx="4">
                  <c:v>2015.0</c:v>
                </c:pt>
                <c:pt idx="5">
                  <c:v>2016.0</c:v>
                </c:pt>
              </c:numCache>
            </c:numRef>
          </c:cat>
          <c:val>
            <c:numRef>
              <c:f>'Activision Margins'!$C$6:$H$6</c:f>
              <c:numCache>
                <c:formatCode>General</c:formatCode>
                <c:ptCount val="6"/>
                <c:pt idx="0">
                  <c:v>62.7</c:v>
                </c:pt>
                <c:pt idx="1">
                  <c:v>65.8</c:v>
                </c:pt>
                <c:pt idx="2">
                  <c:v>66.6</c:v>
                </c:pt>
                <c:pt idx="3">
                  <c:v>65.4</c:v>
                </c:pt>
                <c:pt idx="4">
                  <c:v>66.0</c:v>
                </c:pt>
                <c:pt idx="5">
                  <c:v>63.77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32317120"/>
        <c:axId val="2132604384"/>
      </c:lineChart>
      <c:catAx>
        <c:axId val="2132317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32604384"/>
        <c:crosses val="autoZero"/>
        <c:auto val="1"/>
        <c:lblAlgn val="ctr"/>
        <c:lblOffset val="100"/>
        <c:noMultiLvlLbl val="0"/>
      </c:catAx>
      <c:valAx>
        <c:axId val="2132604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32317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EV/EBITDA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/>
            </c:spPr>
          </c:dPt>
          <c:cat>
            <c:strRef>
              <c:f>'Activision Margins'!$L$1:$O$1</c:f>
              <c:strCache>
                <c:ptCount val="4"/>
                <c:pt idx="0">
                  <c:v>Activ. Blizz.</c:v>
                </c:pt>
                <c:pt idx="1">
                  <c:v>EA</c:v>
                </c:pt>
                <c:pt idx="2">
                  <c:v>Take-Two</c:v>
                </c:pt>
                <c:pt idx="3">
                  <c:v>Square Enix</c:v>
                </c:pt>
              </c:strCache>
            </c:strRef>
          </c:cat>
          <c:val>
            <c:numRef>
              <c:f>'Activision Margins'!$L$2:$O$2</c:f>
              <c:numCache>
                <c:formatCode>General</c:formatCode>
                <c:ptCount val="4"/>
                <c:pt idx="0">
                  <c:v>13.85</c:v>
                </c:pt>
                <c:pt idx="1">
                  <c:v>22.16</c:v>
                </c:pt>
                <c:pt idx="2">
                  <c:v>22.42</c:v>
                </c:pt>
                <c:pt idx="3">
                  <c:v>9.57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30975792"/>
        <c:axId val="2145225440"/>
      </c:barChart>
      <c:catAx>
        <c:axId val="2130975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45225440"/>
        <c:crosses val="autoZero"/>
        <c:auto val="1"/>
        <c:lblAlgn val="ctr"/>
        <c:lblOffset val="100"/>
        <c:noMultiLvlLbl val="0"/>
      </c:catAx>
      <c:valAx>
        <c:axId val="2145225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30975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EV/Sales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/>
            </c:spPr>
          </c:dPt>
          <c:cat>
            <c:strRef>
              <c:f>'Activision Margins'!$L$1:$O$1</c:f>
              <c:strCache>
                <c:ptCount val="4"/>
                <c:pt idx="0">
                  <c:v>Activ. Blizz.</c:v>
                </c:pt>
                <c:pt idx="1">
                  <c:v>EA</c:v>
                </c:pt>
                <c:pt idx="2">
                  <c:v>Take-Two</c:v>
                </c:pt>
                <c:pt idx="3">
                  <c:v>Square Enix</c:v>
                </c:pt>
              </c:strCache>
            </c:strRef>
          </c:cat>
          <c:val>
            <c:numRef>
              <c:f>'Activision Margins'!$L$3:$O$3</c:f>
              <c:numCache>
                <c:formatCode>General</c:formatCode>
                <c:ptCount val="4"/>
                <c:pt idx="0">
                  <c:v>5.37</c:v>
                </c:pt>
                <c:pt idx="1">
                  <c:v>5.21</c:v>
                </c:pt>
                <c:pt idx="2">
                  <c:v>3.17</c:v>
                </c:pt>
                <c:pt idx="3">
                  <c:v>1.26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44246832"/>
        <c:axId val="2111047456"/>
      </c:barChart>
      <c:catAx>
        <c:axId val="2144246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11047456"/>
        <c:crosses val="autoZero"/>
        <c:auto val="1"/>
        <c:lblAlgn val="ctr"/>
        <c:lblOffset val="100"/>
        <c:noMultiLvlLbl val="0"/>
      </c:catAx>
      <c:valAx>
        <c:axId val="2111047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44246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P/E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/>
            </c:spPr>
          </c:dPt>
          <c:cat>
            <c:strRef>
              <c:f>'Activision Margins'!$L$1:$O$1</c:f>
              <c:strCache>
                <c:ptCount val="4"/>
                <c:pt idx="0">
                  <c:v>Activ. Blizz.</c:v>
                </c:pt>
                <c:pt idx="1">
                  <c:v>EA</c:v>
                </c:pt>
                <c:pt idx="2">
                  <c:v>Take-Two</c:v>
                </c:pt>
                <c:pt idx="3">
                  <c:v>Square Enix</c:v>
                </c:pt>
              </c:strCache>
            </c:strRef>
          </c:cat>
          <c:val>
            <c:numRef>
              <c:f>'Activision Margins'!$L$4:$O$4</c:f>
              <c:numCache>
                <c:formatCode>General</c:formatCode>
                <c:ptCount val="4"/>
                <c:pt idx="0">
                  <c:v>36.83</c:v>
                </c:pt>
                <c:pt idx="1">
                  <c:v>25.09</c:v>
                </c:pt>
                <c:pt idx="2">
                  <c:v>0.0</c:v>
                </c:pt>
                <c:pt idx="3">
                  <c:v>21.33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43956160"/>
        <c:axId val="2143959456"/>
      </c:barChart>
      <c:catAx>
        <c:axId val="2143956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43959456"/>
        <c:crosses val="autoZero"/>
        <c:auto val="1"/>
        <c:lblAlgn val="ctr"/>
        <c:lblOffset val="100"/>
        <c:noMultiLvlLbl val="0"/>
      </c:catAx>
      <c:valAx>
        <c:axId val="2143959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43956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7</xdr:row>
      <xdr:rowOff>166557</xdr:rowOff>
    </xdr:from>
    <xdr:to>
      <xdr:col>4</xdr:col>
      <xdr:colOff>136072</xdr:colOff>
      <xdr:row>23</xdr:row>
      <xdr:rowOff>986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257024</xdr:colOff>
      <xdr:row>7</xdr:row>
      <xdr:rowOff>166557</xdr:rowOff>
    </xdr:from>
    <xdr:to>
      <xdr:col>8</xdr:col>
      <xdr:colOff>60477</xdr:colOff>
      <xdr:row>22</xdr:row>
      <xdr:rowOff>182045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752928</xdr:colOff>
      <xdr:row>7</xdr:row>
      <xdr:rowOff>132745</xdr:rowOff>
    </xdr:from>
    <xdr:to>
      <xdr:col>12</xdr:col>
      <xdr:colOff>151190</xdr:colOff>
      <xdr:row>21</xdr:row>
      <xdr:rowOff>124278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195338</xdr:colOff>
      <xdr:row>7</xdr:row>
      <xdr:rowOff>145446</xdr:rowOff>
    </xdr:from>
    <xdr:to>
      <xdr:col>15</xdr:col>
      <xdr:colOff>349552</xdr:colOff>
      <xdr:row>21</xdr:row>
      <xdr:rowOff>136979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396724</xdr:colOff>
      <xdr:row>7</xdr:row>
      <xdr:rowOff>145446</xdr:rowOff>
    </xdr:from>
    <xdr:to>
      <xdr:col>18</xdr:col>
      <xdr:colOff>671891</xdr:colOff>
      <xdr:row>21</xdr:row>
      <xdr:rowOff>136979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7"/>
  <sheetViews>
    <sheetView workbookViewId="0">
      <selection activeCell="B7" sqref="B7"/>
    </sheetView>
  </sheetViews>
  <sheetFormatPr baseColWidth="10" defaultRowHeight="16" x14ac:dyDescent="0.2"/>
  <cols>
    <col min="1" max="1" width="4.1640625" style="207" customWidth="1"/>
    <col min="2" max="2" width="10.83203125" style="206"/>
    <col min="3" max="16384" width="10.83203125" style="100"/>
  </cols>
  <sheetData>
    <row r="2" spans="1:2" x14ac:dyDescent="0.2">
      <c r="A2" s="207">
        <v>1</v>
      </c>
      <c r="B2" s="206" t="s">
        <v>122</v>
      </c>
    </row>
    <row r="3" spans="1:2" x14ac:dyDescent="0.2">
      <c r="A3" s="207">
        <v>2</v>
      </c>
      <c r="B3" s="206" t="s">
        <v>123</v>
      </c>
    </row>
    <row r="4" spans="1:2" x14ac:dyDescent="0.2">
      <c r="A4" s="207">
        <v>3</v>
      </c>
      <c r="B4" s="206" t="s">
        <v>124</v>
      </c>
    </row>
    <row r="5" spans="1:2" x14ac:dyDescent="0.2">
      <c r="A5" s="207">
        <v>4</v>
      </c>
      <c r="B5" s="206" t="s">
        <v>125</v>
      </c>
    </row>
    <row r="6" spans="1:2" x14ac:dyDescent="0.2">
      <c r="A6" s="207">
        <v>5</v>
      </c>
      <c r="B6" s="206" t="s">
        <v>126</v>
      </c>
    </row>
    <row r="7" spans="1:2" x14ac:dyDescent="0.2">
      <c r="A7" s="207">
        <v>6</v>
      </c>
      <c r="B7" s="206" t="s">
        <v>121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1"/>
  </sheetPr>
  <dimension ref="A1:M36"/>
  <sheetViews>
    <sheetView workbookViewId="0">
      <selection activeCell="G19" sqref="G19"/>
    </sheetView>
  </sheetViews>
  <sheetFormatPr baseColWidth="10" defaultRowHeight="16" x14ac:dyDescent="0.2"/>
  <cols>
    <col min="1" max="1" width="4" style="177" customWidth="1"/>
    <col min="2" max="2" width="39.83203125" style="2" customWidth="1"/>
    <col min="3" max="3" width="18.83203125" style="162" customWidth="1"/>
    <col min="4" max="4" width="10.83203125" style="100"/>
    <col min="5" max="5" width="16.83203125" style="162" customWidth="1"/>
    <col min="6" max="6" width="3.83203125" style="100" customWidth="1"/>
    <col min="7" max="16384" width="10.83203125" style="100"/>
  </cols>
  <sheetData>
    <row r="1" spans="1:13" x14ac:dyDescent="0.2">
      <c r="C1" s="158">
        <v>2015</v>
      </c>
      <c r="D1" s="5"/>
      <c r="E1" s="158">
        <v>2016</v>
      </c>
      <c r="G1" s="253" t="s">
        <v>93</v>
      </c>
      <c r="H1" s="253"/>
      <c r="I1" s="253"/>
      <c r="J1" s="253"/>
      <c r="K1" s="253"/>
      <c r="L1" s="253"/>
      <c r="M1" s="253"/>
    </row>
    <row r="2" spans="1:13" x14ac:dyDescent="0.2">
      <c r="A2" s="178" t="s">
        <v>0</v>
      </c>
      <c r="B2" s="171"/>
      <c r="C2" s="175"/>
      <c r="D2" s="173"/>
      <c r="E2" s="175"/>
    </row>
    <row r="3" spans="1:13" x14ac:dyDescent="0.2">
      <c r="A3" s="179"/>
      <c r="B3" s="155" t="s">
        <v>1</v>
      </c>
      <c r="C3" s="159">
        <v>2447</v>
      </c>
      <c r="D3" s="5"/>
      <c r="E3" s="163">
        <v>2196</v>
      </c>
      <c r="G3" s="195">
        <f>(E3-C3)/C3</f>
        <v>-0.10257458111973845</v>
      </c>
      <c r="H3" s="252" t="s">
        <v>86</v>
      </c>
      <c r="I3" s="252"/>
      <c r="J3" s="252"/>
      <c r="K3" s="252"/>
      <c r="L3" s="252"/>
      <c r="M3" s="252"/>
    </row>
    <row r="4" spans="1:13" x14ac:dyDescent="0.2">
      <c r="A4" s="179"/>
      <c r="B4" s="155" t="s">
        <v>2</v>
      </c>
      <c r="C4" s="159">
        <v>2217</v>
      </c>
      <c r="D4" s="5"/>
      <c r="E4" s="163">
        <v>4412</v>
      </c>
      <c r="G4" s="196">
        <f>(E4-C4)/C4</f>
        <v>0.9900766801984664</v>
      </c>
      <c r="H4" s="252" t="s">
        <v>87</v>
      </c>
      <c r="I4" s="252"/>
      <c r="J4" s="252"/>
      <c r="K4" s="252"/>
      <c r="L4" s="252"/>
      <c r="M4" s="252"/>
    </row>
    <row r="5" spans="1:13" x14ac:dyDescent="0.2">
      <c r="A5" s="180" t="s">
        <v>3</v>
      </c>
      <c r="B5" s="58"/>
      <c r="C5" s="165">
        <v>4664</v>
      </c>
      <c r="D5" s="166"/>
      <c r="E5" s="167">
        <v>6608</v>
      </c>
    </row>
    <row r="6" spans="1:13" s="7" customFormat="1" x14ac:dyDescent="0.2">
      <c r="A6" s="183" t="s">
        <v>35</v>
      </c>
      <c r="B6" s="13"/>
      <c r="C6" s="192"/>
      <c r="D6" s="193"/>
      <c r="E6" s="194">
        <f>(E5-C5)/C5</f>
        <v>0.41680960548885077</v>
      </c>
    </row>
    <row r="7" spans="1:13" x14ac:dyDescent="0.2">
      <c r="C7" s="160"/>
      <c r="D7" s="5"/>
      <c r="E7" s="164"/>
    </row>
    <row r="8" spans="1:13" x14ac:dyDescent="0.2">
      <c r="A8" s="178" t="s">
        <v>4</v>
      </c>
      <c r="B8" s="171"/>
      <c r="C8" s="172"/>
      <c r="D8" s="173"/>
      <c r="E8" s="174"/>
    </row>
    <row r="9" spans="1:13" x14ac:dyDescent="0.2">
      <c r="A9" s="179" t="s">
        <v>5</v>
      </c>
      <c r="C9" s="159"/>
      <c r="D9" s="5"/>
      <c r="E9" s="164"/>
    </row>
    <row r="10" spans="1:13" x14ac:dyDescent="0.2">
      <c r="B10" s="155" t="s">
        <v>6</v>
      </c>
      <c r="C10" s="159">
        <v>872</v>
      </c>
      <c r="D10" s="5"/>
      <c r="E10" s="163">
        <v>741</v>
      </c>
    </row>
    <row r="11" spans="1:13" ht="32" x14ac:dyDescent="0.2">
      <c r="B11" s="155" t="s">
        <v>7</v>
      </c>
      <c r="C11" s="159">
        <v>370</v>
      </c>
      <c r="D11" s="5"/>
      <c r="E11" s="163">
        <v>331</v>
      </c>
    </row>
    <row r="12" spans="1:13" x14ac:dyDescent="0.2">
      <c r="A12" s="179" t="s">
        <v>8</v>
      </c>
      <c r="C12" s="160"/>
      <c r="D12" s="5"/>
      <c r="E12" s="164"/>
      <c r="K12" s="156"/>
    </row>
    <row r="13" spans="1:13" x14ac:dyDescent="0.2">
      <c r="B13" s="155" t="s">
        <v>9</v>
      </c>
      <c r="C13" s="159">
        <v>274</v>
      </c>
      <c r="D13" s="5"/>
      <c r="E13" s="163">
        <v>851</v>
      </c>
    </row>
    <row r="14" spans="1:13" ht="32" x14ac:dyDescent="0.2">
      <c r="B14" s="155" t="s">
        <v>7</v>
      </c>
      <c r="C14" s="159">
        <v>69</v>
      </c>
      <c r="D14" s="5"/>
      <c r="E14" s="163">
        <v>471</v>
      </c>
    </row>
    <row r="15" spans="1:13" x14ac:dyDescent="0.2">
      <c r="A15" s="181" t="s">
        <v>22</v>
      </c>
      <c r="B15" s="168"/>
      <c r="C15" s="165">
        <f>SUM(C10:C14)</f>
        <v>1585</v>
      </c>
      <c r="D15" s="166"/>
      <c r="E15" s="167">
        <f>SUM(E10:E14)</f>
        <v>2394</v>
      </c>
    </row>
    <row r="16" spans="1:13" x14ac:dyDescent="0.2">
      <c r="A16" s="181" t="s">
        <v>23</v>
      </c>
      <c r="B16" s="168"/>
      <c r="C16" s="165">
        <f>C5-C15</f>
        <v>3079</v>
      </c>
      <c r="D16" s="166"/>
      <c r="E16" s="167">
        <f>E5-E15</f>
        <v>4214</v>
      </c>
    </row>
    <row r="17" spans="1:13" s="7" customFormat="1" x14ac:dyDescent="0.2">
      <c r="A17" s="183" t="s">
        <v>84</v>
      </c>
      <c r="B17" s="186"/>
      <c r="C17" s="187">
        <f>C16/C5</f>
        <v>0.66016295025728988</v>
      </c>
      <c r="D17" s="188"/>
      <c r="E17" s="187">
        <f>E16/E5</f>
        <v>0.63771186440677963</v>
      </c>
    </row>
    <row r="18" spans="1:13" x14ac:dyDescent="0.2">
      <c r="A18" s="176"/>
      <c r="B18" s="155"/>
      <c r="C18" s="159"/>
      <c r="D18" s="5"/>
      <c r="E18" s="163"/>
    </row>
    <row r="19" spans="1:13" x14ac:dyDescent="0.2">
      <c r="A19" s="179" t="s">
        <v>10</v>
      </c>
      <c r="C19" s="159">
        <v>646</v>
      </c>
      <c r="D19" s="5"/>
      <c r="E19" s="163">
        <v>958</v>
      </c>
    </row>
    <row r="20" spans="1:13" x14ac:dyDescent="0.2">
      <c r="A20" s="179" t="s">
        <v>11</v>
      </c>
      <c r="B20" s="155"/>
      <c r="C20" s="159">
        <v>734</v>
      </c>
      <c r="D20" s="5"/>
      <c r="E20" s="163">
        <v>1210</v>
      </c>
      <c r="H20" s="156"/>
      <c r="I20" s="157"/>
    </row>
    <row r="21" spans="1:13" x14ac:dyDescent="0.2">
      <c r="A21" s="179" t="s">
        <v>12</v>
      </c>
      <c r="C21" s="159">
        <v>380</v>
      </c>
      <c r="D21" s="5"/>
      <c r="E21" s="164">
        <v>634</v>
      </c>
      <c r="I21" s="156"/>
      <c r="J21" s="156"/>
    </row>
    <row r="22" spans="1:13" x14ac:dyDescent="0.2">
      <c r="A22" s="180" t="s">
        <v>13</v>
      </c>
      <c r="B22" s="58"/>
      <c r="C22" s="165">
        <v>3345</v>
      </c>
      <c r="D22" s="166"/>
      <c r="E22" s="169">
        <v>5196</v>
      </c>
      <c r="G22" s="196">
        <f>(E22-C22)/C22</f>
        <v>0.55336322869955157</v>
      </c>
      <c r="H22" s="254" t="s">
        <v>89</v>
      </c>
      <c r="I22" s="254"/>
      <c r="J22" s="254"/>
      <c r="K22" s="254"/>
      <c r="L22" s="254"/>
      <c r="M22" s="254"/>
    </row>
    <row r="23" spans="1:13" x14ac:dyDescent="0.2">
      <c r="C23" s="160"/>
      <c r="D23" s="5"/>
      <c r="E23" s="164"/>
    </row>
    <row r="24" spans="1:13" x14ac:dyDescent="0.2">
      <c r="A24" s="180" t="s">
        <v>14</v>
      </c>
      <c r="B24" s="58"/>
      <c r="C24" s="165">
        <v>1319</v>
      </c>
      <c r="D24" s="166"/>
      <c r="E24" s="169">
        <v>1412</v>
      </c>
      <c r="G24" s="197">
        <f>(E24-C24)/C24</f>
        <v>7.0507960576194087E-2</v>
      </c>
      <c r="H24" s="252" t="s">
        <v>88</v>
      </c>
      <c r="I24" s="252"/>
      <c r="J24" s="252"/>
      <c r="K24" s="252"/>
      <c r="L24" s="252"/>
      <c r="M24" s="252"/>
    </row>
    <row r="25" spans="1:13" s="7" customFormat="1" x14ac:dyDescent="0.2">
      <c r="A25" s="183" t="s">
        <v>85</v>
      </c>
      <c r="B25" s="13"/>
      <c r="C25" s="189">
        <f>C24/C5</f>
        <v>0.28280445969125212</v>
      </c>
      <c r="D25" s="190"/>
      <c r="E25" s="191">
        <f>E24/E5</f>
        <v>0.21368038740920098</v>
      </c>
    </row>
    <row r="26" spans="1:13" x14ac:dyDescent="0.2">
      <c r="C26" s="160"/>
      <c r="D26" s="5"/>
      <c r="E26" s="164"/>
    </row>
    <row r="27" spans="1:13" x14ac:dyDescent="0.2">
      <c r="A27" s="182" t="s">
        <v>15</v>
      </c>
      <c r="C27" s="159">
        <v>198</v>
      </c>
      <c r="D27" s="5"/>
      <c r="E27" s="164">
        <v>214</v>
      </c>
    </row>
    <row r="28" spans="1:13" x14ac:dyDescent="0.2">
      <c r="A28" s="182" t="s">
        <v>16</v>
      </c>
      <c r="C28" s="160">
        <v>0</v>
      </c>
      <c r="D28" s="5"/>
      <c r="E28" s="164">
        <v>92</v>
      </c>
    </row>
    <row r="29" spans="1:13" x14ac:dyDescent="0.2">
      <c r="C29" s="160"/>
      <c r="D29" s="5"/>
      <c r="E29" s="164"/>
    </row>
    <row r="30" spans="1:13" x14ac:dyDescent="0.2">
      <c r="A30" s="180" t="s">
        <v>19</v>
      </c>
      <c r="B30" s="58"/>
      <c r="C30" s="165">
        <v>1121</v>
      </c>
      <c r="D30" s="170"/>
      <c r="E30" s="169">
        <v>1106</v>
      </c>
      <c r="F30" s="157"/>
      <c r="G30" s="198">
        <f>(E30-C30)/C30</f>
        <v>-1.3380909901873328E-2</v>
      </c>
      <c r="H30" s="252" t="s">
        <v>90</v>
      </c>
      <c r="I30" s="252"/>
      <c r="J30" s="252"/>
      <c r="K30" s="252"/>
      <c r="L30" s="252"/>
      <c r="M30" s="252"/>
    </row>
    <row r="31" spans="1:13" x14ac:dyDescent="0.2">
      <c r="C31" s="160"/>
      <c r="D31" s="5"/>
      <c r="E31" s="164"/>
    </row>
    <row r="32" spans="1:13" x14ac:dyDescent="0.2">
      <c r="A32" s="182" t="s">
        <v>17</v>
      </c>
      <c r="C32" s="159">
        <v>229</v>
      </c>
      <c r="D32" s="5"/>
      <c r="E32" s="164">
        <v>140</v>
      </c>
      <c r="G32" s="199">
        <f>(E32-C32)/C32</f>
        <v>-0.388646288209607</v>
      </c>
      <c r="H32" s="254" t="s">
        <v>91</v>
      </c>
      <c r="I32" s="254"/>
      <c r="J32" s="254"/>
      <c r="K32" s="254"/>
      <c r="L32" s="254"/>
      <c r="M32" s="254"/>
    </row>
    <row r="33" spans="1:13" x14ac:dyDescent="0.2">
      <c r="C33" s="160"/>
      <c r="D33" s="5"/>
      <c r="E33" s="164"/>
    </row>
    <row r="34" spans="1:13" x14ac:dyDescent="0.2">
      <c r="A34" s="180" t="s">
        <v>18</v>
      </c>
      <c r="B34" s="58"/>
      <c r="C34" s="165">
        <v>892</v>
      </c>
      <c r="D34" s="166"/>
      <c r="E34" s="169">
        <v>966</v>
      </c>
      <c r="G34" s="200">
        <f>(E34-C34)/C34</f>
        <v>8.2959641255605385E-2</v>
      </c>
      <c r="H34" s="252" t="s">
        <v>92</v>
      </c>
      <c r="I34" s="252"/>
      <c r="J34" s="252"/>
      <c r="K34" s="252"/>
      <c r="L34" s="252"/>
      <c r="M34" s="252"/>
    </row>
    <row r="35" spans="1:13" s="7" customFormat="1" x14ac:dyDescent="0.2">
      <c r="A35" s="183" t="s">
        <v>39</v>
      </c>
      <c r="B35" s="13"/>
      <c r="C35" s="184">
        <f>C34/C5</f>
        <v>0.19125214408233276</v>
      </c>
      <c r="E35" s="185">
        <f>E34/E5</f>
        <v>0.1461864406779661</v>
      </c>
    </row>
    <row r="36" spans="1:13" x14ac:dyDescent="0.2">
      <c r="C36" s="161"/>
    </row>
  </sheetData>
  <mergeCells count="8">
    <mergeCell ref="H34:M34"/>
    <mergeCell ref="G1:M1"/>
    <mergeCell ref="H3:M3"/>
    <mergeCell ref="H4:M4"/>
    <mergeCell ref="H22:M22"/>
    <mergeCell ref="H24:M24"/>
    <mergeCell ref="H30:M30"/>
    <mergeCell ref="H32:M32"/>
  </mergeCells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1:AB112"/>
  <sheetViews>
    <sheetView tabSelected="1" topLeftCell="A16" zoomScaleNormal="75" zoomScalePageLayoutView="75" workbookViewId="0">
      <selection activeCell="I35" sqref="I35"/>
    </sheetView>
  </sheetViews>
  <sheetFormatPr baseColWidth="10" defaultRowHeight="16" x14ac:dyDescent="0.2"/>
  <cols>
    <col min="1" max="1" width="4" style="1" customWidth="1"/>
    <col min="2" max="2" width="32" style="1" customWidth="1"/>
    <col min="3" max="3" width="10.1640625" style="11" customWidth="1"/>
    <col min="4" max="4" width="10.1640625" style="5" customWidth="1"/>
    <col min="5" max="5" width="10.1640625" style="12" customWidth="1"/>
    <col min="6" max="7" width="10.1640625" style="1" customWidth="1"/>
    <col min="8" max="8" width="9.1640625" style="118" customWidth="1"/>
    <col min="9" max="13" width="10.1640625" style="1" customWidth="1"/>
    <col min="14" max="14" width="4.5" style="1" customWidth="1"/>
    <col min="15" max="15" width="17.1640625" style="1" customWidth="1"/>
    <col min="16" max="16" width="10.1640625" style="1" customWidth="1"/>
    <col min="17" max="17" width="7.1640625" style="1" customWidth="1"/>
    <col min="18" max="18" width="36.33203125" style="1" bestFit="1" customWidth="1"/>
    <col min="19" max="19" width="19" style="1" customWidth="1"/>
    <col min="20" max="20" width="11.83203125" style="1" bestFit="1" customWidth="1"/>
    <col min="21" max="21" width="25.33203125" style="1" bestFit="1" customWidth="1"/>
    <col min="22" max="22" width="7.33203125" style="1" bestFit="1" customWidth="1"/>
    <col min="23" max="23" width="10.83203125" style="1"/>
    <col min="24" max="24" width="36.33203125" style="1" bestFit="1" customWidth="1"/>
    <col min="25" max="25" width="22.83203125" style="1" bestFit="1" customWidth="1"/>
    <col min="26" max="26" width="10.83203125" style="1"/>
    <col min="27" max="27" width="25.33203125" style="1" bestFit="1" customWidth="1"/>
    <col min="28" max="28" width="42" style="1" bestFit="1" customWidth="1"/>
    <col min="29" max="16384" width="10.83203125" style="1"/>
  </cols>
  <sheetData>
    <row r="1" spans="1:28" x14ac:dyDescent="0.2">
      <c r="C1" s="284" t="s">
        <v>54</v>
      </c>
      <c r="D1" s="284"/>
      <c r="E1" s="284"/>
      <c r="F1" s="284"/>
      <c r="G1" s="285"/>
      <c r="H1" s="105" t="s">
        <v>66</v>
      </c>
      <c r="I1" s="284" t="s">
        <v>55</v>
      </c>
      <c r="J1" s="284"/>
      <c r="K1" s="284"/>
      <c r="L1" s="284"/>
      <c r="M1" s="285"/>
    </row>
    <row r="2" spans="1:28" x14ac:dyDescent="0.2">
      <c r="B2" s="2"/>
      <c r="C2" s="21">
        <v>2012</v>
      </c>
      <c r="D2" s="21">
        <v>2013</v>
      </c>
      <c r="E2" s="22">
        <v>2014</v>
      </c>
      <c r="F2" s="22">
        <v>2015</v>
      </c>
      <c r="G2" s="10">
        <v>2016</v>
      </c>
      <c r="H2" s="106" t="s">
        <v>65</v>
      </c>
      <c r="I2" s="10">
        <v>2017</v>
      </c>
      <c r="J2" s="10">
        <v>2018</v>
      </c>
      <c r="K2" s="10">
        <v>2019</v>
      </c>
      <c r="L2" s="10">
        <v>2020</v>
      </c>
      <c r="M2" s="10">
        <v>2021</v>
      </c>
      <c r="O2" s="67" t="s">
        <v>42</v>
      </c>
      <c r="P2" s="68"/>
      <c r="R2" s="286" t="s">
        <v>75</v>
      </c>
      <c r="S2" s="287"/>
      <c r="T2" s="288"/>
    </row>
    <row r="3" spans="1:28" x14ac:dyDescent="0.2">
      <c r="B3" s="2"/>
      <c r="C3" s="3"/>
      <c r="D3" s="3"/>
      <c r="E3" s="4"/>
      <c r="F3" s="4"/>
      <c r="G3" s="5"/>
      <c r="H3" s="106"/>
      <c r="I3" s="5">
        <v>1</v>
      </c>
      <c r="J3" s="1">
        <v>2</v>
      </c>
      <c r="K3" s="5">
        <v>3</v>
      </c>
      <c r="L3" s="1">
        <v>4</v>
      </c>
      <c r="M3" s="5">
        <v>5</v>
      </c>
      <c r="O3" s="43"/>
      <c r="P3" s="44"/>
      <c r="Q3" s="70"/>
      <c r="R3" s="78"/>
      <c r="S3" s="72"/>
      <c r="T3" s="73"/>
      <c r="U3" s="71"/>
    </row>
    <row r="4" spans="1:28" s="32" customFormat="1" x14ac:dyDescent="0.2">
      <c r="A4" s="32" t="s">
        <v>20</v>
      </c>
      <c r="B4" s="33"/>
      <c r="C4" s="50">
        <v>4856</v>
      </c>
      <c r="D4" s="50">
        <v>4583</v>
      </c>
      <c r="E4" s="51">
        <v>4408</v>
      </c>
      <c r="F4" s="51">
        <v>4664</v>
      </c>
      <c r="G4" s="52">
        <v>6608</v>
      </c>
      <c r="H4" s="107"/>
      <c r="I4" s="52">
        <f>G4*(1+I5)</f>
        <v>7236.556470354657</v>
      </c>
      <c r="J4" s="53">
        <f>I4*(1+I5)</f>
        <v>7924.9015660762489</v>
      </c>
      <c r="K4" s="53">
        <f t="shared" ref="K4:L4" si="0">J4*(1+J5)</f>
        <v>8686.6473145371456</v>
      </c>
      <c r="L4" s="53">
        <f t="shared" si="0"/>
        <v>9530.2991163153165</v>
      </c>
      <c r="M4" s="53">
        <f>L4*(1+L5)</f>
        <v>10465.417128369962</v>
      </c>
      <c r="O4" s="46" t="s">
        <v>43</v>
      </c>
      <c r="P4" s="148">
        <f>M5/2.1</f>
        <v>4.720025296571663E-2</v>
      </c>
      <c r="R4" s="96" t="s">
        <v>67</v>
      </c>
      <c r="S4" s="289">
        <f>P7</f>
        <v>34697.650640216831</v>
      </c>
      <c r="T4" s="290"/>
    </row>
    <row r="5" spans="1:28" s="7" customFormat="1" x14ac:dyDescent="0.2">
      <c r="A5" s="7" t="s">
        <v>35</v>
      </c>
      <c r="B5" s="13"/>
      <c r="C5" s="17">
        <v>0</v>
      </c>
      <c r="D5" s="14">
        <f>(D4-C4)/C4</f>
        <v>-5.6219110378912689E-2</v>
      </c>
      <c r="E5" s="14">
        <f>(E4-D4)/D4</f>
        <v>-3.8184595243290424E-2</v>
      </c>
      <c r="F5" s="14">
        <f>(F4-E4)/E4</f>
        <v>5.8076225045372049E-2</v>
      </c>
      <c r="G5" s="14">
        <f>(G4-F4)/F4</f>
        <v>0.41680960548885077</v>
      </c>
      <c r="H5" s="250">
        <f>AVERAGE(D5:G5)</f>
        <v>9.5120531228004929E-2</v>
      </c>
      <c r="I5" s="34">
        <f>Assumptions!C3</f>
        <v>9.5120531228004929E-2</v>
      </c>
      <c r="J5" s="34">
        <f>Assumptions!D3</f>
        <v>9.612053122800493E-2</v>
      </c>
      <c r="K5" s="34">
        <f>Assumptions!E3</f>
        <v>9.712053122800493E-2</v>
      </c>
      <c r="L5" s="34">
        <f>Assumptions!F3</f>
        <v>9.8120531228004931E-2</v>
      </c>
      <c r="M5" s="34">
        <f>Assumptions!G3</f>
        <v>9.9120531228004932E-2</v>
      </c>
      <c r="O5" s="43" t="s">
        <v>49</v>
      </c>
      <c r="P5" s="47">
        <f>Assumptions!G24</f>
        <v>7.2876850403116575E-2</v>
      </c>
      <c r="R5" s="78"/>
      <c r="S5" s="72"/>
      <c r="T5" s="73"/>
    </row>
    <row r="6" spans="1:28" x14ac:dyDescent="0.2">
      <c r="A6" s="1" t="s">
        <v>26</v>
      </c>
      <c r="B6" s="2"/>
      <c r="C6" s="26">
        <v>1662</v>
      </c>
      <c r="D6" s="26">
        <v>1531</v>
      </c>
      <c r="E6" s="27">
        <v>1525</v>
      </c>
      <c r="F6" s="27">
        <v>1585</v>
      </c>
      <c r="G6" s="28">
        <v>2394</v>
      </c>
      <c r="H6" s="106"/>
      <c r="I6" s="8">
        <f>I4-I7</f>
        <v>2495.7504462248198</v>
      </c>
      <c r="J6" s="40">
        <f>J4-J7</f>
        <v>2780.6969638787123</v>
      </c>
      <c r="K6" s="40">
        <f t="shared" ref="K6:M6" si="1">K4-K7</f>
        <v>3100.0989171180572</v>
      </c>
      <c r="L6" s="40">
        <f t="shared" si="1"/>
        <v>3458.3639655058187</v>
      </c>
      <c r="M6" s="40">
        <f t="shared" si="1"/>
        <v>3860.4929777512589</v>
      </c>
      <c r="O6" s="43" t="s">
        <v>94</v>
      </c>
      <c r="P6" s="48">
        <f>M35</f>
        <v>1209.3643898589048</v>
      </c>
      <c r="R6" s="80"/>
      <c r="S6" s="74"/>
      <c r="T6" s="75" t="s">
        <v>56</v>
      </c>
    </row>
    <row r="7" spans="1:28" x14ac:dyDescent="0.2">
      <c r="A7" s="6" t="s">
        <v>23</v>
      </c>
      <c r="B7" s="20"/>
      <c r="C7" s="50">
        <f>C4-C6</f>
        <v>3194</v>
      </c>
      <c r="D7" s="50">
        <f t="shared" ref="D7:G7" si="2">D4-D6</f>
        <v>3052</v>
      </c>
      <c r="E7" s="50">
        <f t="shared" si="2"/>
        <v>2883</v>
      </c>
      <c r="F7" s="50">
        <f t="shared" si="2"/>
        <v>3079</v>
      </c>
      <c r="G7" s="50">
        <f t="shared" si="2"/>
        <v>4214</v>
      </c>
      <c r="H7" s="108"/>
      <c r="I7" s="54">
        <f>I4*I8</f>
        <v>4740.8060241298372</v>
      </c>
      <c r="J7" s="55">
        <f>J8*J4</f>
        <v>5144.2046021975366</v>
      </c>
      <c r="K7" s="55">
        <f t="shared" ref="K7:M7" si="3">K8*K4</f>
        <v>5586.5483974190884</v>
      </c>
      <c r="L7" s="55">
        <f t="shared" si="3"/>
        <v>6071.9351508094978</v>
      </c>
      <c r="M7" s="55">
        <f t="shared" si="3"/>
        <v>6604.9241506187027</v>
      </c>
      <c r="O7" s="45" t="s">
        <v>50</v>
      </c>
      <c r="P7" s="49">
        <f>(P6*(1+P4))/((P5-P4)*((1+P5)^5))</f>
        <v>34697.650640216831</v>
      </c>
      <c r="R7" s="80" t="s">
        <v>57</v>
      </c>
      <c r="S7" s="69">
        <f>SUM(I40:M40)</f>
        <v>5095.6220644606465</v>
      </c>
      <c r="T7" s="76">
        <f>S7/$S$9</f>
        <v>0.12805234950835509</v>
      </c>
    </row>
    <row r="8" spans="1:28" s="7" customFormat="1" x14ac:dyDescent="0.2">
      <c r="A8" s="18" t="s">
        <v>24</v>
      </c>
      <c r="B8" s="19"/>
      <c r="C8" s="17">
        <f>C7/C4</f>
        <v>0.65774299835255357</v>
      </c>
      <c r="D8" s="17">
        <f t="shared" ref="D8:G8" si="4">D7/D4</f>
        <v>0.66593934104298491</v>
      </c>
      <c r="E8" s="17">
        <f t="shared" si="4"/>
        <v>0.65403811252268607</v>
      </c>
      <c r="F8" s="17">
        <f t="shared" si="4"/>
        <v>0.66016295025728988</v>
      </c>
      <c r="G8" s="17">
        <f t="shared" si="4"/>
        <v>0.63771186440677963</v>
      </c>
      <c r="H8" s="101">
        <f>AVERAGE(C8:G8)</f>
        <v>0.65511905331645881</v>
      </c>
      <c r="I8" s="35">
        <f>Assumptions!C6</f>
        <v>0.65511905331645881</v>
      </c>
      <c r="J8" s="35">
        <f>Assumptions!D6</f>
        <v>0.64911905331645881</v>
      </c>
      <c r="K8" s="35">
        <f>Assumptions!E6</f>
        <v>0.6431190533164588</v>
      </c>
      <c r="L8" s="35">
        <f>Assumptions!F6</f>
        <v>0.63711905331645879</v>
      </c>
      <c r="M8" s="35">
        <f>Assumptions!G6</f>
        <v>0.63111905331645879</v>
      </c>
      <c r="R8" s="80" t="s">
        <v>58</v>
      </c>
      <c r="S8" s="77">
        <f>P7</f>
        <v>34697.650640216831</v>
      </c>
      <c r="T8" s="76">
        <f t="shared" ref="T8:T9" si="5">S8/$S$9</f>
        <v>0.87194765049164502</v>
      </c>
    </row>
    <row r="9" spans="1:28" x14ac:dyDescent="0.2">
      <c r="A9" s="6"/>
      <c r="B9" s="2"/>
      <c r="C9" s="26"/>
      <c r="D9" s="26"/>
      <c r="E9" s="26"/>
      <c r="F9" s="26"/>
      <c r="G9" s="26"/>
      <c r="H9" s="106"/>
      <c r="I9" s="8"/>
      <c r="O9" s="72"/>
      <c r="P9" s="72"/>
      <c r="R9" s="96" t="s">
        <v>59</v>
      </c>
      <c r="S9" s="97">
        <f xml:space="preserve"> S7 + S8</f>
        <v>39793.272704677474</v>
      </c>
      <c r="T9" s="98">
        <f t="shared" si="5"/>
        <v>1</v>
      </c>
    </row>
    <row r="10" spans="1:28" s="6" customFormat="1" x14ac:dyDescent="0.2">
      <c r="A10" s="6" t="s">
        <v>27</v>
      </c>
      <c r="B10" s="20"/>
      <c r="C10" s="23"/>
      <c r="D10" s="23"/>
      <c r="E10" s="24"/>
      <c r="F10" s="24"/>
      <c r="G10" s="25"/>
      <c r="H10" s="109"/>
      <c r="I10" s="38"/>
      <c r="O10" s="82"/>
      <c r="P10" s="82"/>
      <c r="R10" s="78"/>
      <c r="S10" s="72"/>
      <c r="T10" s="73"/>
    </row>
    <row r="11" spans="1:28" x14ac:dyDescent="0.2">
      <c r="A11" s="1" t="s">
        <v>28</v>
      </c>
      <c r="B11" s="2"/>
      <c r="C11" s="26">
        <v>604</v>
      </c>
      <c r="D11" s="26">
        <v>584</v>
      </c>
      <c r="E11" s="27">
        <v>571</v>
      </c>
      <c r="F11" s="27">
        <v>646</v>
      </c>
      <c r="G11" s="28">
        <v>958</v>
      </c>
      <c r="H11" s="129">
        <f>G11/G14</f>
        <v>0.34189864382583868</v>
      </c>
      <c r="I11" s="8">
        <f>I14*Assumptions!C13</f>
        <v>946.40021810958763</v>
      </c>
      <c r="J11" s="8">
        <f>J14*Assumptions!D13</f>
        <v>1036.4223096104715</v>
      </c>
      <c r="K11" s="8">
        <f>K14*Assumptions!E13</f>
        <v>1136.043772586786</v>
      </c>
      <c r="L11" s="8">
        <f>L14*Assumptions!F13</f>
        <v>1246.3769472786814</v>
      </c>
      <c r="M11" s="8">
        <f>M14*Assumptions!G13</f>
        <v>1368.6721154560048</v>
      </c>
      <c r="O11" s="83"/>
      <c r="P11" s="72"/>
      <c r="R11" s="81" t="s">
        <v>60</v>
      </c>
      <c r="S11" s="278">
        <v>4480.5</v>
      </c>
      <c r="T11" s="279"/>
    </row>
    <row r="12" spans="1:28" x14ac:dyDescent="0.2">
      <c r="A12" s="1" t="s">
        <v>29</v>
      </c>
      <c r="B12" s="2"/>
      <c r="C12" s="26">
        <v>1139</v>
      </c>
      <c r="D12" s="26">
        <v>1096</v>
      </c>
      <c r="E12" s="27">
        <v>1129</v>
      </c>
      <c r="F12" s="27">
        <v>1114</v>
      </c>
      <c r="G12" s="28">
        <v>1844</v>
      </c>
      <c r="H12" s="129">
        <f>G12/G14</f>
        <v>0.65810135617416132</v>
      </c>
      <c r="I12" s="8">
        <f>I14*Assumptions!C14</f>
        <v>1821.6722361107304</v>
      </c>
      <c r="J12" s="8">
        <f>J14*Assumptions!D14</f>
        <v>1994.9506669328912</v>
      </c>
      <c r="K12" s="8">
        <f>K14*Assumptions!E14</f>
        <v>2186.7063848121434</v>
      </c>
      <c r="L12" s="8">
        <f>L14*Assumptions!F14</f>
        <v>2399.080470544769</v>
      </c>
      <c r="M12" s="8">
        <f>M14*Assumptions!G14</f>
        <v>2634.4795207733537</v>
      </c>
      <c r="O12" s="72"/>
      <c r="P12" s="84"/>
      <c r="R12" s="81" t="s">
        <v>61</v>
      </c>
      <c r="S12" s="278">
        <v>3245</v>
      </c>
      <c r="T12" s="279"/>
    </row>
    <row r="13" spans="1:28" x14ac:dyDescent="0.2">
      <c r="A13" s="1" t="s">
        <v>36</v>
      </c>
      <c r="B13" s="2"/>
      <c r="C13" s="29">
        <v>0</v>
      </c>
      <c r="D13" s="29">
        <v>0</v>
      </c>
      <c r="E13" s="30">
        <v>0</v>
      </c>
      <c r="F13" s="30">
        <v>0</v>
      </c>
      <c r="G13" s="31">
        <v>0</v>
      </c>
      <c r="H13" s="110">
        <f>AVERAGE(C13:G13)</f>
        <v>0</v>
      </c>
      <c r="I13" s="8">
        <f>Assumptions!C15*I14</f>
        <v>0</v>
      </c>
      <c r="J13" s="8">
        <f>Assumptions!D15*J14</f>
        <v>0</v>
      </c>
      <c r="K13" s="8">
        <f>Assumptions!E15*K14</f>
        <v>0</v>
      </c>
      <c r="L13" s="8">
        <f>Assumptions!F15*L14</f>
        <v>0</v>
      </c>
      <c r="M13" s="8">
        <f>Assumptions!G15*M14</f>
        <v>0</v>
      </c>
      <c r="O13" s="72"/>
      <c r="P13" s="85"/>
      <c r="R13" s="79" t="s">
        <v>62</v>
      </c>
      <c r="S13" s="280">
        <f xml:space="preserve"> S9-S11+S12</f>
        <v>38557.772704677474</v>
      </c>
      <c r="T13" s="281"/>
    </row>
    <row r="14" spans="1:28" s="6" customFormat="1" x14ac:dyDescent="0.2">
      <c r="A14" s="6" t="s">
        <v>30</v>
      </c>
      <c r="B14" s="20"/>
      <c r="C14" s="50">
        <f>SUM(C11:C13)</f>
        <v>1743</v>
      </c>
      <c r="D14" s="50">
        <f t="shared" ref="D14:G14" si="6">SUM(D11:D13)</f>
        <v>1680</v>
      </c>
      <c r="E14" s="50">
        <f t="shared" si="6"/>
        <v>1700</v>
      </c>
      <c r="F14" s="50">
        <f t="shared" si="6"/>
        <v>1760</v>
      </c>
      <c r="G14" s="50">
        <f t="shared" si="6"/>
        <v>2802</v>
      </c>
      <c r="H14" s="111"/>
      <c r="I14" s="56">
        <f>I7-I16</f>
        <v>2768.0724542203179</v>
      </c>
      <c r="J14" s="56">
        <f t="shared" ref="J14:M14" si="7">J7-J16</f>
        <v>3031.3729765433627</v>
      </c>
      <c r="K14" s="56">
        <f t="shared" si="7"/>
        <v>3322.7501573989293</v>
      </c>
      <c r="L14" s="56">
        <f t="shared" si="7"/>
        <v>3645.4574178234502</v>
      </c>
      <c r="M14" s="56">
        <f t="shared" si="7"/>
        <v>4003.1516362293587</v>
      </c>
      <c r="O14" s="82"/>
      <c r="P14" s="86"/>
      <c r="R14" s="81" t="s">
        <v>63</v>
      </c>
      <c r="S14" s="278">
        <v>740</v>
      </c>
      <c r="T14" s="279"/>
      <c r="X14" s="82"/>
      <c r="Y14" s="82"/>
      <c r="Z14" s="82"/>
      <c r="AA14" s="82"/>
      <c r="AB14" s="82"/>
    </row>
    <row r="15" spans="1:28" x14ac:dyDescent="0.2">
      <c r="B15" s="2"/>
      <c r="C15" s="26"/>
      <c r="D15" s="26"/>
      <c r="E15" s="26"/>
      <c r="F15" s="26"/>
      <c r="G15" s="26"/>
      <c r="H15" s="106"/>
      <c r="I15" s="8"/>
      <c r="O15" s="72"/>
      <c r="P15" s="72"/>
      <c r="R15" s="99" t="s">
        <v>64</v>
      </c>
      <c r="S15" s="282">
        <f xml:space="preserve"> S13 / S14</f>
        <v>52.105098249564158</v>
      </c>
      <c r="T15" s="283"/>
      <c r="X15" s="72"/>
      <c r="Y15" s="72"/>
      <c r="Z15" s="72"/>
      <c r="AA15" s="72"/>
      <c r="AB15" s="72"/>
    </row>
    <row r="16" spans="1:28" s="6" customFormat="1" x14ac:dyDescent="0.2">
      <c r="A16" s="6" t="s">
        <v>31</v>
      </c>
      <c r="B16" s="20"/>
      <c r="C16" s="50">
        <f>C7-C14</f>
        <v>1451</v>
      </c>
      <c r="D16" s="50">
        <f t="shared" ref="D16:G16" si="8">D7-D14</f>
        <v>1372</v>
      </c>
      <c r="E16" s="50">
        <f t="shared" si="8"/>
        <v>1183</v>
      </c>
      <c r="F16" s="50">
        <f t="shared" si="8"/>
        <v>1319</v>
      </c>
      <c r="G16" s="50">
        <f t="shared" si="8"/>
        <v>1412</v>
      </c>
      <c r="H16" s="111"/>
      <c r="I16" s="56">
        <f>I17*I4</f>
        <v>1972.733569909519</v>
      </c>
      <c r="J16" s="53">
        <f>J17*J4</f>
        <v>2112.8316256541739</v>
      </c>
      <c r="K16" s="53">
        <f t="shared" ref="K16:M16" si="9">K17*K4</f>
        <v>2263.798240020159</v>
      </c>
      <c r="L16" s="53">
        <f t="shared" si="9"/>
        <v>2426.4777329860476</v>
      </c>
      <c r="M16" s="53">
        <f t="shared" si="9"/>
        <v>2601.772514389344</v>
      </c>
      <c r="O16" s="82"/>
      <c r="P16" s="87"/>
      <c r="R16" s="1"/>
      <c r="S16" s="1"/>
      <c r="T16" s="1"/>
      <c r="X16" s="82"/>
      <c r="Y16" s="82"/>
      <c r="Z16" s="82"/>
      <c r="AA16" s="82"/>
      <c r="AB16" s="82"/>
    </row>
    <row r="17" spans="1:28" x14ac:dyDescent="0.2">
      <c r="A17" s="18" t="s">
        <v>37</v>
      </c>
      <c r="B17" s="13"/>
      <c r="C17" s="17">
        <f>C16/C4</f>
        <v>0.29880560131795719</v>
      </c>
      <c r="D17" s="17">
        <f t="shared" ref="D17:G17" si="10">D16/D4</f>
        <v>0.29936722670739691</v>
      </c>
      <c r="E17" s="17">
        <f t="shared" si="10"/>
        <v>0.26837568058076228</v>
      </c>
      <c r="F17" s="17">
        <f t="shared" si="10"/>
        <v>0.28280445969125212</v>
      </c>
      <c r="G17" s="17">
        <f t="shared" si="10"/>
        <v>0.21368038740920098</v>
      </c>
      <c r="H17" s="101">
        <f>AVERAGE(C17:G17)</f>
        <v>0.27260667114131387</v>
      </c>
      <c r="I17" s="15">
        <f>Assumptions!C9</f>
        <v>0.27260667114131387</v>
      </c>
      <c r="J17" s="15">
        <f>Assumptions!D9</f>
        <v>0.26660667114131387</v>
      </c>
      <c r="K17" s="15">
        <f>Assumptions!E9</f>
        <v>0.26060667114131386</v>
      </c>
      <c r="L17" s="15">
        <f>Assumptions!F9</f>
        <v>0.25460667114131386</v>
      </c>
      <c r="M17" s="15">
        <f>Assumptions!G9</f>
        <v>0.24860667114131385</v>
      </c>
      <c r="O17" s="82"/>
      <c r="P17" s="82"/>
      <c r="X17" s="72"/>
      <c r="Y17" s="72"/>
      <c r="Z17" s="72"/>
      <c r="AA17" s="72"/>
      <c r="AB17" s="72"/>
    </row>
    <row r="18" spans="1:28" x14ac:dyDescent="0.2">
      <c r="B18" s="2"/>
      <c r="C18" s="26"/>
      <c r="D18" s="26"/>
      <c r="E18" s="26"/>
      <c r="F18" s="26"/>
      <c r="G18" s="26"/>
      <c r="H18" s="106"/>
      <c r="I18" s="8"/>
      <c r="O18" s="72"/>
      <c r="P18" s="72"/>
      <c r="R18" s="258" t="s">
        <v>102</v>
      </c>
      <c r="S18" s="259"/>
      <c r="T18" s="259"/>
      <c r="U18" s="259"/>
      <c r="V18" s="260"/>
      <c r="X18" s="271"/>
      <c r="Y18" s="271"/>
      <c r="Z18" s="271"/>
      <c r="AA18" s="271"/>
      <c r="AB18" s="271"/>
    </row>
    <row r="19" spans="1:28" x14ac:dyDescent="0.2">
      <c r="A19" s="1" t="s">
        <v>32</v>
      </c>
      <c r="B19" s="2"/>
      <c r="C19" s="26">
        <v>1</v>
      </c>
      <c r="D19" s="26">
        <v>58</v>
      </c>
      <c r="E19" s="27">
        <v>0</v>
      </c>
      <c r="F19" s="27">
        <v>0</v>
      </c>
      <c r="G19" s="28">
        <v>92</v>
      </c>
      <c r="H19" s="112">
        <f>AVERAGE(C19:G19)</f>
        <v>30.2</v>
      </c>
      <c r="I19" s="8">
        <f>Assumptions!C18</f>
        <v>30.2</v>
      </c>
      <c r="J19" s="8">
        <f>Assumptions!D18</f>
        <v>30.2</v>
      </c>
      <c r="K19" s="8">
        <f>Assumptions!E18</f>
        <v>30.2</v>
      </c>
      <c r="L19" s="8">
        <f>Assumptions!F18</f>
        <v>30.2</v>
      </c>
      <c r="M19" s="8">
        <f>Assumptions!G18</f>
        <v>30.2</v>
      </c>
      <c r="O19" s="82"/>
      <c r="P19" s="84"/>
      <c r="R19" s="219" t="s">
        <v>103</v>
      </c>
      <c r="S19" s="233">
        <f>V27</f>
        <v>7.8E-2</v>
      </c>
      <c r="T19" s="208"/>
      <c r="U19" s="261" t="s">
        <v>104</v>
      </c>
      <c r="V19" s="262"/>
      <c r="X19" s="236"/>
      <c r="Y19" s="237"/>
      <c r="Z19" s="142"/>
      <c r="AA19" s="272"/>
      <c r="AB19" s="272"/>
    </row>
    <row r="20" spans="1:28" x14ac:dyDescent="0.2">
      <c r="A20" s="1" t="s">
        <v>33</v>
      </c>
      <c r="B20" s="2"/>
      <c r="C20" s="26">
        <v>8</v>
      </c>
      <c r="D20" s="26">
        <v>5</v>
      </c>
      <c r="E20" s="27">
        <v>-202</v>
      </c>
      <c r="F20" s="27">
        <v>-198</v>
      </c>
      <c r="G20" s="28">
        <v>-214</v>
      </c>
      <c r="H20" s="113">
        <f>AVERAGE(C20:G20)</f>
        <v>-120.2</v>
      </c>
      <c r="I20" s="8">
        <v>-120</v>
      </c>
      <c r="J20" s="8">
        <v>-120</v>
      </c>
      <c r="K20" s="8">
        <v>-120</v>
      </c>
      <c r="L20" s="8">
        <v>-120</v>
      </c>
      <c r="M20" s="8">
        <v>-120</v>
      </c>
      <c r="O20" s="72"/>
      <c r="P20" s="88"/>
      <c r="R20" s="220" t="s">
        <v>105</v>
      </c>
      <c r="S20" s="234">
        <f>V34</f>
        <v>3.4571859554864179E-2</v>
      </c>
      <c r="T20" s="208"/>
      <c r="U20" s="210"/>
      <c r="V20" s="211"/>
      <c r="X20" s="236"/>
      <c r="Y20" s="237"/>
      <c r="Z20" s="142"/>
      <c r="AA20" s="142"/>
      <c r="AB20" s="142"/>
    </row>
    <row r="21" spans="1:28" s="6" customFormat="1" x14ac:dyDescent="0.2">
      <c r="A21" s="6" t="s">
        <v>38</v>
      </c>
      <c r="B21" s="20"/>
      <c r="C21" s="50">
        <f>C16-C19+C20</f>
        <v>1458</v>
      </c>
      <c r="D21" s="50">
        <f t="shared" ref="D21:G21" si="11">D16-D19+D20</f>
        <v>1319</v>
      </c>
      <c r="E21" s="50">
        <f t="shared" si="11"/>
        <v>981</v>
      </c>
      <c r="F21" s="50">
        <f t="shared" si="11"/>
        <v>1121</v>
      </c>
      <c r="G21" s="50">
        <f t="shared" si="11"/>
        <v>1106</v>
      </c>
      <c r="H21" s="114"/>
      <c r="I21" s="50">
        <f>I16-I19+I20</f>
        <v>1822.533569909519</v>
      </c>
      <c r="J21" s="50">
        <f t="shared" ref="J21:M21" si="12">J16-J19+J20</f>
        <v>1962.6316256541741</v>
      </c>
      <c r="K21" s="50">
        <f t="shared" si="12"/>
        <v>2113.5982400201592</v>
      </c>
      <c r="L21" s="50">
        <f t="shared" si="12"/>
        <v>2276.2777329860478</v>
      </c>
      <c r="M21" s="50">
        <f t="shared" si="12"/>
        <v>2451.5725143893442</v>
      </c>
      <c r="O21" s="82"/>
      <c r="P21" s="82"/>
      <c r="R21" s="221"/>
      <c r="S21" s="222"/>
      <c r="T21" s="208"/>
      <c r="U21" s="210"/>
      <c r="V21" s="211"/>
      <c r="X21" s="142"/>
      <c r="Y21" s="142"/>
      <c r="Z21" s="142"/>
      <c r="AA21" s="142"/>
      <c r="AB21" s="142"/>
    </row>
    <row r="22" spans="1:28" x14ac:dyDescent="0.2">
      <c r="A22" s="6"/>
      <c r="B22" s="2"/>
      <c r="C22" s="26"/>
      <c r="D22" s="26"/>
      <c r="E22" s="26"/>
      <c r="F22" s="26"/>
      <c r="G22" s="26"/>
      <c r="H22" s="115"/>
      <c r="I22" s="8"/>
      <c r="O22" s="72"/>
      <c r="P22" s="89"/>
      <c r="R22" s="220" t="s">
        <v>106</v>
      </c>
      <c r="S22" s="222">
        <f>(4887+4074)/2</f>
        <v>4480.5</v>
      </c>
      <c r="T22" s="208"/>
      <c r="U22" s="223" t="s">
        <v>107</v>
      </c>
      <c r="V22" s="224">
        <v>1.1000000000000001</v>
      </c>
      <c r="X22" s="236"/>
      <c r="Y22" s="238"/>
      <c r="Z22" s="142"/>
      <c r="AA22" s="236"/>
      <c r="AB22" s="239"/>
    </row>
    <row r="23" spans="1:28" s="32" customFormat="1" x14ac:dyDescent="0.2">
      <c r="A23" s="32" t="s">
        <v>34</v>
      </c>
      <c r="B23" s="33"/>
      <c r="C23" s="23">
        <v>309</v>
      </c>
      <c r="D23" s="23">
        <v>309</v>
      </c>
      <c r="E23" s="24">
        <v>146</v>
      </c>
      <c r="F23" s="24">
        <v>229</v>
      </c>
      <c r="G23" s="36">
        <v>140</v>
      </c>
      <c r="H23" s="116"/>
      <c r="I23" s="36">
        <f>$H$24*I21</f>
        <v>337.49473908142733</v>
      </c>
      <c r="J23" s="36">
        <f t="shared" ref="J23:M23" si="13">$H$24*J21</f>
        <v>363.4379411985247</v>
      </c>
      <c r="K23" s="36">
        <f t="shared" si="13"/>
        <v>391.39377091088716</v>
      </c>
      <c r="L23" s="36">
        <f t="shared" si="13"/>
        <v>421.51857845292176</v>
      </c>
      <c r="M23" s="36">
        <f t="shared" si="13"/>
        <v>453.97947107449272</v>
      </c>
      <c r="O23" s="90"/>
      <c r="P23" s="90"/>
      <c r="R23" s="220" t="s">
        <v>108</v>
      </c>
      <c r="S23" s="222">
        <v>33500</v>
      </c>
      <c r="T23" s="208"/>
      <c r="U23" s="214" t="s">
        <v>109</v>
      </c>
      <c r="V23" s="225">
        <f>((2/3)*V22)+(1/3)</f>
        <v>1.0666666666666667</v>
      </c>
      <c r="X23" s="236"/>
      <c r="Y23" s="238"/>
      <c r="Z23" s="142"/>
      <c r="AA23" s="240"/>
      <c r="AB23" s="241"/>
    </row>
    <row r="24" spans="1:28" s="6" customFormat="1" x14ac:dyDescent="0.2">
      <c r="A24" s="6" t="s">
        <v>41</v>
      </c>
      <c r="B24" s="20"/>
      <c r="C24" s="37">
        <f>C23/C21</f>
        <v>0.21193415637860083</v>
      </c>
      <c r="D24" s="37">
        <f t="shared" ref="D24:G24" si="14">D23/D21</f>
        <v>0.23426838514025777</v>
      </c>
      <c r="E24" s="37">
        <f t="shared" si="14"/>
        <v>0.1488277268093782</v>
      </c>
      <c r="F24" s="37">
        <f t="shared" si="14"/>
        <v>0.20428189116859946</v>
      </c>
      <c r="G24" s="37">
        <f t="shared" si="14"/>
        <v>0.12658227848101267</v>
      </c>
      <c r="H24" s="130">
        <f>AVERAGE(C24:G24)</f>
        <v>0.18517888759556977</v>
      </c>
      <c r="I24" s="39">
        <f>Assumptions!C21</f>
        <v>0.18517888759556977</v>
      </c>
      <c r="J24" s="39">
        <f>Assumptions!D21</f>
        <v>0.18517888759556977</v>
      </c>
      <c r="K24" s="39">
        <f>Assumptions!E21</f>
        <v>0.18517888759556977</v>
      </c>
      <c r="L24" s="39">
        <f>Assumptions!F21</f>
        <v>0.18517888759556977</v>
      </c>
      <c r="M24" s="39">
        <f>Assumptions!G21</f>
        <v>0.18517888759556977</v>
      </c>
      <c r="O24" s="82"/>
      <c r="P24" s="82"/>
      <c r="R24" s="220" t="s">
        <v>110</v>
      </c>
      <c r="S24" s="222">
        <f>S22/(S23+S22)</f>
        <v>0.117968431168626</v>
      </c>
      <c r="T24" s="208"/>
      <c r="U24" s="215" t="s">
        <v>111</v>
      </c>
      <c r="V24" s="231">
        <f>0.075-V25</f>
        <v>4.4999999999999998E-2</v>
      </c>
      <c r="X24" s="236"/>
      <c r="Y24" s="242"/>
      <c r="Z24" s="142"/>
      <c r="AA24" s="243"/>
      <c r="AB24" s="244"/>
    </row>
    <row r="25" spans="1:28" s="6" customFormat="1" x14ac:dyDescent="0.2">
      <c r="A25" s="6" t="s">
        <v>40</v>
      </c>
      <c r="B25" s="20"/>
      <c r="C25" s="50">
        <f>C21-C23</f>
        <v>1149</v>
      </c>
      <c r="D25" s="50">
        <f t="shared" ref="D25:G25" si="15">D21-D23</f>
        <v>1010</v>
      </c>
      <c r="E25" s="50">
        <f t="shared" si="15"/>
        <v>835</v>
      </c>
      <c r="F25" s="50">
        <f t="shared" si="15"/>
        <v>892</v>
      </c>
      <c r="G25" s="50">
        <f t="shared" si="15"/>
        <v>966</v>
      </c>
      <c r="H25" s="111"/>
      <c r="I25" s="56">
        <f>I21-I23</f>
        <v>1485.0388308280917</v>
      </c>
      <c r="J25" s="56">
        <f t="shared" ref="J25:M25" si="16">J21-J23</f>
        <v>1599.1936844556494</v>
      </c>
      <c r="K25" s="56">
        <f t="shared" si="16"/>
        <v>1722.2044691092719</v>
      </c>
      <c r="L25" s="56">
        <f t="shared" si="16"/>
        <v>1854.7591545331261</v>
      </c>
      <c r="M25" s="56">
        <f t="shared" si="16"/>
        <v>1997.5930433148515</v>
      </c>
      <c r="O25" s="32"/>
      <c r="R25" s="220" t="s">
        <v>112</v>
      </c>
      <c r="S25" s="222">
        <f>S23/(S23+S22)</f>
        <v>0.88203156883137401</v>
      </c>
      <c r="T25" s="208"/>
      <c r="U25" s="215" t="s">
        <v>113</v>
      </c>
      <c r="V25" s="229">
        <v>0.03</v>
      </c>
      <c r="X25" s="236"/>
      <c r="Y25" s="242"/>
      <c r="Z25" s="142"/>
      <c r="AA25" s="243"/>
      <c r="AB25" s="237"/>
    </row>
    <row r="26" spans="1:28" x14ac:dyDescent="0.2">
      <c r="A26" s="18" t="s">
        <v>39</v>
      </c>
      <c r="B26" s="2"/>
      <c r="C26" s="16">
        <f>C25/C4</f>
        <v>0.23661449752883032</v>
      </c>
      <c r="D26" s="16">
        <f t="shared" ref="D26:G26" si="17">D25/D4</f>
        <v>0.22037966397556186</v>
      </c>
      <c r="E26" s="16">
        <f t="shared" si="17"/>
        <v>0.18942831215970962</v>
      </c>
      <c r="F26" s="16">
        <f t="shared" si="17"/>
        <v>0.19125214408233276</v>
      </c>
      <c r="G26" s="16">
        <f t="shared" si="17"/>
        <v>0.1461864406779661</v>
      </c>
      <c r="H26" s="101">
        <f>AVERAGE(C26:G26)</f>
        <v>0.1967722116848801</v>
      </c>
      <c r="I26" s="15">
        <f>I25/I4</f>
        <v>0.20521346539776417</v>
      </c>
      <c r="J26" s="15">
        <v>0.2</v>
      </c>
      <c r="K26" s="15">
        <v>0.2</v>
      </c>
      <c r="L26" s="15">
        <v>0.2</v>
      </c>
      <c r="M26" s="15">
        <v>0.2</v>
      </c>
      <c r="R26" s="210"/>
      <c r="S26" s="209"/>
      <c r="T26" s="208"/>
      <c r="U26" s="218" t="s">
        <v>114</v>
      </c>
      <c r="V26" s="229">
        <v>0</v>
      </c>
      <c r="X26" s="142"/>
      <c r="Y26" s="142"/>
      <c r="Z26" s="142"/>
      <c r="AA26" s="243"/>
      <c r="AB26" s="245"/>
    </row>
    <row r="27" spans="1:28" x14ac:dyDescent="0.2">
      <c r="A27" s="6"/>
      <c r="B27" s="2"/>
      <c r="C27" s="26"/>
      <c r="D27" s="26"/>
      <c r="E27" s="26"/>
      <c r="F27" s="26"/>
      <c r="G27" s="26"/>
      <c r="H27" s="106"/>
      <c r="I27" s="8"/>
      <c r="R27" s="210"/>
      <c r="S27" s="209"/>
      <c r="T27" s="208"/>
      <c r="U27" s="216" t="s">
        <v>115</v>
      </c>
      <c r="V27" s="230">
        <f>V23*V24+V25</f>
        <v>7.8E-2</v>
      </c>
      <c r="X27" s="142"/>
      <c r="Y27" s="142"/>
      <c r="Z27" s="142"/>
      <c r="AA27" s="246"/>
      <c r="AB27" s="247"/>
    </row>
    <row r="28" spans="1:28" s="7" customFormat="1" x14ac:dyDescent="0.2">
      <c r="A28" s="7" t="s">
        <v>72</v>
      </c>
      <c r="B28" s="13"/>
      <c r="C28" s="141"/>
      <c r="D28" s="141"/>
      <c r="E28" s="141"/>
      <c r="F28" s="141"/>
      <c r="G28" s="141"/>
      <c r="H28" s="106"/>
      <c r="I28" s="140">
        <f>Assumptions!M10</f>
        <v>2.7197314512411291E-2</v>
      </c>
      <c r="J28" s="140">
        <f>Assumptions!N10</f>
        <v>3.2197314512411292E-2</v>
      </c>
      <c r="K28" s="140">
        <f>Assumptions!O10</f>
        <v>3.7197314512411289E-2</v>
      </c>
      <c r="L28" s="140">
        <f>Assumptions!P10</f>
        <v>4.2197314512411287E-2</v>
      </c>
      <c r="M28" s="140">
        <f>Assumptions!Q10</f>
        <v>4.7197314512411284E-2</v>
      </c>
      <c r="R28" s="210"/>
      <c r="S28" s="209"/>
      <c r="T28" s="208"/>
      <c r="U28" s="217" t="s">
        <v>116</v>
      </c>
      <c r="V28" s="225"/>
      <c r="X28" s="142"/>
      <c r="Y28" s="142"/>
      <c r="Z28" s="142"/>
      <c r="AA28" s="248"/>
      <c r="AB28" s="242"/>
    </row>
    <row r="29" spans="1:28" x14ac:dyDescent="0.2">
      <c r="A29" s="6" t="s">
        <v>44</v>
      </c>
      <c r="B29" s="2"/>
      <c r="C29" s="3"/>
      <c r="D29" s="3"/>
      <c r="E29" s="4"/>
      <c r="F29" s="2"/>
      <c r="G29" s="8">
        <v>136</v>
      </c>
      <c r="H29" s="106"/>
      <c r="I29" s="8">
        <f>I28*I4</f>
        <v>196.81490231106054</v>
      </c>
      <c r="J29" s="8">
        <f t="shared" ref="J29:M29" si="18">J28*J4</f>
        <v>255.16054820285777</v>
      </c>
      <c r="K29" s="8">
        <f t="shared" si="18"/>
        <v>323.11995221723112</v>
      </c>
      <c r="L29" s="8">
        <f t="shared" si="18"/>
        <v>402.15302920851275</v>
      </c>
      <c r="M29" s="8">
        <f t="shared" si="18"/>
        <v>493.93958371125319</v>
      </c>
      <c r="R29" s="210"/>
      <c r="S29" s="209"/>
      <c r="T29" s="208"/>
      <c r="U29" s="263" t="s">
        <v>117</v>
      </c>
      <c r="V29" s="264"/>
      <c r="X29" s="142"/>
      <c r="Y29" s="142"/>
      <c r="Z29" s="142"/>
      <c r="AA29" s="273"/>
      <c r="AB29" s="273"/>
    </row>
    <row r="30" spans="1:28" s="7" customFormat="1" x14ac:dyDescent="0.2">
      <c r="A30" s="7" t="s">
        <v>100</v>
      </c>
      <c r="B30" s="13"/>
      <c r="C30" s="137"/>
      <c r="D30" s="137"/>
      <c r="E30" s="138"/>
      <c r="F30" s="13"/>
      <c r="G30" s="140">
        <f>G31/G4</f>
        <v>0.1740314769975787</v>
      </c>
      <c r="H30" s="106"/>
      <c r="I30" s="201">
        <f>Assumptions!P15</f>
        <v>9.8418474144336465E-2</v>
      </c>
      <c r="J30" s="201">
        <f>Assumptions!Q15</f>
        <v>9.8418474144336465E-2</v>
      </c>
      <c r="K30" s="201">
        <f>Assumptions!R15</f>
        <v>9.8418474144336465E-2</v>
      </c>
      <c r="L30" s="201">
        <f>Assumptions!S15</f>
        <v>9.8418474144336465E-2</v>
      </c>
      <c r="M30" s="201">
        <f>Assumptions!T15</f>
        <v>9.8418474144336465E-2</v>
      </c>
      <c r="R30" s="235" t="s">
        <v>46</v>
      </c>
      <c r="S30" s="212">
        <f>S31</f>
        <v>7.2876850403116575E-2</v>
      </c>
      <c r="T30" s="208"/>
      <c r="U30" s="226"/>
      <c r="V30" s="227"/>
      <c r="X30" s="142"/>
      <c r="Y30" s="236"/>
      <c r="Z30" s="142"/>
      <c r="AA30" s="142"/>
      <c r="AB30" s="142"/>
    </row>
    <row r="31" spans="1:28" ht="16" customHeight="1" x14ac:dyDescent="0.2">
      <c r="A31" s="6" t="s">
        <v>99</v>
      </c>
      <c r="B31" s="2"/>
      <c r="C31" s="3"/>
      <c r="D31" s="3"/>
      <c r="E31" s="4"/>
      <c r="F31" s="2"/>
      <c r="G31" s="8">
        <v>1150</v>
      </c>
      <c r="H31" s="106"/>
      <c r="I31" s="8">
        <f>I30*I4</f>
        <v>712.21084587163057</v>
      </c>
      <c r="J31" s="8">
        <f t="shared" ref="J31:M31" si="19">J30*J4</f>
        <v>779.9567198772869</v>
      </c>
      <c r="K31" s="8">
        <f t="shared" si="19"/>
        <v>854.92657412674384</v>
      </c>
      <c r="L31" s="8">
        <f t="shared" si="19"/>
        <v>937.95749716687169</v>
      </c>
      <c r="M31" s="8">
        <f t="shared" si="19"/>
        <v>1029.990385058175</v>
      </c>
      <c r="R31" s="255" t="s">
        <v>46</v>
      </c>
      <c r="S31" s="268">
        <f>S25*S19+S20*S24</f>
        <v>7.2876850403116575E-2</v>
      </c>
      <c r="T31" s="208"/>
      <c r="U31" s="265" t="s">
        <v>118</v>
      </c>
      <c r="V31" s="266">
        <f>((140/4887)+(229/4074))/2</f>
        <v>4.2428772436746462E-2</v>
      </c>
      <c r="X31" s="274"/>
      <c r="Y31" s="275"/>
      <c r="Z31" s="142"/>
      <c r="AA31" s="276"/>
      <c r="AB31" s="277"/>
    </row>
    <row r="32" spans="1:28" s="7" customFormat="1" ht="16" customHeight="1" x14ac:dyDescent="0.2">
      <c r="A32" s="7" t="s">
        <v>71</v>
      </c>
      <c r="B32" s="13"/>
      <c r="C32" s="137"/>
      <c r="D32" s="137"/>
      <c r="E32" s="138"/>
      <c r="F32" s="13"/>
      <c r="G32" s="139">
        <v>0.21160000000000001</v>
      </c>
      <c r="H32" s="106"/>
      <c r="I32" s="140">
        <f>Assumptions!N5</f>
        <v>0.11823295986591396</v>
      </c>
      <c r="J32" s="140">
        <f>Assumptions!O5</f>
        <v>0.12323295986591397</v>
      </c>
      <c r="K32" s="140">
        <f>Assumptions!P5</f>
        <v>0.12823295986591396</v>
      </c>
      <c r="L32" s="140">
        <f>Assumptions!Q5</f>
        <v>0.13323295986591396</v>
      </c>
      <c r="M32" s="140">
        <f>Assumptions!R5</f>
        <v>0.13823295986591397</v>
      </c>
      <c r="R32" s="256"/>
      <c r="S32" s="269"/>
      <c r="T32" s="208"/>
      <c r="U32" s="265"/>
      <c r="V32" s="267"/>
      <c r="X32" s="274"/>
      <c r="Y32" s="275"/>
      <c r="Z32" s="142"/>
      <c r="AA32" s="276"/>
      <c r="AB32" s="277"/>
    </row>
    <row r="33" spans="1:28" ht="16" customHeight="1" x14ac:dyDescent="0.2">
      <c r="A33" s="6" t="s">
        <v>45</v>
      </c>
      <c r="B33" s="2"/>
      <c r="C33" s="3"/>
      <c r="D33" s="3"/>
      <c r="E33" s="4"/>
      <c r="F33" s="2"/>
      <c r="G33" s="8">
        <v>1398</v>
      </c>
      <c r="H33" s="106"/>
      <c r="I33" s="8">
        <f>I32*I4</f>
        <v>855.5994907268622</v>
      </c>
      <c r="J33" s="8">
        <f t="shared" ref="J33:M33" si="20">J32*J4</f>
        <v>976.60907663359308</v>
      </c>
      <c r="K33" s="8">
        <f t="shared" si="20"/>
        <v>1113.9144964543912</v>
      </c>
      <c r="L33" s="8">
        <f t="shared" si="20"/>
        <v>1269.7499596741939</v>
      </c>
      <c r="M33" s="8">
        <f t="shared" si="20"/>
        <v>1446.6655858860136</v>
      </c>
      <c r="R33" s="256"/>
      <c r="S33" s="269"/>
      <c r="T33" s="208"/>
      <c r="U33" s="215" t="s">
        <v>119</v>
      </c>
      <c r="V33" s="229">
        <f>1-H24</f>
        <v>0.81482111240443023</v>
      </c>
      <c r="X33" s="274"/>
      <c r="Y33" s="275"/>
      <c r="Z33" s="142"/>
      <c r="AA33" s="243"/>
      <c r="AB33" s="249"/>
    </row>
    <row r="34" spans="1:28" ht="16" customHeight="1" x14ac:dyDescent="0.2">
      <c r="A34" s="6"/>
      <c r="B34" s="2"/>
      <c r="C34" s="3"/>
      <c r="D34" s="3"/>
      <c r="E34" s="4"/>
      <c r="F34" s="2"/>
      <c r="G34" s="9"/>
      <c r="H34" s="106"/>
      <c r="I34" s="8"/>
      <c r="R34" s="257"/>
      <c r="S34" s="270"/>
      <c r="T34" s="213"/>
      <c r="U34" s="228" t="s">
        <v>120</v>
      </c>
      <c r="V34" s="232">
        <f>V31*V33</f>
        <v>3.4571859554864179E-2</v>
      </c>
      <c r="X34" s="274"/>
      <c r="Y34" s="275"/>
      <c r="Z34" s="142"/>
      <c r="AA34" s="246"/>
      <c r="AB34" s="247"/>
    </row>
    <row r="35" spans="1:28" x14ac:dyDescent="0.2">
      <c r="A35" s="57" t="s">
        <v>96</v>
      </c>
      <c r="B35" s="58"/>
      <c r="C35" s="59"/>
      <c r="D35" s="59"/>
      <c r="E35" s="60"/>
      <c r="F35" s="58"/>
      <c r="G35" s="61"/>
      <c r="H35" s="111"/>
      <c r="I35" s="62">
        <f>I16*(1-I24)-I29+I31-I33</f>
        <v>1267.2214147449449</v>
      </c>
      <c r="J35" s="62">
        <f t="shared" ref="J35:M35" si="21">J16*(1-J24)-J29+J31-J33</f>
        <v>1269.7669105796306</v>
      </c>
      <c r="K35" s="62">
        <f t="shared" si="21"/>
        <v>1262.4827256475392</v>
      </c>
      <c r="L35" s="62">
        <f t="shared" si="21"/>
        <v>1243.1997939004366</v>
      </c>
      <c r="M35" s="62">
        <f t="shared" si="21"/>
        <v>1209.3643898589048</v>
      </c>
      <c r="X35" s="72"/>
      <c r="Y35" s="72"/>
      <c r="Z35" s="72"/>
      <c r="AA35" s="72"/>
      <c r="AB35" s="72"/>
    </row>
    <row r="36" spans="1:28" x14ac:dyDescent="0.2">
      <c r="A36" s="6"/>
      <c r="B36" s="2"/>
      <c r="C36" s="3"/>
      <c r="D36" s="3"/>
      <c r="E36" s="4"/>
      <c r="F36" s="2"/>
      <c r="G36" s="9"/>
      <c r="H36" s="106"/>
      <c r="I36" s="8"/>
    </row>
    <row r="37" spans="1:28" s="6" customFormat="1" x14ac:dyDescent="0.2">
      <c r="A37" s="6" t="s">
        <v>46</v>
      </c>
      <c r="B37" s="20"/>
      <c r="C37" s="21"/>
      <c r="D37" s="21"/>
      <c r="E37" s="22"/>
      <c r="F37" s="20"/>
      <c r="G37" s="41"/>
      <c r="H37" s="109"/>
      <c r="I37" s="39">
        <f>Assumptions!C24</f>
        <v>7.2876850403116575E-2</v>
      </c>
      <c r="J37" s="39">
        <f>Assumptions!D24</f>
        <v>7.2876850403116575E-2</v>
      </c>
      <c r="K37" s="39">
        <f>Assumptions!E24</f>
        <v>7.2876850403116575E-2</v>
      </c>
      <c r="L37" s="39">
        <f>Assumptions!F24</f>
        <v>7.2876850403116575E-2</v>
      </c>
      <c r="M37" s="39">
        <f>Assumptions!G24</f>
        <v>7.2876850403116575E-2</v>
      </c>
      <c r="N37" s="39"/>
      <c r="R37" s="1"/>
      <c r="S37" s="1"/>
      <c r="T37" s="1"/>
      <c r="U37" s="1"/>
      <c r="V37" s="1"/>
    </row>
    <row r="38" spans="1:28" s="6" customFormat="1" x14ac:dyDescent="0.2">
      <c r="A38" s="6" t="s">
        <v>47</v>
      </c>
      <c r="B38" s="20"/>
      <c r="C38" s="21"/>
      <c r="D38" s="21"/>
      <c r="E38" s="22"/>
      <c r="F38" s="20"/>
      <c r="G38" s="41"/>
      <c r="H38" s="109"/>
      <c r="I38" s="42">
        <f>1/((1+I37)^I3)</f>
        <v>0.93207342447948782</v>
      </c>
      <c r="J38" s="42">
        <f t="shared" ref="J38:M38" si="22">1/((1+J37)^J3)</f>
        <v>0.86876086862091961</v>
      </c>
      <c r="K38" s="42">
        <f t="shared" si="22"/>
        <v>0.80974891786927483</v>
      </c>
      <c r="L38" s="42">
        <f t="shared" si="22"/>
        <v>0.75474544684697464</v>
      </c>
      <c r="M38" s="42">
        <f t="shared" si="22"/>
        <v>0.7034781732529608</v>
      </c>
      <c r="R38" s="1"/>
      <c r="S38" s="1"/>
      <c r="T38" s="1"/>
      <c r="U38" s="1"/>
      <c r="V38" s="1"/>
    </row>
    <row r="39" spans="1:28" x14ac:dyDescent="0.2">
      <c r="A39" s="6"/>
      <c r="B39" s="2"/>
      <c r="C39" s="3"/>
      <c r="D39" s="3"/>
      <c r="E39" s="4"/>
      <c r="F39" s="2"/>
      <c r="G39" s="9"/>
      <c r="H39" s="106"/>
      <c r="I39" s="8"/>
    </row>
    <row r="40" spans="1:28" s="6" customFormat="1" x14ac:dyDescent="0.2">
      <c r="A40" s="57" t="s">
        <v>48</v>
      </c>
      <c r="B40" s="63"/>
      <c r="C40" s="64"/>
      <c r="D40" s="64"/>
      <c r="E40" s="65"/>
      <c r="F40" s="63"/>
      <c r="G40" s="66"/>
      <c r="H40" s="117"/>
      <c r="I40" s="56">
        <f>I38*I35</f>
        <v>1181.1434036150622</v>
      </c>
      <c r="J40" s="56">
        <f t="shared" ref="J40:M40" si="23">J38*J35</f>
        <v>1103.1238041812614</v>
      </c>
      <c r="K40" s="56">
        <f t="shared" si="23"/>
        <v>1022.2940209217475</v>
      </c>
      <c r="L40" s="56">
        <f t="shared" si="23"/>
        <v>938.29938396745183</v>
      </c>
      <c r="M40" s="56">
        <f t="shared" si="23"/>
        <v>850.76145177512387</v>
      </c>
      <c r="R40" s="1"/>
      <c r="S40" s="1"/>
      <c r="T40" s="1"/>
      <c r="U40" s="1"/>
      <c r="V40" s="1"/>
    </row>
    <row r="41" spans="1:28" x14ac:dyDescent="0.2">
      <c r="B41" s="2"/>
      <c r="C41" s="3"/>
      <c r="D41" s="3"/>
      <c r="E41" s="4"/>
      <c r="F41" s="2"/>
      <c r="G41" s="91"/>
      <c r="H41" s="106"/>
      <c r="I41" s="92"/>
    </row>
    <row r="42" spans="1:28" x14ac:dyDescent="0.2">
      <c r="A42" s="6"/>
      <c r="B42" s="2"/>
      <c r="C42" s="3"/>
      <c r="D42" s="3"/>
      <c r="E42" s="4"/>
      <c r="F42" s="2"/>
      <c r="G42" s="91"/>
      <c r="H42" s="106"/>
      <c r="I42" s="92"/>
    </row>
    <row r="43" spans="1:28" x14ac:dyDescent="0.2">
      <c r="B43" s="2"/>
      <c r="C43" s="3"/>
      <c r="D43" s="3"/>
      <c r="E43" s="4"/>
      <c r="F43" s="2"/>
      <c r="G43" s="91"/>
      <c r="H43" s="106"/>
      <c r="I43" s="92"/>
    </row>
    <row r="44" spans="1:28" x14ac:dyDescent="0.2">
      <c r="A44" s="6"/>
      <c r="B44" s="2"/>
      <c r="C44" s="3"/>
      <c r="D44" s="3"/>
      <c r="E44" s="4"/>
      <c r="F44" s="2"/>
      <c r="G44" s="91"/>
      <c r="H44" s="106"/>
      <c r="I44" s="92"/>
    </row>
    <row r="45" spans="1:28" x14ac:dyDescent="0.2">
      <c r="A45" s="6"/>
      <c r="B45" s="2"/>
      <c r="C45" s="3"/>
      <c r="D45" s="3"/>
      <c r="E45" s="4"/>
      <c r="F45" s="2"/>
      <c r="G45" s="93"/>
      <c r="I45" s="94"/>
    </row>
    <row r="46" spans="1:28" x14ac:dyDescent="0.2">
      <c r="B46" s="2"/>
      <c r="C46" s="3"/>
      <c r="D46" s="3"/>
      <c r="E46" s="4"/>
      <c r="F46" s="2"/>
      <c r="G46" s="95"/>
      <c r="I46" s="72"/>
    </row>
    <row r="47" spans="1:28" x14ac:dyDescent="0.2">
      <c r="G47" s="91"/>
      <c r="H47" s="106"/>
      <c r="I47" s="92"/>
    </row>
    <row r="48" spans="1:28" x14ac:dyDescent="0.2">
      <c r="G48" s="91"/>
      <c r="H48" s="106"/>
      <c r="I48" s="92"/>
    </row>
    <row r="49" spans="7:9" x14ac:dyDescent="0.2">
      <c r="G49" s="91"/>
      <c r="H49" s="106"/>
      <c r="I49" s="92"/>
    </row>
    <row r="50" spans="7:9" x14ac:dyDescent="0.2">
      <c r="G50" s="91"/>
      <c r="H50" s="106"/>
      <c r="I50" s="92"/>
    </row>
    <row r="51" spans="7:9" x14ac:dyDescent="0.2">
      <c r="G51" s="93"/>
      <c r="I51" s="94"/>
    </row>
    <row r="52" spans="7:9" x14ac:dyDescent="0.2">
      <c r="G52" s="95"/>
      <c r="I52" s="72"/>
    </row>
    <row r="53" spans="7:9" x14ac:dyDescent="0.2">
      <c r="G53" s="91"/>
      <c r="H53" s="106"/>
      <c r="I53" s="92"/>
    </row>
    <row r="54" spans="7:9" x14ac:dyDescent="0.2">
      <c r="G54" s="91"/>
      <c r="H54" s="106"/>
      <c r="I54" s="92"/>
    </row>
    <row r="55" spans="7:9" x14ac:dyDescent="0.2">
      <c r="G55" s="91"/>
      <c r="H55" s="106"/>
      <c r="I55" s="92"/>
    </row>
    <row r="56" spans="7:9" x14ac:dyDescent="0.2">
      <c r="G56" s="91"/>
      <c r="H56" s="106"/>
      <c r="I56" s="92"/>
    </row>
    <row r="57" spans="7:9" x14ac:dyDescent="0.2">
      <c r="G57" s="93"/>
      <c r="I57" s="94"/>
    </row>
    <row r="58" spans="7:9" x14ac:dyDescent="0.2">
      <c r="G58" s="95"/>
      <c r="I58" s="72"/>
    </row>
    <row r="59" spans="7:9" x14ac:dyDescent="0.2">
      <c r="G59" s="91"/>
      <c r="H59" s="106"/>
      <c r="I59" s="92"/>
    </row>
    <row r="60" spans="7:9" x14ac:dyDescent="0.2">
      <c r="G60" s="91"/>
      <c r="H60" s="106"/>
      <c r="I60" s="92"/>
    </row>
    <row r="61" spans="7:9" x14ac:dyDescent="0.2">
      <c r="G61" s="91"/>
      <c r="H61" s="106"/>
      <c r="I61" s="92"/>
    </row>
    <row r="62" spans="7:9" x14ac:dyDescent="0.2">
      <c r="G62" s="91"/>
      <c r="H62" s="106"/>
      <c r="I62" s="92"/>
    </row>
    <row r="63" spans="7:9" x14ac:dyDescent="0.2">
      <c r="G63" s="93"/>
      <c r="I63" s="94"/>
    </row>
    <row r="64" spans="7:9" x14ac:dyDescent="0.2">
      <c r="G64" s="95"/>
      <c r="I64" s="72"/>
    </row>
    <row r="65" spans="7:9" x14ac:dyDescent="0.2">
      <c r="G65" s="91"/>
      <c r="H65" s="106"/>
      <c r="I65" s="92"/>
    </row>
    <row r="66" spans="7:9" x14ac:dyDescent="0.2">
      <c r="G66" s="91"/>
      <c r="H66" s="106"/>
      <c r="I66" s="92"/>
    </row>
    <row r="67" spans="7:9" x14ac:dyDescent="0.2">
      <c r="G67" s="91"/>
      <c r="H67" s="106"/>
      <c r="I67" s="92"/>
    </row>
    <row r="68" spans="7:9" x14ac:dyDescent="0.2">
      <c r="G68" s="91"/>
      <c r="H68" s="106"/>
      <c r="I68" s="92"/>
    </row>
    <row r="69" spans="7:9" x14ac:dyDescent="0.2">
      <c r="G69" s="93"/>
      <c r="I69" s="94"/>
    </row>
    <row r="70" spans="7:9" x14ac:dyDescent="0.2">
      <c r="G70" s="95"/>
      <c r="I70" s="72"/>
    </row>
    <row r="71" spans="7:9" x14ac:dyDescent="0.2">
      <c r="G71" s="91"/>
      <c r="H71" s="106"/>
      <c r="I71" s="92"/>
    </row>
    <row r="72" spans="7:9" x14ac:dyDescent="0.2">
      <c r="G72" s="91"/>
      <c r="H72" s="106"/>
      <c r="I72" s="92"/>
    </row>
    <row r="73" spans="7:9" x14ac:dyDescent="0.2">
      <c r="G73" s="91"/>
      <c r="H73" s="106"/>
      <c r="I73" s="92"/>
    </row>
    <row r="74" spans="7:9" x14ac:dyDescent="0.2">
      <c r="G74" s="91"/>
      <c r="H74" s="106"/>
      <c r="I74" s="92"/>
    </row>
    <row r="75" spans="7:9" x14ac:dyDescent="0.2">
      <c r="G75" s="93"/>
      <c r="I75" s="94"/>
    </row>
    <row r="76" spans="7:9" x14ac:dyDescent="0.2">
      <c r="G76" s="95"/>
      <c r="I76" s="72"/>
    </row>
    <row r="77" spans="7:9" x14ac:dyDescent="0.2">
      <c r="G77" s="91"/>
      <c r="H77" s="106"/>
      <c r="I77" s="92"/>
    </row>
    <row r="78" spans="7:9" x14ac:dyDescent="0.2">
      <c r="G78" s="91"/>
      <c r="H78" s="106"/>
      <c r="I78" s="92"/>
    </row>
    <row r="79" spans="7:9" x14ac:dyDescent="0.2">
      <c r="G79" s="91"/>
      <c r="H79" s="106"/>
      <c r="I79" s="92"/>
    </row>
    <row r="80" spans="7:9" x14ac:dyDescent="0.2">
      <c r="G80" s="91"/>
      <c r="H80" s="106"/>
      <c r="I80" s="92"/>
    </row>
    <row r="81" spans="7:9" x14ac:dyDescent="0.2">
      <c r="G81" s="93"/>
      <c r="I81" s="94"/>
    </row>
    <row r="82" spans="7:9" x14ac:dyDescent="0.2">
      <c r="G82" s="95"/>
      <c r="I82" s="72"/>
    </row>
    <row r="83" spans="7:9" x14ac:dyDescent="0.2">
      <c r="G83" s="91"/>
      <c r="H83" s="106"/>
      <c r="I83" s="92"/>
    </row>
    <row r="84" spans="7:9" x14ac:dyDescent="0.2">
      <c r="G84" s="91"/>
      <c r="H84" s="106"/>
      <c r="I84" s="92"/>
    </row>
    <row r="85" spans="7:9" x14ac:dyDescent="0.2">
      <c r="G85" s="91"/>
      <c r="H85" s="106"/>
      <c r="I85" s="92"/>
    </row>
    <row r="86" spans="7:9" x14ac:dyDescent="0.2">
      <c r="G86" s="91"/>
      <c r="H86" s="106"/>
      <c r="I86" s="92"/>
    </row>
    <row r="87" spans="7:9" x14ac:dyDescent="0.2">
      <c r="G87" s="93"/>
      <c r="I87" s="94"/>
    </row>
    <row r="88" spans="7:9" x14ac:dyDescent="0.2">
      <c r="G88" s="95"/>
      <c r="I88" s="72"/>
    </row>
    <row r="89" spans="7:9" x14ac:dyDescent="0.2">
      <c r="G89" s="91"/>
      <c r="H89" s="106"/>
      <c r="I89" s="92"/>
    </row>
    <row r="90" spans="7:9" x14ac:dyDescent="0.2">
      <c r="G90" s="91"/>
      <c r="H90" s="106"/>
      <c r="I90" s="92"/>
    </row>
    <row r="91" spans="7:9" x14ac:dyDescent="0.2">
      <c r="G91" s="91"/>
      <c r="H91" s="106"/>
      <c r="I91" s="92"/>
    </row>
    <row r="92" spans="7:9" x14ac:dyDescent="0.2">
      <c r="G92" s="91"/>
      <c r="H92" s="106"/>
      <c r="I92" s="92"/>
    </row>
    <row r="93" spans="7:9" x14ac:dyDescent="0.2">
      <c r="G93" s="93"/>
      <c r="I93" s="94"/>
    </row>
    <row r="94" spans="7:9" x14ac:dyDescent="0.2">
      <c r="G94" s="95"/>
      <c r="I94" s="72"/>
    </row>
    <row r="95" spans="7:9" x14ac:dyDescent="0.2">
      <c r="G95" s="91"/>
      <c r="H95" s="106"/>
      <c r="I95" s="92"/>
    </row>
    <row r="96" spans="7:9" x14ac:dyDescent="0.2">
      <c r="G96" s="91"/>
      <c r="H96" s="106"/>
      <c r="I96" s="92"/>
    </row>
    <row r="97" spans="7:9" x14ac:dyDescent="0.2">
      <c r="G97" s="91"/>
      <c r="H97" s="106"/>
      <c r="I97" s="92"/>
    </row>
    <row r="98" spans="7:9" x14ac:dyDescent="0.2">
      <c r="G98" s="91"/>
      <c r="H98" s="106"/>
      <c r="I98" s="92"/>
    </row>
    <row r="99" spans="7:9" x14ac:dyDescent="0.2">
      <c r="G99" s="93"/>
      <c r="I99" s="94"/>
    </row>
    <row r="100" spans="7:9" x14ac:dyDescent="0.2">
      <c r="G100" s="95"/>
      <c r="I100" s="72"/>
    </row>
    <row r="101" spans="7:9" x14ac:dyDescent="0.2">
      <c r="G101" s="91"/>
      <c r="H101" s="106"/>
      <c r="I101" s="92"/>
    </row>
    <row r="102" spans="7:9" x14ac:dyDescent="0.2">
      <c r="G102" s="91"/>
      <c r="H102" s="106"/>
      <c r="I102" s="92"/>
    </row>
    <row r="103" spans="7:9" x14ac:dyDescent="0.2">
      <c r="G103" s="91"/>
      <c r="H103" s="106"/>
      <c r="I103" s="92"/>
    </row>
    <row r="104" spans="7:9" x14ac:dyDescent="0.2">
      <c r="G104" s="91"/>
      <c r="H104" s="106"/>
      <c r="I104" s="92"/>
    </row>
    <row r="105" spans="7:9" x14ac:dyDescent="0.2">
      <c r="G105" s="93"/>
      <c r="I105" s="94"/>
    </row>
    <row r="106" spans="7:9" x14ac:dyDescent="0.2">
      <c r="G106" s="95"/>
      <c r="I106" s="72"/>
    </row>
    <row r="107" spans="7:9" x14ac:dyDescent="0.2">
      <c r="G107" s="91"/>
      <c r="H107" s="106"/>
      <c r="I107" s="92"/>
    </row>
    <row r="108" spans="7:9" x14ac:dyDescent="0.2">
      <c r="G108" s="91"/>
      <c r="H108" s="106"/>
      <c r="I108" s="92"/>
    </row>
    <row r="109" spans="7:9" x14ac:dyDescent="0.2">
      <c r="G109" s="91"/>
      <c r="H109" s="106"/>
      <c r="I109" s="92"/>
    </row>
    <row r="110" spans="7:9" x14ac:dyDescent="0.2">
      <c r="G110" s="91"/>
      <c r="H110" s="106"/>
      <c r="I110" s="92"/>
    </row>
    <row r="111" spans="7:9" x14ac:dyDescent="0.2">
      <c r="G111" s="93"/>
      <c r="I111" s="94"/>
    </row>
    <row r="112" spans="7:9" x14ac:dyDescent="0.2">
      <c r="G112" s="95"/>
      <c r="I112" s="72"/>
    </row>
  </sheetData>
  <mergeCells count="23">
    <mergeCell ref="S12:T12"/>
    <mergeCell ref="S13:T13"/>
    <mergeCell ref="S14:T14"/>
    <mergeCell ref="S15:T15"/>
    <mergeCell ref="C1:G1"/>
    <mergeCell ref="I1:M1"/>
    <mergeCell ref="R2:T2"/>
    <mergeCell ref="S4:T4"/>
    <mergeCell ref="S11:T11"/>
    <mergeCell ref="X18:AB18"/>
    <mergeCell ref="AA19:AB19"/>
    <mergeCell ref="AA29:AB29"/>
    <mergeCell ref="X31:X34"/>
    <mergeCell ref="Y31:Y34"/>
    <mergeCell ref="AA31:AA32"/>
    <mergeCell ref="AB31:AB32"/>
    <mergeCell ref="R31:R34"/>
    <mergeCell ref="R18:V18"/>
    <mergeCell ref="U19:V19"/>
    <mergeCell ref="U29:V29"/>
    <mergeCell ref="U31:U32"/>
    <mergeCell ref="V31:V32"/>
    <mergeCell ref="S31:S34"/>
  </mergeCells>
  <dataValidations count="1">
    <dataValidation type="list" allowBlank="1" showInputMessage="1" showErrorMessage="1" sqref="Y19">
      <formula1>$L$12:$L$13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 tint="-0.249977111117893"/>
  </sheetPr>
  <dimension ref="B2:T27"/>
  <sheetViews>
    <sheetView workbookViewId="0">
      <selection activeCell="G7" sqref="G7"/>
    </sheetView>
  </sheetViews>
  <sheetFormatPr baseColWidth="10" defaultRowHeight="16" x14ac:dyDescent="0.2"/>
  <cols>
    <col min="1" max="1" width="2.6640625" style="100" customWidth="1"/>
    <col min="2" max="2" width="36.6640625" style="6" bestFit="1" customWidth="1"/>
    <col min="3" max="3" width="7.1640625" style="124" bestFit="1" customWidth="1"/>
    <col min="4" max="7" width="7.6640625" style="124" bestFit="1" customWidth="1"/>
    <col min="8" max="8" width="3.83203125" style="100" customWidth="1"/>
    <col min="9" max="9" width="17" style="100" bestFit="1" customWidth="1"/>
    <col min="10" max="11" width="6.6640625" style="100" bestFit="1" customWidth="1"/>
    <col min="12" max="13" width="9" style="100" bestFit="1" customWidth="1"/>
    <col min="14" max="14" width="7" style="100" bestFit="1" customWidth="1"/>
    <col min="15" max="15" width="9" style="100" bestFit="1" customWidth="1"/>
    <col min="16" max="18" width="7" style="100" bestFit="1" customWidth="1"/>
    <col min="19" max="20" width="6" style="100" bestFit="1" customWidth="1"/>
    <col min="21" max="16384" width="10.83203125" style="100"/>
  </cols>
  <sheetData>
    <row r="2" spans="2:20" x14ac:dyDescent="0.2">
      <c r="B2" s="102"/>
      <c r="C2" s="131">
        <v>2017</v>
      </c>
      <c r="D2" s="131">
        <v>2018</v>
      </c>
      <c r="E2" s="131">
        <v>2019</v>
      </c>
      <c r="F2" s="131">
        <v>2020</v>
      </c>
      <c r="G2" s="131">
        <v>2021</v>
      </c>
      <c r="I2" s="102"/>
      <c r="J2" s="131">
        <v>2013</v>
      </c>
      <c r="K2" s="131">
        <v>2014</v>
      </c>
      <c r="L2" s="131">
        <v>2016</v>
      </c>
      <c r="M2" s="144" t="s">
        <v>74</v>
      </c>
      <c r="N2" s="131">
        <v>2017</v>
      </c>
      <c r="O2" s="131">
        <v>2018</v>
      </c>
      <c r="P2" s="131">
        <v>2019</v>
      </c>
      <c r="Q2" s="131">
        <v>2020</v>
      </c>
      <c r="R2" s="131">
        <v>2021</v>
      </c>
    </row>
    <row r="3" spans="2:20" x14ac:dyDescent="0.2">
      <c r="B3" s="132" t="s">
        <v>35</v>
      </c>
      <c r="C3" s="119">
        <f>'Activision Blizzard modeling'!$H$5</f>
        <v>9.5120531228004929E-2</v>
      </c>
      <c r="D3" s="119">
        <f>C3+0.001</f>
        <v>9.612053122800493E-2</v>
      </c>
      <c r="E3" s="119">
        <f>D3+0.001</f>
        <v>9.712053122800493E-2</v>
      </c>
      <c r="F3" s="119">
        <f>E3+0.001</f>
        <v>9.8120531228004931E-2</v>
      </c>
      <c r="G3" s="119">
        <f>F3+0.001</f>
        <v>9.9120531228004932E-2</v>
      </c>
      <c r="I3" s="132" t="s">
        <v>68</v>
      </c>
      <c r="J3" s="128">
        <f>3836-3622</f>
        <v>214</v>
      </c>
      <c r="K3" s="128">
        <f>4195-3836</f>
        <v>359</v>
      </c>
      <c r="L3" s="134">
        <f>(4830-2656)-(3387-2611)</f>
        <v>1398</v>
      </c>
      <c r="M3" s="145"/>
      <c r="N3" s="134"/>
      <c r="O3" s="134"/>
      <c r="P3" s="134"/>
      <c r="Q3" s="134"/>
      <c r="R3" s="134"/>
    </row>
    <row r="4" spans="2:20" x14ac:dyDescent="0.2">
      <c r="I4" s="132" t="s">
        <v>69</v>
      </c>
      <c r="J4" s="128">
        <v>4583</v>
      </c>
      <c r="K4" s="128">
        <v>4408</v>
      </c>
      <c r="L4" s="128">
        <v>6608</v>
      </c>
      <c r="M4" s="146"/>
      <c r="N4" s="128"/>
      <c r="O4" s="128"/>
      <c r="P4" s="128"/>
      <c r="Q4" s="128"/>
      <c r="R4" s="128"/>
    </row>
    <row r="5" spans="2:20" x14ac:dyDescent="0.2">
      <c r="B5" s="102"/>
      <c r="C5" s="131">
        <v>2017</v>
      </c>
      <c r="D5" s="131">
        <v>2018</v>
      </c>
      <c r="E5" s="131">
        <v>2019</v>
      </c>
      <c r="F5" s="131">
        <v>2020</v>
      </c>
      <c r="G5" s="131">
        <v>2021</v>
      </c>
      <c r="I5" s="132" t="s">
        <v>70</v>
      </c>
      <c r="J5" s="136">
        <f>J3/J4</f>
        <v>4.669430504036657E-2</v>
      </c>
      <c r="K5" s="136">
        <f>K3/K4</f>
        <v>8.1442831215970957E-2</v>
      </c>
      <c r="L5" s="136">
        <f>L3/L4</f>
        <v>0.21156174334140435</v>
      </c>
      <c r="M5" s="147">
        <f>AVERAGE(J5:L5)</f>
        <v>0.11323295986591396</v>
      </c>
      <c r="N5" s="136">
        <f>M5+0.005</f>
        <v>0.11823295986591396</v>
      </c>
      <c r="O5" s="136">
        <f>N5+0.005</f>
        <v>0.12323295986591397</v>
      </c>
      <c r="P5" s="136">
        <f t="shared" ref="P5:R5" si="0">O5+0.005</f>
        <v>0.12823295986591396</v>
      </c>
      <c r="Q5" s="136">
        <f t="shared" si="0"/>
        <v>0.13323295986591396</v>
      </c>
      <c r="R5" s="136">
        <f t="shared" si="0"/>
        <v>0.13823295986591397</v>
      </c>
    </row>
    <row r="6" spans="2:20" x14ac:dyDescent="0.2">
      <c r="B6" s="133" t="s">
        <v>24</v>
      </c>
      <c r="C6" s="122">
        <f>'Activision Blizzard modeling'!$H$8</f>
        <v>0.65511905331645881</v>
      </c>
      <c r="D6" s="122">
        <f>C6-0.006</f>
        <v>0.64911905331645881</v>
      </c>
      <c r="E6" s="122">
        <f>D6-0.006</f>
        <v>0.6431190533164588</v>
      </c>
      <c r="F6" s="122">
        <f>E6-0.006</f>
        <v>0.63711905331645879</v>
      </c>
      <c r="G6" s="122">
        <f>F6-0.006</f>
        <v>0.63111905331645879</v>
      </c>
      <c r="M6" s="82"/>
      <c r="N6" s="135"/>
      <c r="O6" s="135"/>
      <c r="P6" s="135"/>
      <c r="Q6" s="135"/>
      <c r="R6" s="135"/>
    </row>
    <row r="7" spans="2:20" x14ac:dyDescent="0.2">
      <c r="I7" s="102"/>
      <c r="J7" s="131">
        <v>2015</v>
      </c>
      <c r="K7" s="131">
        <v>2016</v>
      </c>
      <c r="L7" s="144" t="s">
        <v>74</v>
      </c>
      <c r="M7" s="131">
        <v>2017</v>
      </c>
      <c r="N7" s="131">
        <v>2018</v>
      </c>
      <c r="O7" s="131">
        <v>2019</v>
      </c>
      <c r="P7" s="131">
        <v>2020</v>
      </c>
      <c r="Q7" s="131">
        <v>2021</v>
      </c>
    </row>
    <row r="8" spans="2:20" x14ac:dyDescent="0.2">
      <c r="B8" s="102"/>
      <c r="C8" s="131">
        <v>2017</v>
      </c>
      <c r="D8" s="131">
        <v>2018</v>
      </c>
      <c r="E8" s="131">
        <v>2019</v>
      </c>
      <c r="F8" s="131">
        <v>2020</v>
      </c>
      <c r="G8" s="131">
        <v>2021</v>
      </c>
      <c r="I8" s="132" t="s">
        <v>44</v>
      </c>
      <c r="J8" s="143">
        <v>111</v>
      </c>
      <c r="K8" s="143">
        <v>136</v>
      </c>
      <c r="L8" s="145"/>
      <c r="M8" s="134"/>
      <c r="N8" s="134"/>
      <c r="O8" s="134"/>
      <c r="P8" s="103"/>
      <c r="Q8" s="103"/>
    </row>
    <row r="9" spans="2:20" x14ac:dyDescent="0.2">
      <c r="B9" s="133" t="s">
        <v>37</v>
      </c>
      <c r="C9" s="125">
        <f>'Activision Blizzard modeling'!$H$17</f>
        <v>0.27260667114131387</v>
      </c>
      <c r="D9" s="125">
        <f>C9-0.006</f>
        <v>0.26660667114131387</v>
      </c>
      <c r="E9" s="125">
        <f>D9-0.006</f>
        <v>0.26060667114131386</v>
      </c>
      <c r="F9" s="125">
        <f>E9-0.006</f>
        <v>0.25460667114131386</v>
      </c>
      <c r="G9" s="125">
        <f>F9-0.006</f>
        <v>0.24860667114131385</v>
      </c>
      <c r="I9" s="132" t="s">
        <v>69</v>
      </c>
      <c r="J9" s="128">
        <v>4660</v>
      </c>
      <c r="K9" s="128">
        <v>6610</v>
      </c>
      <c r="L9" s="202"/>
      <c r="M9" s="143"/>
      <c r="N9" s="143"/>
      <c r="O9" s="143"/>
      <c r="P9" s="103"/>
      <c r="Q9" s="103"/>
    </row>
    <row r="10" spans="2:20" x14ac:dyDescent="0.2">
      <c r="I10" s="132" t="s">
        <v>73</v>
      </c>
      <c r="J10" s="136">
        <f>J8/J9</f>
        <v>2.3819742489270386E-2</v>
      </c>
      <c r="K10" s="136">
        <f>K8/K9</f>
        <v>2.0574886535552193E-2</v>
      </c>
      <c r="L10" s="147">
        <f>AVERAGE(J10:K10)</f>
        <v>2.219731451241129E-2</v>
      </c>
      <c r="M10" s="136">
        <f>L10+0.005</f>
        <v>2.7197314512411291E-2</v>
      </c>
      <c r="N10" s="136">
        <f>M10+0.005</f>
        <v>3.2197314512411292E-2</v>
      </c>
      <c r="O10" s="136">
        <f t="shared" ref="O10:Q10" si="1">N10+0.005</f>
        <v>3.7197314512411289E-2</v>
      </c>
      <c r="P10" s="136">
        <f t="shared" si="1"/>
        <v>4.2197314512411287E-2</v>
      </c>
      <c r="Q10" s="136">
        <f t="shared" si="1"/>
        <v>4.7197314512411284E-2</v>
      </c>
    </row>
    <row r="11" spans="2:20" x14ac:dyDescent="0.2">
      <c r="B11" s="102"/>
      <c r="C11" s="131">
        <v>2017</v>
      </c>
      <c r="D11" s="131">
        <v>2018</v>
      </c>
      <c r="E11" s="131">
        <v>2019</v>
      </c>
      <c r="F11" s="131">
        <v>2020</v>
      </c>
      <c r="G11" s="131">
        <v>2021</v>
      </c>
    </row>
    <row r="12" spans="2:20" x14ac:dyDescent="0.2">
      <c r="B12" s="205" t="s">
        <v>101</v>
      </c>
      <c r="C12" s="120"/>
      <c r="D12" s="123"/>
      <c r="E12" s="123"/>
      <c r="F12" s="123"/>
      <c r="G12" s="123"/>
      <c r="I12" s="102"/>
      <c r="J12" s="131">
        <v>2012</v>
      </c>
      <c r="K12" s="131">
        <v>2013</v>
      </c>
      <c r="L12" s="131">
        <v>2014</v>
      </c>
      <c r="M12" s="131">
        <v>2015</v>
      </c>
      <c r="N12" s="131">
        <v>2016</v>
      </c>
      <c r="O12" s="144" t="s">
        <v>74</v>
      </c>
      <c r="P12" s="131">
        <v>2017</v>
      </c>
      <c r="Q12" s="131">
        <v>2018</v>
      </c>
      <c r="R12" s="131">
        <v>2019</v>
      </c>
      <c r="S12" s="131">
        <v>2020</v>
      </c>
      <c r="T12" s="131">
        <v>2021</v>
      </c>
    </row>
    <row r="13" spans="2:20" x14ac:dyDescent="0.2">
      <c r="B13" s="104" t="s">
        <v>28</v>
      </c>
      <c r="C13" s="126">
        <f>'Activision Blizzard modeling'!$H$11</f>
        <v>0.34189864382583868</v>
      </c>
      <c r="D13" s="126">
        <f>'Activision Blizzard modeling'!$H$11</f>
        <v>0.34189864382583868</v>
      </c>
      <c r="E13" s="126">
        <f>'Activision Blizzard modeling'!$H$11</f>
        <v>0.34189864382583868</v>
      </c>
      <c r="F13" s="126">
        <f>'Activision Blizzard modeling'!$H$11</f>
        <v>0.34189864382583868</v>
      </c>
      <c r="G13" s="126">
        <f>'Activision Blizzard modeling'!$H$11</f>
        <v>0.34189864382583868</v>
      </c>
      <c r="I13" s="132" t="s">
        <v>99</v>
      </c>
      <c r="J13" s="128">
        <v>328</v>
      </c>
      <c r="K13" s="134">
        <v>303</v>
      </c>
      <c r="L13" s="134">
        <v>346</v>
      </c>
      <c r="M13" s="134">
        <v>494</v>
      </c>
      <c r="N13" s="134">
        <v>1150</v>
      </c>
      <c r="O13" s="145"/>
      <c r="P13" s="134"/>
      <c r="Q13" s="134"/>
      <c r="R13" s="103"/>
      <c r="S13" s="103"/>
      <c r="T13" s="103"/>
    </row>
    <row r="14" spans="2:20" x14ac:dyDescent="0.2">
      <c r="B14" s="104" t="s">
        <v>29</v>
      </c>
      <c r="C14" s="126">
        <f>'Activision Blizzard modeling'!$H$12</f>
        <v>0.65810135617416132</v>
      </c>
      <c r="D14" s="126">
        <f>'Activision Blizzard modeling'!$H$12</f>
        <v>0.65810135617416132</v>
      </c>
      <c r="E14" s="126">
        <f>'Activision Blizzard modeling'!$H$12</f>
        <v>0.65810135617416132</v>
      </c>
      <c r="F14" s="126">
        <f>'Activision Blizzard modeling'!$H$12</f>
        <v>0.65810135617416132</v>
      </c>
      <c r="G14" s="126">
        <f>'Activision Blizzard modeling'!$H$12</f>
        <v>0.65810135617416132</v>
      </c>
      <c r="I14" s="132" t="s">
        <v>69</v>
      </c>
      <c r="J14" s="128">
        <v>4860</v>
      </c>
      <c r="K14" s="128">
        <v>4580</v>
      </c>
      <c r="L14" s="128">
        <v>4410</v>
      </c>
      <c r="M14" s="128">
        <v>4660</v>
      </c>
      <c r="N14" s="128">
        <v>6610</v>
      </c>
      <c r="O14" s="146"/>
      <c r="P14" s="128"/>
      <c r="Q14" s="128"/>
      <c r="R14" s="103"/>
      <c r="S14" s="103"/>
      <c r="T14" s="103"/>
    </row>
    <row r="15" spans="2:20" x14ac:dyDescent="0.2">
      <c r="B15" s="104" t="s">
        <v>36</v>
      </c>
      <c r="C15" s="121">
        <f>'Activision Blizzard modeling'!$H$13</f>
        <v>0</v>
      </c>
      <c r="D15" s="121">
        <f>'Activision Blizzard modeling'!$H$13</f>
        <v>0</v>
      </c>
      <c r="E15" s="121">
        <f>'Activision Blizzard modeling'!$H$13</f>
        <v>0</v>
      </c>
      <c r="F15" s="121">
        <f>'Activision Blizzard modeling'!$H$13</f>
        <v>0</v>
      </c>
      <c r="G15" s="121">
        <f>'Activision Blizzard modeling'!$H$13</f>
        <v>0</v>
      </c>
      <c r="I15" s="132" t="s">
        <v>98</v>
      </c>
      <c r="J15" s="136">
        <f>J13/J14</f>
        <v>6.7489711934156385E-2</v>
      </c>
      <c r="K15" s="136">
        <f t="shared" ref="K15:N15" si="2">K13/K14</f>
        <v>6.6157205240174669E-2</v>
      </c>
      <c r="L15" s="136">
        <f t="shared" si="2"/>
        <v>7.845804988662132E-2</v>
      </c>
      <c r="M15" s="136">
        <f t="shared" si="2"/>
        <v>0.10600858369098712</v>
      </c>
      <c r="N15" s="136">
        <f t="shared" si="2"/>
        <v>0.17397881996974282</v>
      </c>
      <c r="O15" s="147">
        <f>AVERAGE(J15:N15)</f>
        <v>9.8418474144336465E-2</v>
      </c>
      <c r="P15" s="136">
        <f>O15</f>
        <v>9.8418474144336465E-2</v>
      </c>
      <c r="Q15" s="136">
        <f>P15</f>
        <v>9.8418474144336465E-2</v>
      </c>
      <c r="R15" s="136">
        <f t="shared" ref="R15:T15" si="3">Q15</f>
        <v>9.8418474144336465E-2</v>
      </c>
      <c r="S15" s="136">
        <f t="shared" si="3"/>
        <v>9.8418474144336465E-2</v>
      </c>
      <c r="T15" s="136">
        <f t="shared" si="3"/>
        <v>9.8418474144336465E-2</v>
      </c>
    </row>
    <row r="16" spans="2:20" x14ac:dyDescent="0.2">
      <c r="B16" s="1"/>
      <c r="C16" s="3"/>
    </row>
    <row r="17" spans="2:17" x14ac:dyDescent="0.2">
      <c r="B17" s="102"/>
      <c r="C17" s="131">
        <v>2017</v>
      </c>
      <c r="D17" s="131">
        <v>2018</v>
      </c>
      <c r="E17" s="131">
        <v>2019</v>
      </c>
      <c r="F17" s="131">
        <v>2020</v>
      </c>
      <c r="G17" s="131">
        <v>2021</v>
      </c>
      <c r="I17" s="102"/>
      <c r="J17" s="131">
        <v>2015</v>
      </c>
      <c r="K17" s="131">
        <v>2016</v>
      </c>
      <c r="L17" s="144" t="s">
        <v>74</v>
      </c>
      <c r="M17" s="131">
        <v>2017</v>
      </c>
      <c r="N17" s="131">
        <v>2018</v>
      </c>
      <c r="O17" s="131">
        <v>2019</v>
      </c>
      <c r="P17" s="131">
        <v>2020</v>
      </c>
      <c r="Q17" s="131">
        <v>2021</v>
      </c>
    </row>
    <row r="18" spans="2:17" x14ac:dyDescent="0.2">
      <c r="B18" s="132" t="s">
        <v>32</v>
      </c>
      <c r="C18" s="128">
        <f>'Activision Blizzard modeling'!$H$19</f>
        <v>30.2</v>
      </c>
      <c r="D18" s="128">
        <f>'Activision Blizzard modeling'!$H$19</f>
        <v>30.2</v>
      </c>
      <c r="E18" s="128">
        <f>'Activision Blizzard modeling'!$H$19</f>
        <v>30.2</v>
      </c>
      <c r="F18" s="128">
        <f>'Activision Blizzard modeling'!$H$19</f>
        <v>30.2</v>
      </c>
      <c r="G18" s="128">
        <f>'Activision Blizzard modeling'!$H$19</f>
        <v>30.2</v>
      </c>
      <c r="I18" s="132" t="s">
        <v>44</v>
      </c>
      <c r="J18" s="143">
        <v>111</v>
      </c>
      <c r="K18" s="143">
        <v>136</v>
      </c>
      <c r="L18" s="145"/>
      <c r="M18" s="134"/>
      <c r="N18" s="134"/>
      <c r="O18" s="134"/>
      <c r="P18" s="103"/>
      <c r="Q18" s="103"/>
    </row>
    <row r="19" spans="2:17" x14ac:dyDescent="0.2">
      <c r="I19" s="132" t="s">
        <v>69</v>
      </c>
      <c r="J19" s="128">
        <v>4660</v>
      </c>
      <c r="K19" s="128">
        <v>6610</v>
      </c>
      <c r="L19" s="202"/>
      <c r="M19" s="143"/>
      <c r="N19" s="143"/>
      <c r="O19" s="143"/>
      <c r="P19" s="103"/>
      <c r="Q19" s="103"/>
    </row>
    <row r="20" spans="2:17" x14ac:dyDescent="0.2">
      <c r="B20" s="102"/>
      <c r="C20" s="131">
        <v>2017</v>
      </c>
      <c r="D20" s="131">
        <v>2018</v>
      </c>
      <c r="E20" s="131">
        <v>2019</v>
      </c>
      <c r="F20" s="131">
        <v>2020</v>
      </c>
      <c r="G20" s="131">
        <v>2021</v>
      </c>
      <c r="I20" s="132" t="s">
        <v>73</v>
      </c>
      <c r="J20" s="136">
        <f>J18/J19</f>
        <v>2.3819742489270386E-2</v>
      </c>
      <c r="K20" s="136">
        <f>K18/K19</f>
        <v>2.0574886535552193E-2</v>
      </c>
      <c r="L20" s="147">
        <f>AVERAGE(J20:K20)</f>
        <v>2.219731451241129E-2</v>
      </c>
      <c r="M20" s="136">
        <f>L20+0.005</f>
        <v>2.7197314512411291E-2</v>
      </c>
      <c r="N20" s="136">
        <f>M20+0.005</f>
        <v>3.2197314512411292E-2</v>
      </c>
      <c r="O20" s="136">
        <f t="shared" ref="O20:Q20" si="4">N20+0.005</f>
        <v>3.7197314512411289E-2</v>
      </c>
      <c r="P20" s="136">
        <f t="shared" si="4"/>
        <v>4.2197314512411287E-2</v>
      </c>
      <c r="Q20" s="136">
        <f t="shared" si="4"/>
        <v>4.7197314512411284E-2</v>
      </c>
    </row>
    <row r="21" spans="2:17" x14ac:dyDescent="0.2">
      <c r="B21" s="132" t="s">
        <v>41</v>
      </c>
      <c r="C21" s="127">
        <f>'Activision Blizzard modeling'!$H$24</f>
        <v>0.18517888759556977</v>
      </c>
      <c r="D21" s="127">
        <f>'Activision Blizzard modeling'!$H$24</f>
        <v>0.18517888759556977</v>
      </c>
      <c r="E21" s="127">
        <f>'Activision Blizzard modeling'!$H$24</f>
        <v>0.18517888759556977</v>
      </c>
      <c r="F21" s="127">
        <f>'Activision Blizzard modeling'!$H$24</f>
        <v>0.18517888759556977</v>
      </c>
      <c r="G21" s="127">
        <f>'Activision Blizzard modeling'!$H$24</f>
        <v>0.18517888759556977</v>
      </c>
    </row>
    <row r="23" spans="2:17" x14ac:dyDescent="0.2">
      <c r="B23" s="102"/>
      <c r="C23" s="131">
        <v>2017</v>
      </c>
      <c r="D23" s="131">
        <v>2018</v>
      </c>
      <c r="E23" s="131">
        <v>2019</v>
      </c>
      <c r="F23" s="131">
        <v>2020</v>
      </c>
      <c r="G23" s="131">
        <v>2021</v>
      </c>
    </row>
    <row r="24" spans="2:17" x14ac:dyDescent="0.2">
      <c r="B24" s="132" t="s">
        <v>46</v>
      </c>
      <c r="C24" s="127">
        <f>'Activision Blizzard modeling'!S30</f>
        <v>7.2876850403116575E-2</v>
      </c>
      <c r="D24" s="127">
        <f>C24</f>
        <v>7.2876850403116575E-2</v>
      </c>
      <c r="E24" s="127">
        <f>D24</f>
        <v>7.2876850403116575E-2</v>
      </c>
      <c r="F24" s="127">
        <f>E24</f>
        <v>7.2876850403116575E-2</v>
      </c>
      <c r="G24" s="127">
        <f>F24</f>
        <v>7.2876850403116575E-2</v>
      </c>
    </row>
    <row r="27" spans="2:17" x14ac:dyDescent="0.2">
      <c r="B27" s="203"/>
      <c r="C27" s="204" t="s">
        <v>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opLeftCell="J1" workbookViewId="0">
      <selection activeCell="O5" sqref="O5"/>
    </sheetView>
  </sheetViews>
  <sheetFormatPr baseColWidth="10" defaultRowHeight="16" x14ac:dyDescent="0.2"/>
  <cols>
    <col min="1" max="1" width="10.83203125" style="100"/>
    <col min="2" max="2" width="8.33203125" style="100" customWidth="1"/>
    <col min="3" max="16384" width="10.83203125" style="100"/>
  </cols>
  <sheetData>
    <row r="1" spans="1:15" x14ac:dyDescent="0.2">
      <c r="A1" s="294"/>
      <c r="B1" s="294"/>
      <c r="C1" s="152">
        <v>2011</v>
      </c>
      <c r="D1" s="152">
        <v>2012</v>
      </c>
      <c r="E1" s="152">
        <v>2013</v>
      </c>
      <c r="F1" s="152">
        <v>2014</v>
      </c>
      <c r="G1" s="152">
        <v>2015</v>
      </c>
      <c r="H1" s="152">
        <v>2016</v>
      </c>
      <c r="J1" s="292" t="s">
        <v>81</v>
      </c>
      <c r="K1" s="292"/>
      <c r="L1" s="153" t="s">
        <v>79</v>
      </c>
      <c r="M1" s="153" t="s">
        <v>51</v>
      </c>
      <c r="N1" s="153" t="s">
        <v>53</v>
      </c>
      <c r="O1" s="153" t="s">
        <v>80</v>
      </c>
    </row>
    <row r="2" spans="1:15" x14ac:dyDescent="0.2">
      <c r="A2" s="302" t="s">
        <v>21</v>
      </c>
      <c r="B2" s="302"/>
      <c r="C2" s="149">
        <v>27.9</v>
      </c>
      <c r="D2" s="103">
        <v>29.9</v>
      </c>
      <c r="E2" s="103">
        <v>29.9</v>
      </c>
      <c r="F2" s="103">
        <v>26.8</v>
      </c>
      <c r="G2" s="103">
        <v>28.3</v>
      </c>
      <c r="H2" s="103">
        <v>21.36</v>
      </c>
      <c r="J2" s="293" t="s">
        <v>76</v>
      </c>
      <c r="K2" s="293"/>
      <c r="L2" s="103">
        <v>13.85</v>
      </c>
      <c r="M2" s="103">
        <v>22.16</v>
      </c>
      <c r="N2" s="103">
        <v>22.42</v>
      </c>
      <c r="O2" s="103">
        <v>9.57</v>
      </c>
    </row>
    <row r="3" spans="1:15" x14ac:dyDescent="0.2">
      <c r="A3" s="302" t="s">
        <v>25</v>
      </c>
      <c r="B3" s="302"/>
      <c r="C3" s="296">
        <f>AVERAGE(C2:G2)</f>
        <v>28.559999999999995</v>
      </c>
      <c r="D3" s="297"/>
      <c r="E3" s="297"/>
      <c r="F3" s="297"/>
      <c r="G3" s="297"/>
      <c r="H3" s="298"/>
      <c r="J3" s="293" t="s">
        <v>77</v>
      </c>
      <c r="K3" s="293"/>
      <c r="L3" s="103">
        <v>5.37</v>
      </c>
      <c r="M3" s="103">
        <v>5.21</v>
      </c>
      <c r="N3" s="103">
        <v>3.17</v>
      </c>
      <c r="O3" s="103">
        <v>1.26</v>
      </c>
    </row>
    <row r="4" spans="1:15" x14ac:dyDescent="0.2">
      <c r="J4" s="293" t="s">
        <v>78</v>
      </c>
      <c r="K4" s="293"/>
      <c r="L4" s="103">
        <v>36.83</v>
      </c>
      <c r="M4" s="103">
        <v>25.09</v>
      </c>
      <c r="N4" s="103">
        <v>0</v>
      </c>
      <c r="O4" s="103">
        <v>21.33</v>
      </c>
    </row>
    <row r="5" spans="1:15" x14ac:dyDescent="0.2">
      <c r="A5" s="294"/>
      <c r="B5" s="294"/>
      <c r="C5" s="152">
        <v>2011</v>
      </c>
      <c r="D5" s="152">
        <v>2012</v>
      </c>
      <c r="E5" s="152">
        <v>2013</v>
      </c>
      <c r="F5" s="152">
        <v>2014</v>
      </c>
      <c r="G5" s="152">
        <v>2015</v>
      </c>
      <c r="H5" s="152">
        <v>2016</v>
      </c>
    </row>
    <row r="6" spans="1:15" x14ac:dyDescent="0.2">
      <c r="A6" s="302" t="s">
        <v>24</v>
      </c>
      <c r="B6" s="302"/>
      <c r="C6" s="103">
        <v>62.7</v>
      </c>
      <c r="D6" s="103">
        <v>65.8</v>
      </c>
      <c r="E6" s="103">
        <v>66.599999999999994</v>
      </c>
      <c r="F6" s="103">
        <v>65.400000000000006</v>
      </c>
      <c r="G6" s="103">
        <v>66</v>
      </c>
      <c r="H6" s="103">
        <v>63.77</v>
      </c>
    </row>
    <row r="7" spans="1:15" x14ac:dyDescent="0.2">
      <c r="A7" s="302" t="s">
        <v>25</v>
      </c>
      <c r="B7" s="302"/>
      <c r="C7" s="299">
        <f>AVERAGE(C6:G6)</f>
        <v>65.3</v>
      </c>
      <c r="D7" s="300"/>
      <c r="E7" s="300"/>
      <c r="F7" s="300"/>
      <c r="G7" s="300"/>
      <c r="H7" s="301"/>
    </row>
    <row r="10" spans="1:15" x14ac:dyDescent="0.2">
      <c r="A10" s="295"/>
      <c r="B10" s="295"/>
      <c r="C10" s="154"/>
      <c r="D10" s="154"/>
      <c r="E10" s="154"/>
      <c r="F10" s="154"/>
    </row>
    <row r="11" spans="1:15" x14ac:dyDescent="0.2">
      <c r="A11" s="291"/>
      <c r="B11" s="291"/>
      <c r="C11" s="142"/>
      <c r="D11" s="142"/>
      <c r="E11" s="142"/>
      <c r="F11" s="142"/>
    </row>
    <row r="12" spans="1:15" x14ac:dyDescent="0.2">
      <c r="A12" s="291"/>
      <c r="B12" s="291"/>
      <c r="C12" s="142"/>
      <c r="D12" s="142"/>
      <c r="E12" s="142"/>
      <c r="F12" s="142"/>
    </row>
    <row r="13" spans="1:15" x14ac:dyDescent="0.2">
      <c r="A13" s="291"/>
      <c r="B13" s="291"/>
      <c r="C13" s="142"/>
      <c r="D13" s="142"/>
      <c r="E13" s="142"/>
      <c r="F13" s="142"/>
    </row>
  </sheetData>
  <mergeCells count="16">
    <mergeCell ref="A13:B13"/>
    <mergeCell ref="J1:K1"/>
    <mergeCell ref="J2:K2"/>
    <mergeCell ref="J3:K3"/>
    <mergeCell ref="J4:K4"/>
    <mergeCell ref="A1:B1"/>
    <mergeCell ref="A5:B5"/>
    <mergeCell ref="A10:B10"/>
    <mergeCell ref="A11:B11"/>
    <mergeCell ref="A12:B12"/>
    <mergeCell ref="C3:H3"/>
    <mergeCell ref="C7:H7"/>
    <mergeCell ref="A2:B2"/>
    <mergeCell ref="A3:B3"/>
    <mergeCell ref="A6:B6"/>
    <mergeCell ref="A7:B7"/>
  </mergeCells>
  <pageMargins left="0.7" right="0.7" top="0.75" bottom="0.75" header="0.3" footer="0.3"/>
  <pageSetup paperSize="9" orientation="portrait" horizontalDpi="0" verticalDpi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M25" sqref="M25"/>
    </sheetView>
  </sheetViews>
  <sheetFormatPr baseColWidth="10" defaultRowHeight="16" x14ac:dyDescent="0.2"/>
  <cols>
    <col min="1" max="1" width="11.5" bestFit="1" customWidth="1"/>
  </cols>
  <sheetData>
    <row r="1" spans="1:5" x14ac:dyDescent="0.2">
      <c r="A1" s="151" t="s">
        <v>51</v>
      </c>
      <c r="B1" s="304">
        <v>2015</v>
      </c>
      <c r="C1" s="304"/>
      <c r="D1" s="304">
        <v>2016</v>
      </c>
      <c r="E1" s="304"/>
    </row>
    <row r="2" spans="1:5" x14ac:dyDescent="0.2">
      <c r="A2" s="150" t="s">
        <v>20</v>
      </c>
      <c r="B2" s="305">
        <v>4515</v>
      </c>
      <c r="C2" s="305"/>
      <c r="D2" s="305">
        <v>4396</v>
      </c>
      <c r="E2" s="305"/>
    </row>
    <row r="3" spans="1:5" x14ac:dyDescent="0.2">
      <c r="A3" s="151" t="s">
        <v>95</v>
      </c>
      <c r="B3" s="303">
        <f>(D2-B2)/B2</f>
        <v>-2.6356589147286821E-2</v>
      </c>
      <c r="C3" s="303"/>
      <c r="D3" s="303"/>
      <c r="E3" s="303"/>
    </row>
    <row r="5" spans="1:5" x14ac:dyDescent="0.2">
      <c r="A5" s="151" t="s">
        <v>52</v>
      </c>
      <c r="B5" s="304">
        <v>2015</v>
      </c>
      <c r="C5" s="304"/>
      <c r="D5" s="304">
        <v>2016</v>
      </c>
      <c r="E5" s="304"/>
    </row>
    <row r="6" spans="1:5" x14ac:dyDescent="0.2">
      <c r="A6" s="150" t="s">
        <v>20</v>
      </c>
      <c r="B6" s="305">
        <v>549780</v>
      </c>
      <c r="C6" s="305"/>
      <c r="D6" s="305">
        <v>504459</v>
      </c>
      <c r="E6" s="305"/>
    </row>
    <row r="7" spans="1:5" x14ac:dyDescent="0.2">
      <c r="A7" s="151" t="s">
        <v>95</v>
      </c>
      <c r="B7" s="303">
        <f>(D6-B6)/B6</f>
        <v>-8.2434792098657644E-2</v>
      </c>
      <c r="C7" s="303"/>
      <c r="D7" s="303"/>
      <c r="E7" s="303"/>
    </row>
    <row r="9" spans="1:5" x14ac:dyDescent="0.2">
      <c r="A9" s="151" t="s">
        <v>53</v>
      </c>
      <c r="B9" s="304">
        <v>2015</v>
      </c>
      <c r="C9" s="304"/>
      <c r="D9" s="304">
        <v>2016</v>
      </c>
      <c r="E9" s="304"/>
    </row>
    <row r="10" spans="1:5" x14ac:dyDescent="0.2">
      <c r="A10" s="150" t="s">
        <v>20</v>
      </c>
      <c r="B10" s="305">
        <v>1083</v>
      </c>
      <c r="C10" s="305"/>
      <c r="D10" s="305">
        <v>1414</v>
      </c>
      <c r="E10" s="305"/>
    </row>
    <row r="11" spans="1:5" x14ac:dyDescent="0.2">
      <c r="A11" s="151" t="s">
        <v>95</v>
      </c>
      <c r="B11" s="303">
        <f>(D10-B10)/B10</f>
        <v>0.30563250230840261</v>
      </c>
      <c r="C11" s="303"/>
      <c r="D11" s="303"/>
      <c r="E11" s="303"/>
    </row>
  </sheetData>
  <mergeCells count="15">
    <mergeCell ref="B3:E3"/>
    <mergeCell ref="B7:E7"/>
    <mergeCell ref="B11:E11"/>
    <mergeCell ref="B1:C1"/>
    <mergeCell ref="B2:C2"/>
    <mergeCell ref="D1:E1"/>
    <mergeCell ref="D2:E2"/>
    <mergeCell ref="B5:C5"/>
    <mergeCell ref="B6:C6"/>
    <mergeCell ref="D5:E5"/>
    <mergeCell ref="D6:E6"/>
    <mergeCell ref="B9:C9"/>
    <mergeCell ref="B10:C10"/>
    <mergeCell ref="D10:E10"/>
    <mergeCell ref="D9:E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3"/>
  <sheetViews>
    <sheetView workbookViewId="0">
      <selection activeCell="J11" sqref="J11"/>
    </sheetView>
  </sheetViews>
  <sheetFormatPr baseColWidth="10" defaultRowHeight="16" x14ac:dyDescent="0.2"/>
  <cols>
    <col min="1" max="1" width="2.83203125" style="100" customWidth="1"/>
    <col min="2" max="16384" width="10.83203125" style="100"/>
  </cols>
  <sheetData>
    <row r="2" spans="2:11" x14ac:dyDescent="0.2">
      <c r="B2" s="323"/>
      <c r="C2" s="322" t="s">
        <v>82</v>
      </c>
      <c r="D2" s="322"/>
      <c r="E2" s="322"/>
      <c r="F2" s="322"/>
      <c r="G2" s="322"/>
    </row>
    <row r="3" spans="2:11" x14ac:dyDescent="0.2">
      <c r="B3" s="324"/>
      <c r="C3" s="322"/>
      <c r="D3" s="322"/>
      <c r="E3" s="322"/>
      <c r="F3" s="322"/>
      <c r="G3" s="322"/>
    </row>
    <row r="4" spans="2:11" x14ac:dyDescent="0.2">
      <c r="B4" s="322" t="s">
        <v>46</v>
      </c>
      <c r="C4" s="325" t="s">
        <v>83</v>
      </c>
      <c r="D4" s="327">
        <v>3.9E-2</v>
      </c>
      <c r="E4" s="327">
        <v>4.7E-2</v>
      </c>
      <c r="F4" s="327">
        <v>5.8999999999999997E-2</v>
      </c>
      <c r="G4" s="327">
        <v>6.9000000000000006E-2</v>
      </c>
    </row>
    <row r="5" spans="2:11" ht="17" thickBot="1" x14ac:dyDescent="0.25">
      <c r="B5" s="322"/>
      <c r="C5" s="326"/>
      <c r="D5" s="328"/>
      <c r="E5" s="328"/>
      <c r="F5" s="328"/>
      <c r="G5" s="328"/>
    </row>
    <row r="6" spans="2:11" x14ac:dyDescent="0.2">
      <c r="B6" s="322"/>
      <c r="C6" s="329">
        <v>7.0000000000000007E-2</v>
      </c>
      <c r="D6" s="331">
        <v>44.322643978620945</v>
      </c>
      <c r="E6" s="312">
        <v>58.311777106919855</v>
      </c>
      <c r="F6" s="312">
        <v>117.44765805836525</v>
      </c>
      <c r="G6" s="308">
        <v>1250.8853762944025</v>
      </c>
    </row>
    <row r="7" spans="2:11" x14ac:dyDescent="0.2">
      <c r="B7" s="322"/>
      <c r="C7" s="330"/>
      <c r="D7" s="310"/>
      <c r="E7" s="313"/>
      <c r="F7" s="313"/>
      <c r="G7" s="307"/>
    </row>
    <row r="8" spans="2:11" x14ac:dyDescent="0.2">
      <c r="B8" s="322"/>
      <c r="C8" s="329">
        <v>7.2876850403116575E-2</v>
      </c>
      <c r="D8" s="309">
        <v>40.476892437203524</v>
      </c>
      <c r="E8" s="320">
        <v>52.105098249564158</v>
      </c>
      <c r="F8" s="314">
        <v>92.953049272287814</v>
      </c>
      <c r="G8" s="306">
        <v>322.22768331588355</v>
      </c>
      <c r="J8" s="251"/>
      <c r="K8" s="251"/>
    </row>
    <row r="9" spans="2:11" x14ac:dyDescent="0.2">
      <c r="B9" s="322"/>
      <c r="C9" s="330"/>
      <c r="D9" s="310"/>
      <c r="E9" s="321">
        <v>52.105098249564158</v>
      </c>
      <c r="F9" s="315"/>
      <c r="G9" s="307"/>
      <c r="J9" s="251"/>
      <c r="K9" s="251"/>
    </row>
    <row r="10" spans="2:11" x14ac:dyDescent="0.2">
      <c r="B10" s="322"/>
      <c r="C10" s="329">
        <v>8.0500000000000002E-2</v>
      </c>
      <c r="D10" s="309">
        <v>32.862086302080627</v>
      </c>
      <c r="E10" s="318">
        <v>39.761679020004543</v>
      </c>
      <c r="F10" s="316">
        <v>59.738406773063275</v>
      </c>
      <c r="G10" s="306">
        <v>108.23263718809726</v>
      </c>
      <c r="J10" s="251"/>
      <c r="K10" s="251"/>
    </row>
    <row r="11" spans="2:11" x14ac:dyDescent="0.2">
      <c r="B11" s="322"/>
      <c r="C11" s="330"/>
      <c r="D11" s="310"/>
      <c r="E11" s="313"/>
      <c r="F11" s="317"/>
      <c r="G11" s="307"/>
      <c r="J11" s="251"/>
      <c r="K11" s="251"/>
    </row>
    <row r="12" spans="2:11" x14ac:dyDescent="0.2">
      <c r="B12" s="322"/>
      <c r="C12" s="329">
        <v>9.0499999999999997E-2</v>
      </c>
      <c r="D12" s="309">
        <v>26.286840009438034</v>
      </c>
      <c r="E12" s="318">
        <v>30.413667150473771</v>
      </c>
      <c r="F12" s="318">
        <v>40.534219424918575</v>
      </c>
      <c r="G12" s="306">
        <v>57.597941282994142</v>
      </c>
    </row>
    <row r="13" spans="2:11" ht="17" thickBot="1" x14ac:dyDescent="0.25">
      <c r="B13" s="322"/>
      <c r="C13" s="330"/>
      <c r="D13" s="311"/>
      <c r="E13" s="319"/>
      <c r="F13" s="319"/>
      <c r="G13" s="332"/>
    </row>
  </sheetData>
  <mergeCells count="28">
    <mergeCell ref="B4:B13"/>
    <mergeCell ref="C2:G3"/>
    <mergeCell ref="B2:B3"/>
    <mergeCell ref="C4:C5"/>
    <mergeCell ref="D4:D5"/>
    <mergeCell ref="E4:E5"/>
    <mergeCell ref="F4:F5"/>
    <mergeCell ref="G4:G5"/>
    <mergeCell ref="C6:C7"/>
    <mergeCell ref="C8:C9"/>
    <mergeCell ref="C10:C11"/>
    <mergeCell ref="C12:C13"/>
    <mergeCell ref="D6:D7"/>
    <mergeCell ref="D8:D9"/>
    <mergeCell ref="G12:G13"/>
    <mergeCell ref="G10:G11"/>
    <mergeCell ref="G8:G9"/>
    <mergeCell ref="G6:G7"/>
    <mergeCell ref="D10:D11"/>
    <mergeCell ref="D12:D13"/>
    <mergeCell ref="F6:F7"/>
    <mergeCell ref="F8:F9"/>
    <mergeCell ref="F10:F11"/>
    <mergeCell ref="F12:F13"/>
    <mergeCell ref="E12:E13"/>
    <mergeCell ref="E10:E11"/>
    <mergeCell ref="E8:E9"/>
    <mergeCell ref="E6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File Description!</vt:lpstr>
      <vt:lpstr>Activision Blizzard</vt:lpstr>
      <vt:lpstr>Activision Blizzard modeling</vt:lpstr>
      <vt:lpstr>Assumptions</vt:lpstr>
      <vt:lpstr>Activision Margins</vt:lpstr>
      <vt:lpstr>Competitors</vt:lpstr>
      <vt:lpstr>Sensitivity Analysis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Пользователь Microsoft Office</cp:lastModifiedBy>
  <dcterms:created xsi:type="dcterms:W3CDTF">2017-02-11T12:11:39Z</dcterms:created>
  <dcterms:modified xsi:type="dcterms:W3CDTF">2017-03-10T14:38:31Z</dcterms:modified>
</cp:coreProperties>
</file>