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670" windowHeight="4035"/>
  </bookViews>
  <sheets>
    <sheet name="Applebees Franchise Model" sheetId="15" r:id="rId1"/>
    <sheet name="Financials" sheetId="2" r:id="rId2"/>
    <sheet name="Assumptions" sheetId="6" r:id="rId3"/>
    <sheet name="Valuation" sheetId="11" r:id="rId4"/>
  </sheets>
  <definedNames>
    <definedName name="Tick">#REF!</definedName>
    <definedName name="Ticker">#REF!&amp;" Equity"</definedName>
  </definedNames>
  <calcPr calcId="152511"/>
</workbook>
</file>

<file path=xl/calcChain.xml><?xml version="1.0" encoding="utf-8"?>
<calcChain xmlns="http://schemas.openxmlformats.org/spreadsheetml/2006/main">
  <c r="F27" i="11" l="1"/>
  <c r="D27" i="11"/>
  <c r="H27" i="11" s="1"/>
  <c r="L27" i="11" s="1"/>
  <c r="D56" i="6"/>
  <c r="D57" i="6"/>
  <c r="D59" i="6" s="1"/>
  <c r="J27" i="11"/>
  <c r="N27" i="11" s="1"/>
  <c r="I27" i="11"/>
  <c r="M27" i="11" s="1"/>
  <c r="D60" i="6" l="1"/>
  <c r="E59" i="6" s="1"/>
  <c r="E56" i="6" l="1"/>
  <c r="E60" i="6"/>
  <c r="E51" i="6"/>
  <c r="E40" i="11"/>
  <c r="F40" i="11" s="1"/>
  <c r="G40" i="11" s="1"/>
  <c r="H40" i="11" s="1"/>
  <c r="I40" i="11" s="1"/>
  <c r="J40" i="11" s="1"/>
  <c r="K40" i="11" s="1"/>
  <c r="E16" i="11"/>
  <c r="F16" i="11" s="1"/>
  <c r="G16" i="11" s="1"/>
  <c r="H16" i="11" s="1"/>
  <c r="I16" i="11" s="1"/>
  <c r="J16" i="11" s="1"/>
  <c r="E17" i="15"/>
  <c r="E16" i="15"/>
  <c r="E15" i="15"/>
  <c r="E14" i="15"/>
  <c r="E12" i="15" l="1"/>
  <c r="D19" i="11" l="1"/>
  <c r="F18" i="11"/>
  <c r="E19" i="11"/>
  <c r="F19" i="11"/>
  <c r="F51" i="6"/>
  <c r="E18" i="15"/>
  <c r="F31" i="6" l="1"/>
  <c r="G31" i="6" s="1"/>
  <c r="H31" i="6" s="1"/>
  <c r="I31" i="6" s="1"/>
  <c r="J31" i="6" s="1"/>
  <c r="F30" i="6"/>
  <c r="F20" i="6"/>
  <c r="G20" i="6" s="1"/>
  <c r="H20" i="6" s="1"/>
  <c r="I20" i="6" s="1"/>
  <c r="J20" i="6" s="1"/>
  <c r="F19" i="6"/>
  <c r="G19" i="6" s="1"/>
  <c r="H19" i="6" s="1"/>
  <c r="I19" i="6" s="1"/>
  <c r="J19" i="6" s="1"/>
  <c r="D14" i="11"/>
  <c r="G12" i="2"/>
  <c r="H12" i="2" s="1"/>
  <c r="I12" i="2" s="1"/>
  <c r="J12" i="2" s="1"/>
  <c r="K12" i="2" s="1"/>
  <c r="G14" i="2"/>
  <c r="H14" i="2" s="1"/>
  <c r="I14" i="2" s="1"/>
  <c r="J14" i="2" s="1"/>
  <c r="K14" i="2" s="1"/>
  <c r="G13" i="2"/>
  <c r="H13" i="2" s="1"/>
  <c r="I13" i="2" s="1"/>
  <c r="J13" i="2" s="1"/>
  <c r="K13" i="2" s="1"/>
  <c r="K20" i="2"/>
  <c r="J20" i="2"/>
  <c r="I20" i="2"/>
  <c r="H20" i="2"/>
  <c r="G20" i="2"/>
  <c r="G19" i="2"/>
  <c r="K23" i="2"/>
  <c r="J23" i="2"/>
  <c r="I23" i="2"/>
  <c r="H23" i="2"/>
  <c r="G23" i="2"/>
  <c r="G9" i="2"/>
  <c r="H9" i="2" s="1"/>
  <c r="I9" i="2" s="1"/>
  <c r="J9" i="2" s="1"/>
  <c r="K9" i="2" s="1"/>
  <c r="D9" i="11"/>
  <c r="H19" i="2" l="1"/>
  <c r="I19" i="2" s="1"/>
  <c r="J19" i="2" s="1"/>
  <c r="K19" i="2" s="1"/>
  <c r="D41" i="11"/>
  <c r="E41" i="11"/>
  <c r="D39" i="2" s="1"/>
  <c r="F41" i="11"/>
  <c r="G41" i="11" s="1"/>
  <c r="E39" i="6"/>
  <c r="F39" i="6" s="1"/>
  <c r="G39" i="6" s="1"/>
  <c r="H39" i="6" s="1"/>
  <c r="I39" i="6" s="1"/>
  <c r="J39" i="6" s="1"/>
  <c r="D41" i="6"/>
  <c r="E41" i="6"/>
  <c r="G42" i="6"/>
  <c r="H42" i="6"/>
  <c r="I42" i="6"/>
  <c r="J42" i="6"/>
  <c r="D37" i="6"/>
  <c r="E22" i="6"/>
  <c r="F22" i="6" s="1"/>
  <c r="G22" i="6" s="1"/>
  <c r="H22" i="6" s="1"/>
  <c r="I22" i="6" s="1"/>
  <c r="J22" i="6" s="1"/>
  <c r="H29" i="2" l="1"/>
  <c r="G19" i="11" s="1"/>
  <c r="H41" i="11"/>
  <c r="I41" i="11" s="1"/>
  <c r="J41" i="11" s="1"/>
  <c r="K41" i="11" s="1"/>
  <c r="K42" i="11" s="1"/>
  <c r="G42" i="11"/>
  <c r="E39" i="2"/>
  <c r="D10" i="11"/>
  <c r="F42" i="11"/>
  <c r="J42" i="11" l="1"/>
  <c r="I29" i="2"/>
  <c r="H19" i="11" s="1"/>
  <c r="I42" i="11"/>
  <c r="E42" i="11"/>
  <c r="H42" i="11"/>
  <c r="J29" i="2" l="1"/>
  <c r="I19" i="11" s="1"/>
  <c r="E21" i="6"/>
  <c r="D21" i="6"/>
  <c r="E12" i="6"/>
  <c r="G12" i="6" s="1"/>
  <c r="H12" i="6" s="1"/>
  <c r="F12" i="6"/>
  <c r="E17" i="6"/>
  <c r="F17" i="6" s="1"/>
  <c r="G17" i="6" s="1"/>
  <c r="H17" i="6" s="1"/>
  <c r="I17" i="6" s="1"/>
  <c r="J17" i="6" s="1"/>
  <c r="D26" i="6"/>
  <c r="D42" i="6" s="1"/>
  <c r="E26" i="6"/>
  <c r="F33" i="6"/>
  <c r="F34" i="6"/>
  <c r="G34" i="6" s="1"/>
  <c r="H34" i="6" s="1"/>
  <c r="I34" i="6" s="1"/>
  <c r="J34" i="6" s="1"/>
  <c r="F35" i="6"/>
  <c r="G35" i="6" s="1"/>
  <c r="H35" i="6" s="1"/>
  <c r="I35" i="6" s="1"/>
  <c r="J35" i="6" s="1"/>
  <c r="F36" i="6"/>
  <c r="G36" i="6" s="1"/>
  <c r="H36" i="6" s="1"/>
  <c r="I36" i="6" s="1"/>
  <c r="J36" i="6" s="1"/>
  <c r="E37" i="6"/>
  <c r="D12" i="11"/>
  <c r="F14" i="11" s="1"/>
  <c r="K29" i="2" l="1"/>
  <c r="J19" i="11" s="1"/>
  <c r="G33" i="6"/>
  <c r="G41" i="6" s="1"/>
  <c r="F41" i="6"/>
  <c r="F26" i="6"/>
  <c r="F42" i="6" s="1"/>
  <c r="E42" i="6"/>
  <c r="D23" i="6"/>
  <c r="E23" i="6"/>
  <c r="E27" i="6" s="1"/>
  <c r="F27" i="6" s="1"/>
  <c r="F37" i="6"/>
  <c r="G18" i="6" l="1"/>
  <c r="G21" i="6" s="1"/>
  <c r="F18" i="6"/>
  <c r="F21" i="6" s="1"/>
  <c r="G37" i="6"/>
  <c r="H33" i="6"/>
  <c r="H41" i="6" s="1"/>
  <c r="F43" i="6"/>
  <c r="G27" i="6"/>
  <c r="H27" i="6" s="1"/>
  <c r="I27" i="6" s="1"/>
  <c r="J27" i="6" s="1"/>
  <c r="G43" i="6"/>
  <c r="D27" i="6"/>
  <c r="D43" i="6"/>
  <c r="E43" i="6"/>
  <c r="F23" i="6"/>
  <c r="G23" i="6" s="1"/>
  <c r="H23" i="6" s="1"/>
  <c r="I23" i="6" s="1"/>
  <c r="J23" i="6" s="1"/>
  <c r="C29" i="11" l="1"/>
  <c r="D34" i="11"/>
  <c r="H37" i="6"/>
  <c r="H18" i="6"/>
  <c r="H21" i="6" s="1"/>
  <c r="G44" i="6"/>
  <c r="I33" i="6"/>
  <c r="I37" i="6" s="1"/>
  <c r="H43" i="6"/>
  <c r="J8" i="2" s="1"/>
  <c r="G8" i="2"/>
  <c r="G10" i="2" s="1"/>
  <c r="E44" i="6"/>
  <c r="F44" i="6"/>
  <c r="I8" i="2"/>
  <c r="H8" i="2"/>
  <c r="H10" i="2" s="1"/>
  <c r="G43" i="11" l="1"/>
  <c r="I43" i="11"/>
  <c r="J43" i="11"/>
  <c r="H43" i="11"/>
  <c r="K43" i="11"/>
  <c r="D37" i="11"/>
  <c r="C30" i="11"/>
  <c r="C28" i="11"/>
  <c r="G29" i="11"/>
  <c r="K29" i="11" s="1"/>
  <c r="G15" i="2"/>
  <c r="I18" i="6"/>
  <c r="I21" i="6" s="1"/>
  <c r="J33" i="6"/>
  <c r="J18" i="6" s="1"/>
  <c r="H44" i="6"/>
  <c r="I43" i="6"/>
  <c r="I41" i="6"/>
  <c r="I10" i="2"/>
  <c r="H15" i="2"/>
  <c r="G24" i="6" s="1"/>
  <c r="K22" i="2"/>
  <c r="E15" i="2"/>
  <c r="E24" i="6" s="1"/>
  <c r="D15" i="2"/>
  <c r="D24" i="6" s="1"/>
  <c r="J22" i="2"/>
  <c r="I22" i="2"/>
  <c r="H22" i="2"/>
  <c r="G22" i="2"/>
  <c r="D22" i="2"/>
  <c r="E22" i="2"/>
  <c r="D36" i="11" l="1"/>
  <c r="D39" i="11" s="1"/>
  <c r="D38" i="11" s="1"/>
  <c r="G28" i="11"/>
  <c r="K28" i="11" s="1"/>
  <c r="G30" i="11"/>
  <c r="K30" i="11" s="1"/>
  <c r="J37" i="6"/>
  <c r="F24" i="6"/>
  <c r="J43" i="6"/>
  <c r="J44" i="6" s="1"/>
  <c r="J41" i="6"/>
  <c r="I44" i="6"/>
  <c r="K8" i="2"/>
  <c r="J10" i="2"/>
  <c r="J21" i="6"/>
  <c r="I15" i="2"/>
  <c r="H24" i="6" s="1"/>
  <c r="K10" i="2" l="1"/>
  <c r="K15" i="2" s="1"/>
  <c r="J24" i="6" s="1"/>
  <c r="J15" i="2"/>
  <c r="I24" i="6" s="1"/>
  <c r="E60" i="15" l="1"/>
  <c r="E17" i="2" l="1"/>
  <c r="D17" i="2"/>
  <c r="D24" i="2" l="1"/>
  <c r="E24" i="2"/>
  <c r="E18" i="2"/>
  <c r="D18" i="2"/>
  <c r="G16" i="2" l="1"/>
  <c r="G17" i="2" s="1"/>
  <c r="D26" i="2"/>
  <c r="D18" i="11" s="1"/>
  <c r="D27" i="2"/>
  <c r="E32" i="2"/>
  <c r="E26" i="2"/>
  <c r="E18" i="11" s="1"/>
  <c r="E27" i="2"/>
  <c r="D32" i="2"/>
  <c r="E33" i="2" l="1"/>
  <c r="E35" i="2"/>
  <c r="E17" i="11" s="1"/>
  <c r="E22" i="11" s="1"/>
  <c r="G18" i="2"/>
  <c r="H16" i="2" s="1"/>
  <c r="H17" i="2" s="1"/>
  <c r="H24" i="2" s="1"/>
  <c r="G24" i="2"/>
  <c r="E36" i="2"/>
  <c r="H26" i="2"/>
  <c r="G18" i="11" s="1"/>
  <c r="D35" i="2"/>
  <c r="D33" i="2"/>
  <c r="D36" i="2" l="1"/>
  <c r="D17" i="11"/>
  <c r="D22" i="11" s="1"/>
  <c r="G25" i="2"/>
  <c r="G27" i="2" s="1"/>
  <c r="G38" i="2" s="1"/>
  <c r="G39" i="2" s="1"/>
  <c r="G32" i="2"/>
  <c r="G35" i="2" s="1"/>
  <c r="F17" i="11" s="1"/>
  <c r="F22" i="11" s="1"/>
  <c r="H18" i="2"/>
  <c r="I16" i="2" s="1"/>
  <c r="I17" i="2" s="1"/>
  <c r="I18" i="2" s="1"/>
  <c r="J16" i="2" s="1"/>
  <c r="J17" i="2" s="1"/>
  <c r="H25" i="2"/>
  <c r="I26" i="2"/>
  <c r="H18" i="11" s="1"/>
  <c r="H32" i="2"/>
  <c r="F23" i="11" l="1"/>
  <c r="G33" i="2"/>
  <c r="G36" i="2"/>
  <c r="I24" i="2"/>
  <c r="I25" i="2" s="1"/>
  <c r="I27" i="2" s="1"/>
  <c r="H27" i="2"/>
  <c r="J26" i="2"/>
  <c r="I18" i="11" s="1"/>
  <c r="J18" i="2"/>
  <c r="K16" i="2" s="1"/>
  <c r="K17" i="2" s="1"/>
  <c r="J24" i="2"/>
  <c r="H33" i="2"/>
  <c r="H35" i="2"/>
  <c r="G17" i="11" s="1"/>
  <c r="G22" i="11" s="1"/>
  <c r="G23" i="11" s="1"/>
  <c r="H36" i="2" l="1"/>
  <c r="I32" i="2"/>
  <c r="I35" i="2" s="1"/>
  <c r="H17" i="11" s="1"/>
  <c r="H22" i="11" s="1"/>
  <c r="H23" i="11" s="1"/>
  <c r="I38" i="2"/>
  <c r="I39" i="2" s="1"/>
  <c r="H38" i="2"/>
  <c r="H39" i="2" s="1"/>
  <c r="K26" i="2"/>
  <c r="J18" i="11" s="1"/>
  <c r="J25" i="2"/>
  <c r="J27" i="2" s="1"/>
  <c r="J32" i="2"/>
  <c r="J35" i="2" s="1"/>
  <c r="I17" i="11" s="1"/>
  <c r="I22" i="11" s="1"/>
  <c r="K18" i="2"/>
  <c r="K24" i="2"/>
  <c r="I33" i="2" l="1"/>
  <c r="I36" i="2"/>
  <c r="J38" i="2"/>
  <c r="J39" i="2" s="1"/>
  <c r="K25" i="2"/>
  <c r="K27" i="2" s="1"/>
  <c r="J33" i="2"/>
  <c r="I23" i="11"/>
  <c r="K32" i="2"/>
  <c r="G13" i="11" l="1"/>
  <c r="F12" i="11"/>
  <c r="K38" i="2"/>
  <c r="K39" i="2" s="1"/>
  <c r="J36" i="2"/>
  <c r="K33" i="2"/>
  <c r="K35" i="2"/>
  <c r="J17" i="11" s="1"/>
  <c r="J22" i="11" s="1"/>
  <c r="D30" i="11" l="1"/>
  <c r="H30" i="11" s="1"/>
  <c r="L30" i="11" s="1"/>
  <c r="E30" i="11"/>
  <c r="I30" i="11" s="1"/>
  <c r="M30" i="11" s="1"/>
  <c r="E28" i="11"/>
  <c r="I28" i="11" s="1"/>
  <c r="M28" i="11" s="1"/>
  <c r="F29" i="11"/>
  <c r="J29" i="11" s="1"/>
  <c r="N29" i="11" s="1"/>
  <c r="D29" i="11"/>
  <c r="H29" i="11" s="1"/>
  <c r="L29" i="11" s="1"/>
  <c r="E29" i="11"/>
  <c r="I29" i="11" s="1"/>
  <c r="M29" i="11" s="1"/>
  <c r="F28" i="11"/>
  <c r="J28" i="11" s="1"/>
  <c r="N28" i="11" s="1"/>
  <c r="F30" i="11"/>
  <c r="J30" i="11" s="1"/>
  <c r="N30" i="11" s="1"/>
  <c r="D28" i="11"/>
  <c r="J23" i="11"/>
  <c r="K36" i="2"/>
  <c r="H28" i="11" l="1"/>
  <c r="L28" i="11" s="1"/>
  <c r="E51" i="15"/>
  <c r="E40" i="15"/>
  <c r="E45" i="15"/>
  <c r="E30" i="15"/>
  <c r="E27" i="15"/>
  <c r="E10" i="15"/>
  <c r="E43" i="15"/>
  <c r="E49" i="15"/>
  <c r="E44" i="15"/>
  <c r="E53" i="15"/>
  <c r="E28" i="15"/>
  <c r="E9" i="15"/>
  <c r="E50" i="15"/>
  <c r="E41" i="15"/>
  <c r="E19" i="15"/>
  <c r="E42" i="15"/>
  <c r="E48" i="15"/>
  <c r="E46" i="15"/>
  <c r="E26" i="15"/>
  <c r="E29" i="15"/>
  <c r="E35" i="15"/>
  <c r="E52" i="15"/>
  <c r="E11" i="15"/>
  <c r="E39" i="15"/>
  <c r="E82" i="15" s="1"/>
  <c r="E83" i="15" s="1"/>
  <c r="E47" i="15"/>
  <c r="E85" i="15" s="1"/>
  <c r="E25" i="15"/>
  <c r="E8" i="15"/>
  <c r="E34" i="15"/>
  <c r="E20" i="15" l="1"/>
  <c r="E31" i="15"/>
  <c r="F31" i="15" s="1"/>
  <c r="E54" i="15"/>
  <c r="F54" i="15" s="1"/>
  <c r="E36" i="15"/>
  <c r="F36" i="15" s="1"/>
  <c r="E7" i="15"/>
  <c r="E58" i="15" l="1"/>
  <c r="E59" i="15"/>
  <c r="E57" i="15"/>
  <c r="E64" i="15"/>
  <c r="E74" i="15" l="1"/>
  <c r="F74" i="15" s="1"/>
  <c r="F20" i="15"/>
  <c r="E77" i="15" l="1"/>
  <c r="E22" i="15"/>
  <c r="E23" i="15" s="1"/>
  <c r="E78" i="15" l="1"/>
  <c r="F77" i="15"/>
  <c r="E81" i="15"/>
  <c r="E79" i="15" l="1"/>
  <c r="E86" i="15" s="1"/>
  <c r="K23" i="11" l="1"/>
  <c r="D8" i="11" s="1"/>
  <c r="D11" i="11" s="1"/>
  <c r="D13" i="11" s="1"/>
  <c r="D15" i="11" l="1"/>
  <c r="D4" i="11"/>
  <c r="E4" i="11" s="1"/>
</calcChain>
</file>

<file path=xl/sharedStrings.xml><?xml version="1.0" encoding="utf-8"?>
<sst xmlns="http://schemas.openxmlformats.org/spreadsheetml/2006/main" count="202" uniqueCount="176">
  <si>
    <t>Revenue</t>
  </si>
  <si>
    <t>Cash</t>
  </si>
  <si>
    <t>Debt</t>
  </si>
  <si>
    <t>Historical Financials</t>
  </si>
  <si>
    <t>Adjusted EBITDA</t>
  </si>
  <si>
    <t>Gross Profit</t>
  </si>
  <si>
    <t>Gross Margin</t>
  </si>
  <si>
    <t>Total Operating Costs</t>
  </si>
  <si>
    <t>Insurance</t>
  </si>
  <si>
    <t>EBIT</t>
  </si>
  <si>
    <t>Tax Rate</t>
  </si>
  <si>
    <t>Projected Financials</t>
  </si>
  <si>
    <t>Capital</t>
  </si>
  <si>
    <t>Total</t>
  </si>
  <si>
    <t>Net Debt</t>
  </si>
  <si>
    <t>Mix</t>
  </si>
  <si>
    <t>FV Equity</t>
  </si>
  <si>
    <t>MV Equity</t>
  </si>
  <si>
    <t>Dil Shares O/S</t>
  </si>
  <si>
    <t>Intrinsic Value Per Share</t>
  </si>
  <si>
    <t>Market Value Per Share</t>
  </si>
  <si>
    <t>-</t>
  </si>
  <si>
    <t>Share Price</t>
  </si>
  <si>
    <t>Shares O/S</t>
  </si>
  <si>
    <t>NPV Enterprise Value</t>
  </si>
  <si>
    <t>Base Case Stock Upside</t>
  </si>
  <si>
    <t>Base Case:</t>
  </si>
  <si>
    <t>Capex</t>
  </si>
  <si>
    <t>Terminal Value</t>
  </si>
  <si>
    <t>Interest Expense</t>
  </si>
  <si>
    <t>Applebees Franchise</t>
  </si>
  <si>
    <t>F17 Guidance</t>
  </si>
  <si>
    <t>IHOP</t>
  </si>
  <si>
    <t>New stores</t>
  </si>
  <si>
    <t>Same Store Sales</t>
  </si>
  <si>
    <t>DIN</t>
  </si>
  <si>
    <t>Interest</t>
  </si>
  <si>
    <t>Between -40 &amp;-10</t>
  </si>
  <si>
    <t>Between 72 &amp; 57</t>
  </si>
  <si>
    <t>G&amp;A</t>
  </si>
  <si>
    <t xml:space="preserve">Food </t>
  </si>
  <si>
    <t>Beverage</t>
  </si>
  <si>
    <t>Liquor</t>
  </si>
  <si>
    <t>Discounts</t>
  </si>
  <si>
    <t>Beer</t>
  </si>
  <si>
    <t>Food</t>
  </si>
  <si>
    <t>Paper</t>
  </si>
  <si>
    <t>Sales Tax Credit</t>
  </si>
  <si>
    <t>Managers</t>
  </si>
  <si>
    <t>Hourly</t>
  </si>
  <si>
    <t>FICA</t>
  </si>
  <si>
    <t>Medicare</t>
  </si>
  <si>
    <t>FUTA</t>
  </si>
  <si>
    <t>SUTA</t>
  </si>
  <si>
    <t>Total Payroll</t>
  </si>
  <si>
    <t>Health</t>
  </si>
  <si>
    <t>Building Lease</t>
  </si>
  <si>
    <t>Linens</t>
  </si>
  <si>
    <t>Office Supplies</t>
  </si>
  <si>
    <t>Pest Control</t>
  </si>
  <si>
    <t xml:space="preserve">Electric </t>
  </si>
  <si>
    <t>Gas</t>
  </si>
  <si>
    <t>Cable</t>
  </si>
  <si>
    <t>Bank and Merchant Fees</t>
  </si>
  <si>
    <t>NBT</t>
  </si>
  <si>
    <t>Gov't Relation</t>
  </si>
  <si>
    <t>Gross Sales</t>
  </si>
  <si>
    <t>Royalty</t>
  </si>
  <si>
    <t>5 year franchise fee</t>
  </si>
  <si>
    <t>Help Desk</t>
  </si>
  <si>
    <t>Weightwatcher Royalty</t>
  </si>
  <si>
    <t>POS</t>
  </si>
  <si>
    <t>Demographic System</t>
  </si>
  <si>
    <t>IT</t>
  </si>
  <si>
    <t>Apple Star</t>
  </si>
  <si>
    <t>Kitchen Display</t>
  </si>
  <si>
    <t>Free Cash Flow</t>
  </si>
  <si>
    <t>NAT</t>
  </si>
  <si>
    <t xml:space="preserve">Depreciation </t>
  </si>
  <si>
    <t>Percentage of Revenue</t>
  </si>
  <si>
    <t>Total Revenue</t>
  </si>
  <si>
    <t>EBITDA</t>
  </si>
  <si>
    <t>Units</t>
  </si>
  <si>
    <t xml:space="preserve">Applebees </t>
  </si>
  <si>
    <t xml:space="preserve">Same Store Sales </t>
  </si>
  <si>
    <t>COGS</t>
  </si>
  <si>
    <t>Rev/National Sales</t>
  </si>
  <si>
    <t>WACC</t>
  </si>
  <si>
    <t>Income Tax Expense</t>
  </si>
  <si>
    <t xml:space="preserve">  Net Income</t>
  </si>
  <si>
    <t>Other Operating</t>
  </si>
  <si>
    <t>Depreciation &amp; Amortization Expense</t>
  </si>
  <si>
    <t>G&amp;A Expense</t>
  </si>
  <si>
    <t xml:space="preserve">Financing </t>
  </si>
  <si>
    <t>Rental</t>
  </si>
  <si>
    <t xml:space="preserve">Franchise </t>
  </si>
  <si>
    <t xml:space="preserve">Amount </t>
  </si>
  <si>
    <t>Growth Rate</t>
  </si>
  <si>
    <t>Applebees</t>
  </si>
  <si>
    <t>What is the breakeven point on sales for a franchise?</t>
  </si>
  <si>
    <t>Discount Rate (after tax WACC)</t>
  </si>
  <si>
    <t>DDM - DCF Method</t>
  </si>
  <si>
    <t>Dividend terminal Growth Rate</t>
  </si>
  <si>
    <t>Sum of PV of Dividends</t>
  </si>
  <si>
    <t>Inputs</t>
  </si>
  <si>
    <t xml:space="preserve">Discounted </t>
  </si>
  <si>
    <t>Forecasted Unit Net Openings</t>
  </si>
  <si>
    <t>Ratios</t>
  </si>
  <si>
    <t>Historical Dividends</t>
  </si>
  <si>
    <t>Annual fees to Dine</t>
  </si>
  <si>
    <t>Tax Expense or Gain</t>
  </si>
  <si>
    <t>Total Insurance</t>
  </si>
  <si>
    <t>Adjusted EBITDAR</t>
  </si>
  <si>
    <t>App Sales per unit</t>
  </si>
  <si>
    <t>Applebees Franchise Revenue</t>
  </si>
  <si>
    <t>Change</t>
  </si>
  <si>
    <t>Applebees Franchise Revenue Forecast</t>
  </si>
  <si>
    <t>ELearning</t>
  </si>
  <si>
    <t>Software License</t>
  </si>
  <si>
    <t>A1 Subscription Card</t>
  </si>
  <si>
    <t>Food Cost Analysis</t>
  </si>
  <si>
    <t>Deprecation</t>
  </si>
  <si>
    <t xml:space="preserve">Expected Equity Price </t>
  </si>
  <si>
    <t>1 year price target</t>
  </si>
  <si>
    <t>EPS</t>
  </si>
  <si>
    <t>Dividend Payout Ratio</t>
  </si>
  <si>
    <t>DineEquity</t>
  </si>
  <si>
    <t>$ in Millions</t>
  </si>
  <si>
    <t>EBITDA Margin</t>
  </si>
  <si>
    <t>EBIT Margin</t>
  </si>
  <si>
    <t>Restaurant</t>
  </si>
  <si>
    <t>Dividend</t>
  </si>
  <si>
    <t>Non Cash Expenses</t>
  </si>
  <si>
    <t>8.5x Ebitda Multiple</t>
  </si>
  <si>
    <t>Dividends Paid</t>
  </si>
  <si>
    <t>Discounted Cash Flows</t>
  </si>
  <si>
    <t># of Appl Franchised Units</t>
  </si>
  <si>
    <t>Appl Sales per Unit</t>
  </si>
  <si>
    <t>Appl National Sales/Dine Appl Sales Multiple</t>
  </si>
  <si>
    <t>Appl/Ratio</t>
  </si>
  <si>
    <t>Nat'l Sales Data</t>
  </si>
  <si>
    <t>Appl</t>
  </si>
  <si>
    <t>Gen Liability</t>
  </si>
  <si>
    <t>Operation Expenses</t>
  </si>
  <si>
    <t xml:space="preserve">Janitorial </t>
  </si>
  <si>
    <t>Small wares</t>
  </si>
  <si>
    <t>Security</t>
  </si>
  <si>
    <t>Natl Adv.</t>
  </si>
  <si>
    <t>Local Adv.</t>
  </si>
  <si>
    <t>Repairs Maintenance</t>
  </si>
  <si>
    <t>Maintenance of POS</t>
  </si>
  <si>
    <t>Total Operational Expenses</t>
  </si>
  <si>
    <t>Rental  Revenue</t>
  </si>
  <si>
    <t>Financing  Revenue</t>
  </si>
  <si>
    <t>APPL</t>
  </si>
  <si>
    <t xml:space="preserve">Appl Franchise Revenue/(Appl Sales Per unit*# of Appl)  </t>
  </si>
  <si>
    <t>Annual fees to DineEquity</t>
  </si>
  <si>
    <t>(1-tax)</t>
  </si>
  <si>
    <t>CAP Ex</t>
  </si>
  <si>
    <t>WC Changes</t>
  </si>
  <si>
    <t>Non Cash Expense</t>
  </si>
  <si>
    <t>Working Capital</t>
  </si>
  <si>
    <t>Equipment Rental</t>
  </si>
  <si>
    <t>Free Cash Flow to Firm</t>
  </si>
  <si>
    <t>Terminal Multiple (EBITDA)</t>
  </si>
  <si>
    <t>Ihop Company</t>
  </si>
  <si>
    <t xml:space="preserve">IHOP Franchise </t>
  </si>
  <si>
    <t>IHOP Area Licenses</t>
  </si>
  <si>
    <t>IHOP Owned</t>
  </si>
  <si>
    <t>IHOP Company</t>
  </si>
  <si>
    <t>Growth</t>
  </si>
  <si>
    <t>Sensitivity Analysis</t>
  </si>
  <si>
    <t>Value Per Share</t>
  </si>
  <si>
    <t>EBITDA Exit Mulitple</t>
  </si>
  <si>
    <t>Downside Potential</t>
  </si>
  <si>
    <t>Price 4/25/2017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</si>
</sst>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00"/>
    <numFmt numFmtId="167" formatCode="_(* #,##0.0_);_(* \(#,##0.0\);_(* &quot;-&quot;_);_(@_)"/>
    <numFmt numFmtId="168" formatCode="_(* #,##0.00_);_(* \(#,##0.00\);_(* &quot;-&quot;_);_(@_)"/>
    <numFmt numFmtId="169" formatCode="_(* #,##0.0_);_(* \(#,##0.0\);_(* &quot;-&quot;??_);_(@_)"/>
    <numFmt numFmtId="170" formatCode="_(* #,##0_);_(* \(#,##0\);_(* &quot;-&quot;??_);_(@_)"/>
    <numFmt numFmtId="171" formatCode="yyyy"/>
    <numFmt numFmtId="172" formatCode="_(* #,##0.0000_);_(* \(#,##0.0000\);_(* &quot;-&quot;??_);_(@_)"/>
    <numFmt numFmtId="173" formatCode="[$-F800]dddd\,\ mmmm\ dd\,\ yyyy"/>
    <numFmt numFmtId="174" formatCode="_(* #,##0.0_);_(* \(#,##0.0\);_(* &quot;-&quot;?_);_(@_)"/>
    <numFmt numFmtId="175" formatCode="_(0%_);\(0%\);_(&quot;–&quot;_)_%;@_(_%"/>
    <numFmt numFmtId="176" formatCode="_(0.0%_);\(0.0%\);_(&quot;–&quot;_)_%;@_(_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name val="Arial"/>
      <family val="2"/>
    </font>
    <font>
      <sz val="1"/>
      <color indexed="9"/>
      <name val="Symbol"/>
      <family val="1"/>
      <charset val="2"/>
    </font>
    <font>
      <b/>
      <sz val="10"/>
      <color rgb="FF0000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ECEBE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Alignment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8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2">
    <xf numFmtId="0" fontId="0" fillId="0" borderId="0" xfId="0"/>
    <xf numFmtId="164" fontId="3" fillId="3" borderId="2" xfId="1" applyNumberFormat="1" applyFont="1" applyFill="1" applyBorder="1" applyAlignment="1">
      <alignment horizontal="right"/>
    </xf>
    <xf numFmtId="0" fontId="2" fillId="0" borderId="0" xfId="0" applyFont="1" applyBorder="1"/>
    <xf numFmtId="37" fontId="2" fillId="0" borderId="0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5" fillId="3" borderId="1" xfId="0" applyNumberFormat="1" applyFont="1" applyFill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0" fontId="2" fillId="0" borderId="5" xfId="0" applyFont="1" applyBorder="1"/>
    <xf numFmtId="41" fontId="2" fillId="0" borderId="0" xfId="0" applyNumberFormat="1" applyFont="1" applyBorder="1" applyAlignment="1">
      <alignment horizontal="right"/>
    </xf>
    <xf numFmtId="0" fontId="4" fillId="0" borderId="5" xfId="0" applyFont="1" applyBorder="1"/>
    <xf numFmtId="41" fontId="6" fillId="0" borderId="6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9" fontId="2" fillId="0" borderId="0" xfId="1" applyFont="1" applyBorder="1" applyAlignment="1">
      <alignment horizontal="center"/>
    </xf>
    <xf numFmtId="9" fontId="4" fillId="3" borderId="1" xfId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43" fontId="3" fillId="3" borderId="2" xfId="2" applyFont="1" applyFill="1" applyBorder="1" applyAlignment="1">
      <alignment horizontal="right"/>
    </xf>
    <xf numFmtId="170" fontId="3" fillId="3" borderId="11" xfId="2" applyNumberFormat="1" applyFont="1" applyFill="1" applyBorder="1" applyAlignment="1">
      <alignment horizontal="center"/>
    </xf>
    <xf numFmtId="170" fontId="3" fillId="3" borderId="2" xfId="2" applyNumberFormat="1" applyFont="1" applyFill="1" applyBorder="1" applyAlignment="1">
      <alignment horizontal="right"/>
    </xf>
    <xf numFmtId="41" fontId="3" fillId="3" borderId="2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41" fontId="4" fillId="3" borderId="1" xfId="0" applyNumberFormat="1" applyFont="1" applyFill="1" applyBorder="1" applyAlignment="1">
      <alignment horizontal="left"/>
    </xf>
    <xf numFmtId="9" fontId="3" fillId="3" borderId="0" xfId="1" applyFont="1" applyFill="1" applyBorder="1" applyAlignment="1">
      <alignment horizontal="center"/>
    </xf>
    <xf numFmtId="170" fontId="3" fillId="3" borderId="0" xfId="2" applyNumberFormat="1" applyFont="1" applyFill="1" applyBorder="1" applyAlignment="1">
      <alignment horizontal="right"/>
    </xf>
    <xf numFmtId="9" fontId="2" fillId="0" borderId="0" xfId="1" applyFont="1" applyBorder="1"/>
    <xf numFmtId="0" fontId="4" fillId="3" borderId="3" xfId="0" applyFont="1" applyFill="1" applyBorder="1" applyAlignment="1">
      <alignment horizontal="left"/>
    </xf>
    <xf numFmtId="9" fontId="4" fillId="3" borderId="10" xfId="1" applyFont="1" applyFill="1" applyBorder="1" applyAlignment="1">
      <alignment horizontal="center"/>
    </xf>
    <xf numFmtId="41" fontId="5" fillId="3" borderId="10" xfId="0" applyNumberFormat="1" applyFont="1" applyFill="1" applyBorder="1" applyAlignment="1">
      <alignment horizontal="right"/>
    </xf>
    <xf numFmtId="41" fontId="5" fillId="3" borderId="4" xfId="0" applyNumberFormat="1" applyFont="1" applyFill="1" applyBorder="1" applyAlignment="1">
      <alignment horizontal="right"/>
    </xf>
    <xf numFmtId="164" fontId="3" fillId="3" borderId="20" xfId="1" applyNumberFormat="1" applyFont="1" applyFill="1" applyBorder="1" applyAlignment="1">
      <alignment horizontal="center"/>
    </xf>
    <xf numFmtId="41" fontId="7" fillId="0" borderId="6" xfId="0" applyNumberFormat="1" applyFont="1" applyBorder="1" applyAlignment="1">
      <alignment horizontal="right"/>
    </xf>
    <xf numFmtId="0" fontId="2" fillId="0" borderId="19" xfId="0" applyFont="1" applyBorder="1"/>
    <xf numFmtId="0" fontId="4" fillId="3" borderId="21" xfId="0" applyFont="1" applyFill="1" applyBorder="1" applyAlignment="1">
      <alignment horizontal="left"/>
    </xf>
    <xf numFmtId="41" fontId="5" fillId="3" borderId="22" xfId="0" applyNumberFormat="1" applyFont="1" applyFill="1" applyBorder="1" applyAlignment="1">
      <alignment horizontal="right"/>
    </xf>
    <xf numFmtId="164" fontId="3" fillId="3" borderId="20" xfId="1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 indent="1"/>
    </xf>
    <xf numFmtId="0" fontId="2" fillId="0" borderId="5" xfId="0" applyFont="1" applyFill="1" applyBorder="1"/>
    <xf numFmtId="164" fontId="3" fillId="3" borderId="6" xfId="1" applyNumberFormat="1" applyFont="1" applyFill="1" applyBorder="1" applyAlignment="1">
      <alignment horizontal="right"/>
    </xf>
    <xf numFmtId="164" fontId="8" fillId="0" borderId="7" xfId="1" applyNumberFormat="1" applyFont="1" applyBorder="1"/>
    <xf numFmtId="9" fontId="7" fillId="0" borderId="6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10" fontId="7" fillId="0" borderId="6" xfId="1" applyNumberFormat="1" applyFont="1" applyBorder="1" applyAlignment="1">
      <alignment horizontal="center"/>
    </xf>
    <xf numFmtId="0" fontId="2" fillId="4" borderId="0" xfId="0" applyFont="1" applyFill="1"/>
    <xf numFmtId="0" fontId="2" fillId="0" borderId="0" xfId="0" applyFont="1"/>
    <xf numFmtId="41" fontId="6" fillId="0" borderId="0" xfId="0" applyNumberFormat="1" applyFont="1" applyAlignment="1">
      <alignment horizontal="right"/>
    </xf>
    <xf numFmtId="0" fontId="12" fillId="4" borderId="0" xfId="0" applyFont="1" applyFill="1" applyBorder="1" applyAlignment="1">
      <alignment horizontal="left"/>
    </xf>
    <xf numFmtId="43" fontId="2" fillId="0" borderId="6" xfId="0" applyNumberFormat="1" applyFont="1" applyBorder="1"/>
    <xf numFmtId="41" fontId="6" fillId="4" borderId="0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43" fontId="2" fillId="0" borderId="0" xfId="0" applyNumberFormat="1" applyFont="1"/>
    <xf numFmtId="41" fontId="6" fillId="4" borderId="0" xfId="0" applyNumberFormat="1" applyFont="1" applyFill="1" applyAlignment="1">
      <alignment horizontal="right"/>
    </xf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166" fontId="2" fillId="0" borderId="0" xfId="0" applyNumberFormat="1" applyFont="1"/>
    <xf numFmtId="0" fontId="14" fillId="0" borderId="14" xfId="0" applyFont="1" applyBorder="1" applyAlignment="1">
      <alignment horizontal="left" vertical="top"/>
    </xf>
    <xf numFmtId="0" fontId="2" fillId="4" borderId="0" xfId="0" applyFont="1" applyFill="1" applyBorder="1"/>
    <xf numFmtId="167" fontId="7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/>
    <xf numFmtId="17" fontId="6" fillId="4" borderId="5" xfId="0" applyNumberFormat="1" applyFont="1" applyFill="1" applyBorder="1" applyAlignment="1">
      <alignment horizontal="left"/>
    </xf>
    <xf numFmtId="17" fontId="6" fillId="4" borderId="7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0" applyNumberFormat="1" applyFont="1" applyBorder="1"/>
    <xf numFmtId="43" fontId="2" fillId="0" borderId="0" xfId="0" applyNumberFormat="1" applyFont="1" applyBorder="1"/>
    <xf numFmtId="9" fontId="2" fillId="0" borderId="0" xfId="0" applyNumberFormat="1" applyFont="1"/>
    <xf numFmtId="0" fontId="13" fillId="2" borderId="16" xfId="0" applyFont="1" applyFill="1" applyBorder="1" applyAlignment="1">
      <alignment horizontal="left"/>
    </xf>
    <xf numFmtId="14" fontId="2" fillId="0" borderId="0" xfId="0" applyNumberFormat="1" applyFont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5" fillId="2" borderId="9" xfId="0" applyFont="1" applyFill="1" applyBorder="1"/>
    <xf numFmtId="171" fontId="12" fillId="2" borderId="9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left" vertical="top"/>
    </xf>
    <xf numFmtId="168" fontId="2" fillId="0" borderId="0" xfId="0" applyNumberFormat="1" applyFont="1"/>
    <xf numFmtId="0" fontId="6" fillId="0" borderId="0" xfId="0" applyFont="1"/>
    <xf numFmtId="0" fontId="14" fillId="0" borderId="13" xfId="0" applyFont="1" applyBorder="1" applyAlignment="1">
      <alignment horizontal="left" vertical="top"/>
    </xf>
    <xf numFmtId="168" fontId="6" fillId="0" borderId="0" xfId="0" applyNumberFormat="1" applyFont="1" applyBorder="1" applyAlignment="1">
      <alignment horizontal="right"/>
    </xf>
    <xf numFmtId="169" fontId="17" fillId="0" borderId="0" xfId="0" applyNumberFormat="1" applyFont="1" applyFill="1" applyBorder="1" applyAlignment="1">
      <alignment horizontal="right" vertical="top"/>
    </xf>
    <xf numFmtId="0" fontId="4" fillId="0" borderId="0" xfId="0" applyFont="1"/>
    <xf numFmtId="172" fontId="2" fillId="0" borderId="0" xfId="0" applyNumberFormat="1" applyFont="1" applyBorder="1"/>
    <xf numFmtId="41" fontId="2" fillId="0" borderId="0" xfId="0" applyNumberFormat="1" applyFont="1" applyBorder="1"/>
    <xf numFmtId="0" fontId="4" fillId="3" borderId="24" xfId="0" applyFont="1" applyFill="1" applyBorder="1" applyAlignment="1">
      <alignment horizontal="left"/>
    </xf>
    <xf numFmtId="9" fontId="4" fillId="3" borderId="11" xfId="1" applyFont="1" applyFill="1" applyBorder="1" applyAlignment="1">
      <alignment horizontal="center"/>
    </xf>
    <xf numFmtId="9" fontId="2" fillId="3" borderId="23" xfId="1" applyFont="1" applyFill="1" applyBorder="1" applyAlignment="1">
      <alignment horizontal="center"/>
    </xf>
    <xf numFmtId="9" fontId="4" fillId="3" borderId="22" xfId="1" applyFon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7" fillId="0" borderId="0" xfId="1" applyFont="1" applyBorder="1" applyAlignment="1">
      <alignment horizontal="center"/>
    </xf>
    <xf numFmtId="41" fontId="6" fillId="0" borderId="1" xfId="0" applyNumberFormat="1" applyFont="1" applyBorder="1" applyAlignment="1">
      <alignment horizontal="right"/>
    </xf>
    <xf numFmtId="0" fontId="12" fillId="2" borderId="16" xfId="0" applyFont="1" applyFill="1" applyBorder="1" applyAlignment="1">
      <alignment horizontal="left"/>
    </xf>
    <xf numFmtId="0" fontId="12" fillId="2" borderId="18" xfId="0" applyFont="1" applyFill="1" applyBorder="1"/>
    <xf numFmtId="17" fontId="2" fillId="4" borderId="5" xfId="0" applyNumberFormat="1" applyFont="1" applyFill="1" applyBorder="1" applyAlignment="1">
      <alignment horizontal="left"/>
    </xf>
    <xf numFmtId="9" fontId="4" fillId="6" borderId="9" xfId="1" applyFont="1" applyFill="1" applyBorder="1"/>
    <xf numFmtId="43" fontId="2" fillId="0" borderId="9" xfId="0" applyNumberFormat="1" applyFont="1" applyBorder="1"/>
    <xf numFmtId="0" fontId="2" fillId="4" borderId="0" xfId="6" applyFont="1" applyFill="1"/>
    <xf numFmtId="9" fontId="4" fillId="6" borderId="6" xfId="1" applyFont="1" applyFill="1" applyBorder="1"/>
    <xf numFmtId="43" fontId="2" fillId="4" borderId="0" xfId="2" applyFont="1" applyFill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8" fontId="2" fillId="0" borderId="0" xfId="1" applyNumberFormat="1" applyFont="1"/>
    <xf numFmtId="167" fontId="2" fillId="0" borderId="0" xfId="0" applyNumberFormat="1" applyFont="1"/>
    <xf numFmtId="167" fontId="7" fillId="0" borderId="2" xfId="0" applyNumberFormat="1" applyFont="1" applyBorder="1"/>
    <xf numFmtId="167" fontId="2" fillId="0" borderId="2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7" fillId="0" borderId="2" xfId="0" applyNumberFormat="1" applyFont="1" applyBorder="1" applyAlignment="1">
      <alignment horizontal="right"/>
    </xf>
    <xf numFmtId="167" fontId="5" fillId="3" borderId="1" xfId="0" applyNumberFormat="1" applyFont="1" applyFill="1" applyBorder="1" applyAlignment="1">
      <alignment horizontal="right"/>
    </xf>
    <xf numFmtId="167" fontId="2" fillId="3" borderId="2" xfId="1" applyNumberFormat="1" applyFont="1" applyFill="1" applyBorder="1" applyAlignment="1">
      <alignment horizontal="right"/>
    </xf>
    <xf numFmtId="167" fontId="7" fillId="0" borderId="0" xfId="0" applyNumberFormat="1" applyFont="1"/>
    <xf numFmtId="167" fontId="2" fillId="3" borderId="2" xfId="2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1" applyNumberFormat="1" applyFont="1"/>
    <xf numFmtId="167" fontId="2" fillId="4" borderId="0" xfId="1" applyNumberFormat="1" applyFont="1" applyFill="1"/>
    <xf numFmtId="167" fontId="14" fillId="0" borderId="13" xfId="0" applyNumberFormat="1" applyFont="1" applyFill="1" applyBorder="1" applyAlignment="1">
      <alignment horizontal="right" vertical="top"/>
    </xf>
    <xf numFmtId="167" fontId="7" fillId="3" borderId="1" xfId="0" applyNumberFormat="1" applyFont="1" applyFill="1" applyBorder="1" applyAlignment="1">
      <alignment horizontal="right"/>
    </xf>
    <xf numFmtId="167" fontId="6" fillId="3" borderId="1" xfId="0" applyNumberFormat="1" applyFont="1" applyFill="1" applyBorder="1" applyAlignment="1">
      <alignment horizontal="right"/>
    </xf>
    <xf numFmtId="167" fontId="11" fillId="3" borderId="1" xfId="0" applyNumberFormat="1" applyFont="1" applyFill="1" applyBorder="1" applyAlignment="1">
      <alignment horizontal="right"/>
    </xf>
    <xf numFmtId="0" fontId="2" fillId="3" borderId="1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2" fontId="2" fillId="0" borderId="0" xfId="0" applyNumberFormat="1" applyFont="1"/>
    <xf numFmtId="2" fontId="2" fillId="0" borderId="0" xfId="2" applyNumberFormat="1" applyFont="1"/>
    <xf numFmtId="2" fontId="2" fillId="0" borderId="0" xfId="1" applyNumberFormat="1" applyFont="1"/>
    <xf numFmtId="17" fontId="2" fillId="4" borderId="19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7" fillId="0" borderId="0" xfId="1" applyNumberFormat="1" applyFont="1" applyAlignment="1">
      <alignment horizontal="left"/>
    </xf>
    <xf numFmtId="2" fontId="7" fillId="4" borderId="0" xfId="1" applyNumberFormat="1" applyFont="1" applyFill="1" applyAlignment="1">
      <alignment horizontal="left"/>
    </xf>
    <xf numFmtId="2" fontId="2" fillId="0" borderId="0" xfId="1" applyNumberFormat="1" applyFont="1" applyAlignment="1">
      <alignment horizontal="left"/>
    </xf>
    <xf numFmtId="1" fontId="13" fillId="2" borderId="18" xfId="0" applyNumberFormat="1" applyFont="1" applyFill="1" applyBorder="1" applyAlignment="1">
      <alignment horizontal="left"/>
    </xf>
    <xf numFmtId="1" fontId="13" fillId="2" borderId="17" xfId="0" applyNumberFormat="1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43" fontId="2" fillId="0" borderId="3" xfId="0" applyNumberFormat="1" applyFont="1" applyBorder="1"/>
    <xf numFmtId="43" fontId="11" fillId="0" borderId="10" xfId="0" applyNumberFormat="1" applyFont="1" applyBorder="1"/>
    <xf numFmtId="43" fontId="2" fillId="0" borderId="4" xfId="0" applyNumberFormat="1" applyFont="1" applyBorder="1"/>
    <xf numFmtId="43" fontId="2" fillId="0" borderId="7" xfId="0" applyNumberFormat="1" applyFont="1" applyBorder="1"/>
    <xf numFmtId="43" fontId="4" fillId="5" borderId="9" xfId="6" applyNumberFormat="1" applyFont="1" applyFill="1" applyBorder="1"/>
    <xf numFmtId="43" fontId="4" fillId="6" borderId="8" xfId="1" applyNumberFormat="1" applyFont="1" applyFill="1" applyBorder="1"/>
    <xf numFmtId="43" fontId="6" fillId="0" borderId="0" xfId="0" applyNumberFormat="1" applyFont="1" applyAlignment="1">
      <alignment horizontal="right"/>
    </xf>
    <xf numFmtId="43" fontId="4" fillId="0" borderId="0" xfId="0" applyNumberFormat="1" applyFont="1" applyBorder="1" applyAlignment="1">
      <alignment horizontal="center"/>
    </xf>
    <xf numFmtId="43" fontId="12" fillId="2" borderId="16" xfId="0" applyNumberFormat="1" applyFont="1" applyFill="1" applyBorder="1" applyAlignment="1">
      <alignment horizontal="left"/>
    </xf>
    <xf numFmtId="43" fontId="12" fillId="2" borderId="18" xfId="0" applyNumberFormat="1" applyFont="1" applyFill="1" applyBorder="1"/>
    <xf numFmtId="43" fontId="12" fillId="2" borderId="16" xfId="0" applyNumberFormat="1" applyFont="1" applyFill="1" applyBorder="1"/>
    <xf numFmtId="43" fontId="12" fillId="2" borderId="17" xfId="0" applyNumberFormat="1" applyFont="1" applyFill="1" applyBorder="1"/>
    <xf numFmtId="43" fontId="2" fillId="0" borderId="5" xfId="0" applyNumberFormat="1" applyFont="1" applyBorder="1" applyAlignment="1">
      <alignment horizontal="left"/>
    </xf>
    <xf numFmtId="43" fontId="2" fillId="0" borderId="5" xfId="0" applyNumberFormat="1" applyFont="1" applyBorder="1"/>
    <xf numFmtId="43" fontId="2" fillId="4" borderId="5" xfId="0" applyNumberFormat="1" applyFont="1" applyFill="1" applyBorder="1" applyAlignment="1">
      <alignment horizontal="left" indent="1"/>
    </xf>
    <xf numFmtId="43" fontId="7" fillId="4" borderId="0" xfId="0" applyNumberFormat="1" applyFont="1" applyFill="1" applyBorder="1" applyAlignment="1">
      <alignment horizontal="left"/>
    </xf>
    <xf numFmtId="43" fontId="2" fillId="4" borderId="6" xfId="1" applyNumberFormat="1" applyFont="1" applyFill="1" applyBorder="1" applyAlignment="1">
      <alignment horizontal="left"/>
    </xf>
    <xf numFmtId="43" fontId="7" fillId="0" borderId="0" xfId="1" applyNumberFormat="1" applyFont="1" applyBorder="1"/>
    <xf numFmtId="43" fontId="2" fillId="4" borderId="6" xfId="1" applyNumberFormat="1" applyFont="1" applyFill="1" applyBorder="1"/>
    <xf numFmtId="43" fontId="2" fillId="4" borderId="5" xfId="0" applyNumberFormat="1" applyFont="1" applyFill="1" applyBorder="1" applyAlignment="1">
      <alignment horizontal="left"/>
    </xf>
    <xf numFmtId="43" fontId="6" fillId="4" borderId="0" xfId="0" applyNumberFormat="1" applyFont="1" applyFill="1" applyBorder="1" applyAlignment="1">
      <alignment horizontal="left"/>
    </xf>
    <xf numFmtId="43" fontId="4" fillId="0" borderId="5" xfId="0" applyNumberFormat="1" applyFont="1" applyBorder="1" applyAlignment="1">
      <alignment horizontal="left"/>
    </xf>
    <xf numFmtId="43" fontId="5" fillId="0" borderId="0" xfId="0" applyNumberFormat="1" applyFont="1" applyBorder="1"/>
    <xf numFmtId="43" fontId="6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right"/>
    </xf>
    <xf numFmtId="43" fontId="4" fillId="0" borderId="5" xfId="0" applyNumberFormat="1" applyFont="1" applyBorder="1"/>
    <xf numFmtId="43" fontId="4" fillId="5" borderId="0" xfId="6" applyNumberFormat="1" applyFont="1" applyFill="1" applyBorder="1"/>
    <xf numFmtId="43" fontId="2" fillId="0" borderId="6" xfId="0" applyNumberFormat="1" applyFont="1" applyBorder="1" applyAlignment="1">
      <alignment horizontal="center"/>
    </xf>
    <xf numFmtId="43" fontId="2" fillId="0" borderId="6" xfId="1" applyNumberFormat="1" applyFont="1" applyBorder="1" applyAlignment="1">
      <alignment horizontal="left"/>
    </xf>
    <xf numFmtId="43" fontId="5" fillId="4" borderId="0" xfId="0" applyNumberFormat="1" applyFont="1" applyFill="1" applyBorder="1" applyAlignment="1">
      <alignment horizontal="left"/>
    </xf>
    <xf numFmtId="43" fontId="4" fillId="0" borderId="6" xfId="0" applyNumberFormat="1" applyFont="1" applyBorder="1" applyAlignment="1">
      <alignment horizontal="left"/>
    </xf>
    <xf numFmtId="43" fontId="4" fillId="0" borderId="7" xfId="0" applyNumberFormat="1" applyFont="1" applyBorder="1"/>
    <xf numFmtId="43" fontId="2" fillId="0" borderId="8" xfId="0" applyNumberFormat="1" applyFont="1" applyBorder="1"/>
    <xf numFmtId="43" fontId="13" fillId="2" borderId="16" xfId="0" applyNumberFormat="1" applyFont="1" applyFill="1" applyBorder="1"/>
    <xf numFmtId="43" fontId="12" fillId="2" borderId="25" xfId="0" applyNumberFormat="1" applyFont="1" applyFill="1" applyBorder="1" applyAlignment="1">
      <alignment horizontal="right"/>
    </xf>
    <xf numFmtId="43" fontId="6" fillId="0" borderId="0" xfId="2" applyNumberFormat="1" applyFont="1" applyBorder="1" applyAlignment="1">
      <alignment horizontal="right"/>
    </xf>
    <xf numFmtId="43" fontId="2" fillId="0" borderId="26" xfId="0" applyNumberFormat="1" applyFont="1" applyBorder="1"/>
    <xf numFmtId="43" fontId="6" fillId="4" borderId="0" xfId="2" applyNumberFormat="1" applyFont="1" applyFill="1" applyBorder="1" applyAlignment="1">
      <alignment horizontal="right" vertical="top"/>
    </xf>
    <xf numFmtId="43" fontId="2" fillId="0" borderId="0" xfId="2" applyNumberFormat="1" applyFont="1" applyBorder="1"/>
    <xf numFmtId="43" fontId="14" fillId="0" borderId="14" xfId="0" applyNumberFormat="1" applyFont="1" applyBorder="1" applyAlignment="1">
      <alignment horizontal="left" vertical="top"/>
    </xf>
    <xf numFmtId="43" fontId="14" fillId="0" borderId="13" xfId="2" applyNumberFormat="1" applyFont="1" applyFill="1" applyBorder="1" applyAlignment="1">
      <alignment horizontal="right" vertical="top"/>
    </xf>
    <xf numFmtId="43" fontId="4" fillId="0" borderId="9" xfId="2" applyNumberFormat="1" applyFont="1" applyBorder="1"/>
    <xf numFmtId="43" fontId="2" fillId="4" borderId="9" xfId="2" applyNumberFormat="1" applyFont="1" applyFill="1" applyBorder="1"/>
    <xf numFmtId="43" fontId="2" fillId="4" borderId="27" xfId="2" applyNumberFormat="1" applyFont="1" applyFill="1" applyBorder="1"/>
    <xf numFmtId="43" fontId="4" fillId="0" borderId="0" xfId="0" applyNumberFormat="1" applyFont="1" applyBorder="1"/>
    <xf numFmtId="43" fontId="4" fillId="0" borderId="0" xfId="1" applyNumberFormat="1" applyFont="1" applyBorder="1"/>
    <xf numFmtId="43" fontId="2" fillId="4" borderId="0" xfId="6" applyNumberFormat="1" applyFont="1" applyFill="1"/>
    <xf numFmtId="43" fontId="2" fillId="4" borderId="5" xfId="6" applyNumberFormat="1" applyFont="1" applyFill="1" applyBorder="1"/>
    <xf numFmtId="43" fontId="2" fillId="0" borderId="0" xfId="6" applyNumberFormat="1" applyFont="1"/>
    <xf numFmtId="43" fontId="2" fillId="4" borderId="0" xfId="6" applyNumberFormat="1" applyFont="1" applyFill="1" applyBorder="1"/>
    <xf numFmtId="43" fontId="2" fillId="0" borderId="5" xfId="6" applyNumberFormat="1" applyFont="1" applyBorder="1"/>
    <xf numFmtId="43" fontId="2" fillId="0" borderId="6" xfId="6" applyNumberFormat="1" applyFont="1" applyBorder="1"/>
    <xf numFmtId="43" fontId="2" fillId="4" borderId="6" xfId="8" applyNumberFormat="1" applyFont="1" applyFill="1" applyBorder="1"/>
    <xf numFmtId="43" fontId="2" fillId="4" borderId="7" xfId="6" applyNumberFormat="1" applyFont="1" applyFill="1" applyBorder="1"/>
    <xf numFmtId="43" fontId="4" fillId="5" borderId="8" xfId="6" applyNumberFormat="1" applyFont="1" applyFill="1" applyBorder="1"/>
    <xf numFmtId="43" fontId="2" fillId="0" borderId="0" xfId="6" applyNumberFormat="1" applyFont="1" applyBorder="1"/>
    <xf numFmtId="43" fontId="2" fillId="4" borderId="0" xfId="7" applyNumberFormat="1" applyFont="1" applyFill="1" applyBorder="1"/>
    <xf numFmtId="43" fontId="2" fillId="4" borderId="6" xfId="7" applyNumberFormat="1" applyFont="1" applyFill="1" applyBorder="1"/>
    <xf numFmtId="43" fontId="2" fillId="4" borderId="9" xfId="6" applyNumberFormat="1" applyFont="1" applyFill="1" applyBorder="1"/>
    <xf numFmtId="43" fontId="2" fillId="4" borderId="9" xfId="8" applyNumberFormat="1" applyFont="1" applyFill="1" applyBorder="1"/>
    <xf numFmtId="43" fontId="2" fillId="4" borderId="8" xfId="8" applyNumberFormat="1" applyFont="1" applyFill="1" applyBorder="1"/>
    <xf numFmtId="43" fontId="16" fillId="0" borderId="5" xfId="0" applyNumberFormat="1" applyFont="1" applyBorder="1" applyAlignment="1">
      <alignment horizontal="left" vertical="top"/>
    </xf>
    <xf numFmtId="43" fontId="16" fillId="0" borderId="0" xfId="2" applyNumberFormat="1" applyFont="1" applyFill="1" applyBorder="1" applyAlignment="1">
      <alignment horizontal="right" vertical="top"/>
    </xf>
    <xf numFmtId="0" fontId="12" fillId="2" borderId="18" xfId="2" applyNumberFormat="1" applyFont="1" applyFill="1" applyBorder="1" applyAlignment="1">
      <alignment horizontal="right"/>
    </xf>
    <xf numFmtId="43" fontId="6" fillId="4" borderId="5" xfId="0" applyNumberFormat="1" applyFont="1" applyFill="1" applyBorder="1" applyAlignment="1">
      <alignment horizontal="left" wrapText="1"/>
    </xf>
    <xf numFmtId="43" fontId="6" fillId="4" borderId="7" xfId="0" applyNumberFormat="1" applyFont="1" applyFill="1" applyBorder="1" applyAlignment="1">
      <alignment horizontal="left" wrapText="1"/>
    </xf>
    <xf numFmtId="43" fontId="2" fillId="0" borderId="0" xfId="0" applyNumberFormat="1" applyFont="1" applyBorder="1" applyAlignment="1">
      <alignment horizontal="left"/>
    </xf>
    <xf numFmtId="43" fontId="2" fillId="0" borderId="6" xfId="0" applyNumberFormat="1" applyFont="1" applyBorder="1" applyAlignment="1">
      <alignment horizontal="left"/>
    </xf>
    <xf numFmtId="43" fontId="7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left"/>
    </xf>
    <xf numFmtId="169" fontId="2" fillId="0" borderId="6" xfId="0" applyNumberFormat="1" applyFont="1" applyBorder="1" applyAlignment="1">
      <alignment horizontal="left"/>
    </xf>
    <xf numFmtId="169" fontId="7" fillId="0" borderId="0" xfId="0" applyNumberFormat="1" applyFont="1" applyBorder="1" applyAlignment="1">
      <alignment horizontal="left"/>
    </xf>
    <xf numFmtId="169" fontId="7" fillId="0" borderId="6" xfId="0" applyNumberFormat="1" applyFont="1" applyBorder="1" applyAlignment="1">
      <alignment horizontal="left"/>
    </xf>
    <xf numFmtId="169" fontId="7" fillId="0" borderId="0" xfId="2" applyNumberFormat="1" applyFont="1" applyBorder="1" applyAlignment="1">
      <alignment horizontal="left"/>
    </xf>
    <xf numFmtId="169" fontId="2" fillId="0" borderId="0" xfId="2" applyNumberFormat="1" applyFont="1" applyBorder="1" applyAlignment="1">
      <alignment horizontal="left"/>
    </xf>
    <xf numFmtId="169" fontId="2" fillId="0" borderId="6" xfId="2" applyNumberFormat="1" applyFont="1" applyBorder="1" applyAlignment="1">
      <alignment horizontal="left"/>
    </xf>
    <xf numFmtId="169" fontId="2" fillId="0" borderId="9" xfId="0" applyNumberFormat="1" applyFont="1" applyBorder="1" applyAlignment="1">
      <alignment horizontal="left"/>
    </xf>
    <xf numFmtId="169" fontId="2" fillId="0" borderId="8" xfId="0" applyNumberFormat="1" applyFont="1" applyBorder="1" applyAlignment="1">
      <alignment horizontal="left"/>
    </xf>
    <xf numFmtId="169" fontId="7" fillId="4" borderId="0" xfId="2" applyNumberFormat="1" applyFont="1" applyFill="1" applyBorder="1" applyAlignment="1">
      <alignment horizontal="left"/>
    </xf>
    <xf numFmtId="169" fontId="6" fillId="0" borderId="0" xfId="0" applyNumberFormat="1" applyFont="1" applyBorder="1" applyAlignment="1">
      <alignment horizontal="left"/>
    </xf>
    <xf numFmtId="169" fontId="6" fillId="0" borderId="6" xfId="0" applyNumberFormat="1" applyFont="1" applyBorder="1" applyAlignment="1">
      <alignment horizontal="left"/>
    </xf>
    <xf numFmtId="169" fontId="6" fillId="4" borderId="0" xfId="2" applyNumberFormat="1" applyFont="1" applyFill="1" applyBorder="1" applyAlignment="1">
      <alignment horizontal="left"/>
    </xf>
    <xf numFmtId="169" fontId="6" fillId="4" borderId="6" xfId="2" applyNumberFormat="1" applyFont="1" applyFill="1" applyBorder="1" applyAlignment="1">
      <alignment horizontal="left"/>
    </xf>
    <xf numFmtId="169" fontId="7" fillId="4" borderId="2" xfId="2" applyNumberFormat="1" applyFont="1" applyFill="1" applyBorder="1" applyAlignment="1">
      <alignment horizontal="left"/>
    </xf>
    <xf numFmtId="169" fontId="6" fillId="0" borderId="2" xfId="0" applyNumberFormat="1" applyFont="1" applyBorder="1" applyAlignment="1">
      <alignment horizontal="left"/>
    </xf>
    <xf numFmtId="169" fontId="6" fillId="0" borderId="20" xfId="0" applyNumberFormat="1" applyFont="1" applyBorder="1" applyAlignment="1">
      <alignment horizontal="left"/>
    </xf>
    <xf numFmtId="174" fontId="7" fillId="0" borderId="0" xfId="0" applyNumberFormat="1" applyFont="1" applyBorder="1" applyAlignment="1">
      <alignment horizontal="left"/>
    </xf>
    <xf numFmtId="174" fontId="2" fillId="0" borderId="0" xfId="0" applyNumberFormat="1" applyFont="1" applyBorder="1" applyAlignment="1">
      <alignment horizontal="left"/>
    </xf>
    <xf numFmtId="174" fontId="2" fillId="0" borderId="6" xfId="0" applyNumberFormat="1" applyFont="1" applyBorder="1" applyAlignment="1">
      <alignment horizontal="left"/>
    </xf>
    <xf numFmtId="174" fontId="2" fillId="0" borderId="0" xfId="2" applyNumberFormat="1" applyFont="1" applyBorder="1" applyAlignment="1">
      <alignment horizontal="left"/>
    </xf>
    <xf numFmtId="174" fontId="2" fillId="0" borderId="6" xfId="2" applyNumberFormat="1" applyFont="1" applyBorder="1" applyAlignment="1">
      <alignment horizontal="left"/>
    </xf>
    <xf numFmtId="174" fontId="14" fillId="0" borderId="13" xfId="0" applyNumberFormat="1" applyFont="1" applyFill="1" applyBorder="1" applyAlignment="1">
      <alignment horizontal="left" vertical="top"/>
    </xf>
    <xf numFmtId="174" fontId="14" fillId="0" borderId="15" xfId="0" applyNumberFormat="1" applyFont="1" applyFill="1" applyBorder="1" applyAlignment="1">
      <alignment horizontal="left" vertical="top"/>
    </xf>
    <xf numFmtId="174" fontId="2" fillId="0" borderId="9" xfId="0" applyNumberFormat="1" applyFont="1" applyBorder="1" applyAlignment="1">
      <alignment horizontal="left"/>
    </xf>
    <xf numFmtId="174" fontId="2" fillId="0" borderId="9" xfId="1" applyNumberFormat="1" applyFont="1" applyBorder="1" applyAlignment="1">
      <alignment horizontal="left"/>
    </xf>
    <xf numFmtId="174" fontId="2" fillId="0" borderId="8" xfId="1" applyNumberFormat="1" applyFont="1" applyBorder="1" applyAlignment="1">
      <alignment horizontal="left"/>
    </xf>
    <xf numFmtId="170" fontId="3" fillId="3" borderId="2" xfId="0" applyNumberFormat="1" applyFont="1" applyFill="1" applyBorder="1" applyAlignment="1">
      <alignment horizontal="left"/>
    </xf>
    <xf numFmtId="9" fontId="7" fillId="4" borderId="6" xfId="1" applyFont="1" applyFill="1" applyBorder="1"/>
    <xf numFmtId="164" fontId="7" fillId="4" borderId="0" xfId="1" applyNumberFormat="1" applyFont="1" applyFill="1" applyBorder="1"/>
    <xf numFmtId="164" fontId="2" fillId="4" borderId="6" xfId="1" applyNumberFormat="1" applyFont="1" applyFill="1" applyBorder="1"/>
    <xf numFmtId="169" fontId="7" fillId="4" borderId="0" xfId="0" applyNumberFormat="1" applyFont="1" applyFill="1" applyBorder="1" applyAlignment="1">
      <alignment horizontal="right" wrapText="1"/>
    </xf>
    <xf numFmtId="169" fontId="7" fillId="0" borderId="0" xfId="0" applyNumberFormat="1" applyFont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169" fontId="2" fillId="0" borderId="0" xfId="0" applyNumberFormat="1" applyFont="1"/>
    <xf numFmtId="169" fontId="7" fillId="4" borderId="9" xfId="0" applyNumberFormat="1" applyFont="1" applyFill="1" applyBorder="1" applyAlignment="1">
      <alignment horizontal="right" wrapText="1"/>
    </xf>
    <xf numFmtId="169" fontId="7" fillId="4" borderId="9" xfId="1" applyNumberFormat="1" applyFont="1" applyFill="1" applyBorder="1" applyAlignment="1">
      <alignment horizontal="right" wrapText="1"/>
    </xf>
    <xf numFmtId="169" fontId="7" fillId="0" borderId="9" xfId="0" applyNumberFormat="1" applyFont="1" applyBorder="1" applyAlignment="1">
      <alignment horizontal="right" wrapText="1"/>
    </xf>
    <xf numFmtId="169" fontId="7" fillId="0" borderId="8" xfId="0" applyNumberFormat="1" applyFont="1" applyBorder="1" applyAlignment="1">
      <alignment horizontal="right" wrapText="1"/>
    </xf>
    <xf numFmtId="169" fontId="13" fillId="2" borderId="18" xfId="0" applyNumberFormat="1" applyFont="1" applyFill="1" applyBorder="1" applyAlignment="1">
      <alignment horizontal="left"/>
    </xf>
    <xf numFmtId="169" fontId="13" fillId="2" borderId="17" xfId="0" applyNumberFormat="1" applyFont="1" applyFill="1" applyBorder="1" applyAlignment="1">
      <alignment horizontal="left"/>
    </xf>
    <xf numFmtId="169" fontId="2" fillId="0" borderId="0" xfId="0" applyNumberFormat="1" applyFont="1" applyAlignment="1">
      <alignment horizontal="left"/>
    </xf>
    <xf numFmtId="169" fontId="7" fillId="4" borderId="0" xfId="0" applyNumberFormat="1" applyFont="1" applyFill="1" applyBorder="1" applyAlignment="1">
      <alignment horizontal="left"/>
    </xf>
    <xf numFmtId="169" fontId="7" fillId="4" borderId="6" xfId="0" applyNumberFormat="1" applyFont="1" applyFill="1" applyBorder="1" applyAlignment="1">
      <alignment horizontal="left"/>
    </xf>
    <xf numFmtId="169" fontId="7" fillId="4" borderId="9" xfId="0" applyNumberFormat="1" applyFont="1" applyFill="1" applyBorder="1" applyAlignment="1">
      <alignment horizontal="left"/>
    </xf>
    <xf numFmtId="169" fontId="7" fillId="4" borderId="8" xfId="0" applyNumberFormat="1" applyFont="1" applyFill="1" applyBorder="1" applyAlignment="1">
      <alignment horizontal="left"/>
    </xf>
    <xf numFmtId="165" fontId="7" fillId="0" borderId="9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165" fontId="7" fillId="0" borderId="0" xfId="2" applyNumberFormat="1" applyFont="1" applyBorder="1" applyAlignment="1">
      <alignment horizontal="left"/>
    </xf>
    <xf numFmtId="165" fontId="7" fillId="0" borderId="6" xfId="2" applyNumberFormat="1" applyFont="1" applyBorder="1" applyAlignment="1">
      <alignment horizontal="left"/>
    </xf>
    <xf numFmtId="165" fontId="6" fillId="0" borderId="9" xfId="0" applyNumberFormat="1" applyFont="1" applyBorder="1" applyAlignment="1">
      <alignment horizontal="left"/>
    </xf>
    <xf numFmtId="165" fontId="6" fillId="0" borderId="8" xfId="0" applyNumberFormat="1" applyFont="1" applyBorder="1" applyAlignment="1">
      <alignment horizontal="left"/>
    </xf>
    <xf numFmtId="0" fontId="6" fillId="0" borderId="0" xfId="0" applyFont="1" applyAlignment="1">
      <alignment vertical="center"/>
    </xf>
    <xf numFmtId="0" fontId="2" fillId="4" borderId="0" xfId="0" applyFont="1" applyFill="1" applyAlignment="1">
      <alignment horizontal="right"/>
    </xf>
    <xf numFmtId="175" fontId="5" fillId="0" borderId="0" xfId="0" applyNumberFormat="1" applyFont="1" applyAlignment="1">
      <alignment vertical="center"/>
    </xf>
    <xf numFmtId="1" fontId="16" fillId="7" borderId="28" xfId="2" applyNumberFormat="1" applyFont="1" applyFill="1" applyBorder="1" applyAlignment="1">
      <alignment horizontal="right" vertical="center"/>
    </xf>
    <xf numFmtId="1" fontId="16" fillId="7" borderId="29" xfId="0" applyNumberFormat="1" applyFont="1" applyFill="1" applyBorder="1" applyAlignment="1">
      <alignment horizontal="right" vertical="center"/>
    </xf>
    <xf numFmtId="1" fontId="16" fillId="7" borderId="30" xfId="0" applyNumberFormat="1" applyFont="1" applyFill="1" applyBorder="1" applyAlignment="1">
      <alignment horizontal="right" vertical="center"/>
    </xf>
    <xf numFmtId="175" fontId="5" fillId="0" borderId="0" xfId="0" applyNumberFormat="1" applyFont="1"/>
    <xf numFmtId="44" fontId="16" fillId="7" borderId="28" xfId="13" applyFont="1" applyFill="1" applyBorder="1" applyAlignment="1">
      <alignment horizontal="right" vertical="center"/>
    </xf>
    <xf numFmtId="44" fontId="16" fillId="7" borderId="29" xfId="13" applyFont="1" applyFill="1" applyBorder="1" applyAlignment="1">
      <alignment horizontal="right" vertical="center"/>
    </xf>
    <xf numFmtId="44" fontId="16" fillId="7" borderId="30" xfId="13" applyFont="1" applyFill="1" applyBorder="1" applyAlignment="1">
      <alignment horizontal="right" vertical="center"/>
    </xf>
    <xf numFmtId="9" fontId="16" fillId="7" borderId="28" xfId="1" applyFont="1" applyFill="1" applyBorder="1" applyAlignment="1">
      <alignment horizontal="right" vertical="center"/>
    </xf>
    <xf numFmtId="9" fontId="16" fillId="7" borderId="29" xfId="1" applyFont="1" applyFill="1" applyBorder="1" applyAlignment="1">
      <alignment horizontal="right" vertical="center"/>
    </xf>
    <xf numFmtId="9" fontId="16" fillId="7" borderId="30" xfId="1" applyFont="1" applyFill="1" applyBorder="1" applyAlignment="1">
      <alignment horizontal="right" vertical="center"/>
    </xf>
    <xf numFmtId="1" fontId="16" fillId="7" borderId="31" xfId="0" applyNumberFormat="1" applyFont="1" applyFill="1" applyBorder="1" applyAlignment="1">
      <alignment horizontal="right" vertical="center"/>
    </xf>
    <xf numFmtId="1" fontId="16" fillId="7" borderId="32" xfId="0" applyNumberFormat="1" applyFont="1" applyFill="1" applyBorder="1" applyAlignment="1">
      <alignment horizontal="right" vertical="center"/>
    </xf>
    <xf numFmtId="44" fontId="16" fillId="7" borderId="31" xfId="13" applyFont="1" applyFill="1" applyBorder="1" applyAlignment="1">
      <alignment horizontal="right" vertical="center"/>
    </xf>
    <xf numFmtId="44" fontId="16" fillId="7" borderId="32" xfId="13" applyFont="1" applyFill="1" applyBorder="1" applyAlignment="1">
      <alignment horizontal="right" vertical="center"/>
    </xf>
    <xf numFmtId="9" fontId="16" fillId="7" borderId="31" xfId="1" applyFont="1" applyFill="1" applyBorder="1" applyAlignment="1">
      <alignment horizontal="right" vertical="center"/>
    </xf>
    <xf numFmtId="9" fontId="16" fillId="7" borderId="32" xfId="1" applyFont="1" applyFill="1" applyBorder="1" applyAlignment="1">
      <alignment horizontal="right" vertical="center"/>
    </xf>
    <xf numFmtId="1" fontId="16" fillId="7" borderId="33" xfId="0" applyNumberFormat="1" applyFont="1" applyFill="1" applyBorder="1" applyAlignment="1">
      <alignment horizontal="right" vertical="center"/>
    </xf>
    <xf numFmtId="1" fontId="16" fillId="7" borderId="34" xfId="0" applyNumberFormat="1" applyFont="1" applyFill="1" applyBorder="1" applyAlignment="1">
      <alignment horizontal="right" vertical="center"/>
    </xf>
    <xf numFmtId="1" fontId="16" fillId="7" borderId="35" xfId="0" applyNumberFormat="1" applyFont="1" applyFill="1" applyBorder="1" applyAlignment="1">
      <alignment horizontal="right" vertical="center"/>
    </xf>
    <xf numFmtId="44" fontId="16" fillId="7" borderId="33" xfId="13" applyFont="1" applyFill="1" applyBorder="1" applyAlignment="1">
      <alignment horizontal="right" vertical="center"/>
    </xf>
    <xf numFmtId="44" fontId="16" fillId="7" borderId="34" xfId="13" applyFont="1" applyFill="1" applyBorder="1" applyAlignment="1">
      <alignment horizontal="right" vertical="center"/>
    </xf>
    <xf numFmtId="44" fontId="16" fillId="7" borderId="35" xfId="13" applyFont="1" applyFill="1" applyBorder="1" applyAlignment="1">
      <alignment horizontal="right" vertical="center"/>
    </xf>
    <xf numFmtId="9" fontId="16" fillId="7" borderId="33" xfId="1" applyFont="1" applyFill="1" applyBorder="1" applyAlignment="1">
      <alignment horizontal="right" vertical="center"/>
    </xf>
    <xf numFmtId="9" fontId="16" fillId="7" borderId="34" xfId="1" applyFont="1" applyFill="1" applyBorder="1" applyAlignment="1">
      <alignment horizontal="right" vertical="center"/>
    </xf>
    <xf numFmtId="9" fontId="16" fillId="7" borderId="35" xfId="1" applyFont="1" applyFill="1" applyBorder="1" applyAlignment="1">
      <alignment horizontal="right" vertical="center"/>
    </xf>
    <xf numFmtId="0" fontId="5" fillId="0" borderId="0" xfId="0" applyFont="1"/>
    <xf numFmtId="175" fontId="6" fillId="0" borderId="0" xfId="0" applyNumberFormat="1" applyFont="1"/>
    <xf numFmtId="169" fontId="12" fillId="2" borderId="9" xfId="2" applyNumberFormat="1" applyFont="1" applyFill="1" applyBorder="1" applyAlignment="1">
      <alignment horizontal="center"/>
    </xf>
    <xf numFmtId="169" fontId="6" fillId="0" borderId="0" xfId="2" applyNumberFormat="1" applyFont="1" applyAlignment="1">
      <alignment vertical="center"/>
    </xf>
    <xf numFmtId="169" fontId="12" fillId="2" borderId="18" xfId="1" applyNumberFormat="1" applyFont="1" applyFill="1" applyBorder="1" applyAlignment="1">
      <alignment horizontal="center"/>
    </xf>
    <xf numFmtId="169" fontId="12" fillId="2" borderId="18" xfId="2" applyNumberFormat="1" applyFont="1" applyFill="1" applyBorder="1" applyAlignment="1">
      <alignment horizontal="center"/>
    </xf>
    <xf numFmtId="176" fontId="5" fillId="0" borderId="0" xfId="0" applyNumberFormat="1" applyFont="1"/>
    <xf numFmtId="1" fontId="14" fillId="8" borderId="25" xfId="0" applyNumberFormat="1" applyFont="1" applyFill="1" applyBorder="1" applyAlignment="1">
      <alignment horizontal="right" vertical="center"/>
    </xf>
    <xf numFmtId="44" fontId="14" fillId="8" borderId="25" xfId="13" applyFont="1" applyFill="1" applyBorder="1" applyAlignment="1">
      <alignment horizontal="right" vertical="center"/>
    </xf>
    <xf numFmtId="9" fontId="14" fillId="8" borderId="25" xfId="1" applyFont="1" applyFill="1" applyBorder="1" applyAlignment="1">
      <alignment horizontal="right" vertical="center"/>
    </xf>
    <xf numFmtId="8" fontId="2" fillId="4" borderId="0" xfId="6" applyNumberFormat="1" applyFont="1" applyFill="1"/>
    <xf numFmtId="169" fontId="6" fillId="0" borderId="0" xfId="0" applyNumberFormat="1" applyFont="1" applyAlignment="1">
      <alignment vertical="center"/>
    </xf>
    <xf numFmtId="0" fontId="4" fillId="4" borderId="0" xfId="0" applyFont="1" applyFill="1" applyAlignment="1">
      <alignment horizontal="left"/>
    </xf>
    <xf numFmtId="0" fontId="12" fillId="2" borderId="12" xfId="0" applyFont="1" applyFill="1" applyBorder="1" applyAlignment="1">
      <alignment horizontal="center"/>
    </xf>
    <xf numFmtId="43" fontId="13" fillId="2" borderId="5" xfId="0" applyNumberFormat="1" applyFont="1" applyFill="1" applyBorder="1" applyAlignment="1">
      <alignment horizontal="center"/>
    </xf>
    <xf numFmtId="43" fontId="13" fillId="2" borderId="0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4">
    <cellStyle name="Comma" xfId="2" builtinId="3"/>
    <cellStyle name="Currency" xfId="13" builtinId="4"/>
    <cellStyle name="Currency 4 4" xfId="12"/>
    <cellStyle name="Currency 5" xfId="8"/>
    <cellStyle name="Invisible" xfId="5"/>
    <cellStyle name="Normal" xfId="0" builtinId="0"/>
    <cellStyle name="Normal 10" xfId="4"/>
    <cellStyle name="Normal 17" xfId="6"/>
    <cellStyle name="Normal 19" xfId="9"/>
    <cellStyle name="Normal 71" xfId="3"/>
    <cellStyle name="Percent" xfId="1" builtinId="5"/>
    <cellStyle name="Percent 3 2" xfId="11"/>
    <cellStyle name="Percent 4 2" xfId="10"/>
    <cellStyle name="Percent 5" xfId="7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2"/>
  <sheetViews>
    <sheetView showGridLines="0" tabSelected="1" topLeftCell="A71" zoomScale="80" zoomScaleNormal="80" workbookViewId="0">
      <selection activeCell="C87" sqref="C87"/>
    </sheetView>
  </sheetViews>
  <sheetFormatPr defaultRowHeight="12.75"/>
  <cols>
    <col min="1" max="2" width="9.140625" style="42"/>
    <col min="3" max="3" width="33.85546875" style="42" bestFit="1" customWidth="1"/>
    <col min="4" max="4" width="33.85546875" style="42" customWidth="1"/>
    <col min="5" max="5" width="17" style="42" bestFit="1" customWidth="1"/>
    <col min="6" max="6" width="20.140625" style="42" bestFit="1" customWidth="1"/>
    <col min="7" max="16384" width="9.140625" style="42"/>
  </cols>
  <sheetData>
    <row r="2" spans="3:6">
      <c r="C2" s="79" t="s">
        <v>99</v>
      </c>
    </row>
    <row r="5" spans="3:6" ht="13.5" thickBot="1"/>
    <row r="6" spans="3:6">
      <c r="C6" s="24" t="s">
        <v>0</v>
      </c>
      <c r="D6" s="25"/>
      <c r="E6" s="26">
        <v>2000000</v>
      </c>
      <c r="F6" s="27"/>
    </row>
    <row r="7" spans="3:6">
      <c r="C7" s="116" t="s">
        <v>66</v>
      </c>
      <c r="D7" s="15"/>
      <c r="E7" s="17">
        <f>+SUM(E8:E11)</f>
        <v>2120000</v>
      </c>
      <c r="F7" s="28" t="s">
        <v>79</v>
      </c>
    </row>
    <row r="8" spans="3:6">
      <c r="C8" s="7" t="s">
        <v>40</v>
      </c>
      <c r="D8" s="2"/>
      <c r="E8" s="6">
        <f>+F8*$E$6</f>
        <v>1260000</v>
      </c>
      <c r="F8" s="38">
        <v>0.63</v>
      </c>
    </row>
    <row r="9" spans="3:6">
      <c r="C9" s="7" t="s">
        <v>41</v>
      </c>
      <c r="D9" s="2"/>
      <c r="E9" s="6">
        <f>+F9*$E$6</f>
        <v>60000</v>
      </c>
      <c r="F9" s="38">
        <v>0.03</v>
      </c>
    </row>
    <row r="10" spans="3:6">
      <c r="C10" s="7" t="s">
        <v>44</v>
      </c>
      <c r="D10" s="2"/>
      <c r="E10" s="6">
        <f>+F10*$E$6</f>
        <v>540000</v>
      </c>
      <c r="F10" s="38">
        <v>0.27</v>
      </c>
    </row>
    <row r="11" spans="3:6">
      <c r="C11" s="7" t="s">
        <v>42</v>
      </c>
      <c r="D11" s="2"/>
      <c r="E11" s="6">
        <f>+F11*$E$6</f>
        <v>260000</v>
      </c>
      <c r="F11" s="38">
        <v>0.13</v>
      </c>
    </row>
    <row r="12" spans="3:6">
      <c r="C12" s="7" t="s">
        <v>43</v>
      </c>
      <c r="D12" s="2"/>
      <c r="E12" s="6">
        <f>-F12*$E$6</f>
        <v>-120000</v>
      </c>
      <c r="F12" s="38">
        <v>0.06</v>
      </c>
    </row>
    <row r="13" spans="3:6" ht="15">
      <c r="C13" s="7"/>
      <c r="D13" s="86"/>
      <c r="E13" s="6"/>
      <c r="F13" s="50"/>
    </row>
    <row r="14" spans="3:6">
      <c r="C14" s="7" t="s">
        <v>45</v>
      </c>
      <c r="D14" s="87"/>
      <c r="E14" s="6">
        <f>+F14*$E$6</f>
        <v>452000</v>
      </c>
      <c r="F14" s="38">
        <v>0.22600000000000001</v>
      </c>
    </row>
    <row r="15" spans="3:6">
      <c r="C15" s="7" t="s">
        <v>41</v>
      </c>
      <c r="D15" s="87"/>
      <c r="E15" s="6">
        <f t="shared" ref="E15:E17" si="0">+F15*$E$6</f>
        <v>26000</v>
      </c>
      <c r="F15" s="38">
        <v>1.2999999999999999E-2</v>
      </c>
    </row>
    <row r="16" spans="3:6">
      <c r="C16" s="7" t="s">
        <v>44</v>
      </c>
      <c r="D16" s="87"/>
      <c r="E16" s="6">
        <f t="shared" si="0"/>
        <v>100000</v>
      </c>
      <c r="F16" s="38">
        <v>0.05</v>
      </c>
    </row>
    <row r="17" spans="3:7">
      <c r="C17" s="30" t="s">
        <v>42</v>
      </c>
      <c r="D17" s="87"/>
      <c r="E17" s="6">
        <f t="shared" si="0"/>
        <v>60000</v>
      </c>
      <c r="F17" s="38">
        <v>0.03</v>
      </c>
    </row>
    <row r="18" spans="3:7">
      <c r="C18" s="7" t="s">
        <v>46</v>
      </c>
      <c r="D18" s="2"/>
      <c r="E18" s="88">
        <f>F18*$E$6</f>
        <v>40000</v>
      </c>
      <c r="F18" s="38">
        <v>0.02</v>
      </c>
    </row>
    <row r="19" spans="3:7">
      <c r="C19" s="7" t="s">
        <v>47</v>
      </c>
      <c r="D19" s="2"/>
      <c r="E19" s="6">
        <f>F19*$E$6</f>
        <v>20000</v>
      </c>
      <c r="F19" s="38">
        <v>0.01</v>
      </c>
    </row>
    <row r="20" spans="3:7">
      <c r="C20" s="7"/>
      <c r="D20" s="2"/>
      <c r="E20" s="6">
        <f>SUM(E14:E19)</f>
        <v>698000</v>
      </c>
      <c r="F20" s="39">
        <f>+E20/E6</f>
        <v>0.34899999999999998</v>
      </c>
      <c r="G20" s="64"/>
    </row>
    <row r="21" spans="3:7">
      <c r="C21" s="7"/>
      <c r="D21" s="80"/>
      <c r="E21" s="81"/>
      <c r="F21" s="50"/>
    </row>
    <row r="22" spans="3:7">
      <c r="C22" s="31" t="s">
        <v>5</v>
      </c>
      <c r="D22" s="13"/>
      <c r="E22" s="5">
        <f>+E6-E20</f>
        <v>1302000</v>
      </c>
      <c r="F22" s="32"/>
    </row>
    <row r="23" spans="3:7">
      <c r="C23" s="116" t="s">
        <v>6</v>
      </c>
      <c r="D23" s="14"/>
      <c r="E23" s="1">
        <f>+E22/E6</f>
        <v>0.65100000000000002</v>
      </c>
      <c r="F23" s="33"/>
    </row>
    <row r="24" spans="3:7">
      <c r="C24" s="34"/>
      <c r="D24" s="12"/>
      <c r="E24" s="3"/>
      <c r="F24" s="29"/>
    </row>
    <row r="25" spans="3:7">
      <c r="C25" s="47" t="s">
        <v>48</v>
      </c>
      <c r="D25" s="2"/>
      <c r="E25" s="6">
        <f t="shared" ref="E25:E30" si="1">F25*$E$6</f>
        <v>200000</v>
      </c>
      <c r="F25" s="38">
        <v>0.1</v>
      </c>
    </row>
    <row r="26" spans="3:7">
      <c r="C26" s="47" t="s">
        <v>49</v>
      </c>
      <c r="D26" s="2"/>
      <c r="E26" s="6">
        <f t="shared" si="1"/>
        <v>200000</v>
      </c>
      <c r="F26" s="38">
        <v>0.1</v>
      </c>
    </row>
    <row r="27" spans="3:7">
      <c r="C27" s="47" t="s">
        <v>50</v>
      </c>
      <c r="D27" s="2"/>
      <c r="E27" s="6">
        <f t="shared" si="1"/>
        <v>40000</v>
      </c>
      <c r="F27" s="38">
        <v>0.02</v>
      </c>
    </row>
    <row r="28" spans="3:7">
      <c r="C28" s="47" t="s">
        <v>51</v>
      </c>
      <c r="D28" s="2"/>
      <c r="E28" s="6">
        <f t="shared" si="1"/>
        <v>12000</v>
      </c>
      <c r="F28" s="38">
        <v>6.0000000000000001E-3</v>
      </c>
    </row>
    <row r="29" spans="3:7">
      <c r="C29" s="47" t="s">
        <v>52</v>
      </c>
      <c r="D29" s="2"/>
      <c r="E29" s="6">
        <f t="shared" si="1"/>
        <v>10000</v>
      </c>
      <c r="F29" s="38">
        <v>5.0000000000000001E-3</v>
      </c>
    </row>
    <row r="30" spans="3:7">
      <c r="C30" s="47" t="s">
        <v>53</v>
      </c>
      <c r="D30" s="2"/>
      <c r="E30" s="6">
        <f t="shared" si="1"/>
        <v>16000</v>
      </c>
      <c r="F30" s="38">
        <v>8.0000000000000002E-3</v>
      </c>
    </row>
    <row r="31" spans="3:7">
      <c r="C31" s="82" t="s">
        <v>54</v>
      </c>
      <c r="D31" s="83"/>
      <c r="E31" s="16">
        <f>SUM(E25:E30)</f>
        <v>478000</v>
      </c>
      <c r="F31" s="84">
        <f>+E31/$E$6</f>
        <v>0.23899999999999999</v>
      </c>
    </row>
    <row r="32" spans="3:7">
      <c r="C32" s="7"/>
      <c r="D32" s="12"/>
      <c r="E32" s="6"/>
      <c r="F32" s="10"/>
    </row>
    <row r="33" spans="3:6">
      <c r="C33" s="7" t="s">
        <v>8</v>
      </c>
      <c r="D33" s="12"/>
      <c r="E33" s="6"/>
      <c r="F33" s="10"/>
    </row>
    <row r="34" spans="3:6">
      <c r="C34" s="7" t="s">
        <v>142</v>
      </c>
      <c r="D34" s="2"/>
      <c r="E34" s="6">
        <f>F34*$E$6</f>
        <v>60000</v>
      </c>
      <c r="F34" s="38">
        <v>0.03</v>
      </c>
    </row>
    <row r="35" spans="3:6">
      <c r="C35" s="7" t="s">
        <v>55</v>
      </c>
      <c r="D35" s="2"/>
      <c r="E35" s="6">
        <f>F35*$E$6</f>
        <v>10000</v>
      </c>
      <c r="F35" s="38">
        <v>5.0000000000000001E-3</v>
      </c>
    </row>
    <row r="36" spans="3:6">
      <c r="C36" s="82" t="s">
        <v>111</v>
      </c>
      <c r="D36" s="83"/>
      <c r="E36" s="16">
        <f>SUM(E34:E35)</f>
        <v>70000</v>
      </c>
      <c r="F36" s="84">
        <f>+E36/$E$6</f>
        <v>3.5000000000000003E-2</v>
      </c>
    </row>
    <row r="37" spans="3:6">
      <c r="C37" s="7"/>
      <c r="D37" s="12"/>
      <c r="E37" s="6"/>
      <c r="F37" s="10"/>
    </row>
    <row r="38" spans="3:6">
      <c r="C38" s="9" t="s">
        <v>143</v>
      </c>
      <c r="D38" s="12"/>
      <c r="E38" s="6"/>
      <c r="F38" s="10"/>
    </row>
    <row r="39" spans="3:6">
      <c r="C39" s="7" t="s">
        <v>56</v>
      </c>
      <c r="D39" s="2"/>
      <c r="E39" s="6">
        <f t="shared" ref="E39:E53" si="2">F39*$E$6</f>
        <v>160000</v>
      </c>
      <c r="F39" s="38">
        <v>0.08</v>
      </c>
    </row>
    <row r="40" spans="3:6">
      <c r="C40" s="7" t="s">
        <v>144</v>
      </c>
      <c r="D40" s="2"/>
      <c r="E40" s="6">
        <f t="shared" si="2"/>
        <v>20000</v>
      </c>
      <c r="F40" s="38">
        <v>0.01</v>
      </c>
    </row>
    <row r="41" spans="3:6">
      <c r="C41" s="7" t="s">
        <v>57</v>
      </c>
      <c r="D41" s="2"/>
      <c r="E41" s="6">
        <f t="shared" si="2"/>
        <v>38000</v>
      </c>
      <c r="F41" s="38">
        <v>1.9E-2</v>
      </c>
    </row>
    <row r="42" spans="3:6">
      <c r="C42" s="7" t="s">
        <v>162</v>
      </c>
      <c r="D42" s="2"/>
      <c r="E42" s="6">
        <f t="shared" si="2"/>
        <v>10000</v>
      </c>
      <c r="F42" s="38">
        <v>5.0000000000000001E-3</v>
      </c>
    </row>
    <row r="43" spans="3:6">
      <c r="C43" s="7" t="s">
        <v>58</v>
      </c>
      <c r="D43" s="2"/>
      <c r="E43" s="6">
        <f t="shared" si="2"/>
        <v>20000</v>
      </c>
      <c r="F43" s="38">
        <v>0.01</v>
      </c>
    </row>
    <row r="44" spans="3:6">
      <c r="C44" s="7" t="s">
        <v>145</v>
      </c>
      <c r="D44" s="2"/>
      <c r="E44" s="6">
        <f t="shared" si="2"/>
        <v>46000</v>
      </c>
      <c r="F44" s="38">
        <v>2.3E-2</v>
      </c>
    </row>
    <row r="45" spans="3:6">
      <c r="C45" s="7" t="s">
        <v>59</v>
      </c>
      <c r="D45" s="2"/>
      <c r="E45" s="6">
        <f t="shared" si="2"/>
        <v>6000</v>
      </c>
      <c r="F45" s="38">
        <v>3.0000000000000001E-3</v>
      </c>
    </row>
    <row r="46" spans="3:6">
      <c r="C46" s="7" t="s">
        <v>149</v>
      </c>
      <c r="D46" s="2"/>
      <c r="E46" s="6">
        <f t="shared" si="2"/>
        <v>40000</v>
      </c>
      <c r="F46" s="38">
        <v>0.02</v>
      </c>
    </row>
    <row r="47" spans="3:6">
      <c r="C47" s="7" t="s">
        <v>78</v>
      </c>
      <c r="D47" s="2"/>
      <c r="E47" s="6">
        <f t="shared" si="2"/>
        <v>60000</v>
      </c>
      <c r="F47" s="38">
        <v>0.03</v>
      </c>
    </row>
    <row r="48" spans="3:6">
      <c r="C48" s="7" t="s">
        <v>60</v>
      </c>
      <c r="D48" s="2"/>
      <c r="E48" s="6">
        <f t="shared" si="2"/>
        <v>40000</v>
      </c>
      <c r="F48" s="38">
        <v>0.02</v>
      </c>
    </row>
    <row r="49" spans="3:6">
      <c r="C49" s="7" t="s">
        <v>61</v>
      </c>
      <c r="D49" s="2"/>
      <c r="E49" s="6">
        <f t="shared" si="2"/>
        <v>14000</v>
      </c>
      <c r="F49" s="38">
        <v>7.0000000000000001E-3</v>
      </c>
    </row>
    <row r="50" spans="3:6">
      <c r="C50" s="7" t="s">
        <v>62</v>
      </c>
      <c r="D50" s="2"/>
      <c r="E50" s="6">
        <f t="shared" si="2"/>
        <v>22000</v>
      </c>
      <c r="F50" s="38">
        <v>1.0999999999999999E-2</v>
      </c>
    </row>
    <row r="51" spans="3:6">
      <c r="C51" s="7" t="s">
        <v>146</v>
      </c>
      <c r="D51" s="2"/>
      <c r="E51" s="6">
        <f t="shared" si="2"/>
        <v>20000</v>
      </c>
      <c r="F51" s="38">
        <v>0.01</v>
      </c>
    </row>
    <row r="52" spans="3:6">
      <c r="C52" s="7" t="s">
        <v>36</v>
      </c>
      <c r="D52" s="2"/>
      <c r="E52" s="6">
        <f t="shared" si="2"/>
        <v>40000</v>
      </c>
      <c r="F52" s="38">
        <v>0.02</v>
      </c>
    </row>
    <row r="53" spans="3:6">
      <c r="C53" s="7" t="s">
        <v>63</v>
      </c>
      <c r="D53" s="2"/>
      <c r="E53" s="6">
        <f t="shared" si="2"/>
        <v>44000</v>
      </c>
      <c r="F53" s="38">
        <v>2.1999999999999999E-2</v>
      </c>
    </row>
    <row r="54" spans="3:6">
      <c r="C54" s="82" t="s">
        <v>151</v>
      </c>
      <c r="D54" s="83"/>
      <c r="E54" s="16">
        <f>SUM(E39:E53)</f>
        <v>580000</v>
      </c>
      <c r="F54" s="84">
        <f>+E54/$E$6</f>
        <v>0.28999999999999998</v>
      </c>
    </row>
    <row r="55" spans="3:6">
      <c r="C55" s="7"/>
      <c r="D55" s="12"/>
      <c r="E55" s="2"/>
      <c r="F55" s="50"/>
    </row>
    <row r="56" spans="3:6">
      <c r="C56" s="9" t="s">
        <v>109</v>
      </c>
      <c r="D56" s="12"/>
      <c r="E56" s="6"/>
      <c r="F56" s="10"/>
    </row>
    <row r="57" spans="3:6">
      <c r="C57" s="7" t="s">
        <v>67</v>
      </c>
      <c r="D57" s="2"/>
      <c r="E57" s="6">
        <f>+F57*$E$7</f>
        <v>84800</v>
      </c>
      <c r="F57" s="40">
        <v>0.04</v>
      </c>
    </row>
    <row r="58" spans="3:6">
      <c r="C58" s="7" t="s">
        <v>147</v>
      </c>
      <c r="D58" s="2"/>
      <c r="E58" s="6">
        <f>+F58*$E$7</f>
        <v>68900</v>
      </c>
      <c r="F58" s="40">
        <v>3.2500000000000001E-2</v>
      </c>
    </row>
    <row r="59" spans="3:6">
      <c r="C59" s="7" t="s">
        <v>148</v>
      </c>
      <c r="D59" s="2"/>
      <c r="E59" s="6">
        <f>+F59*$E$7</f>
        <v>10600</v>
      </c>
      <c r="F59" s="40">
        <v>5.0000000000000001E-3</v>
      </c>
    </row>
    <row r="60" spans="3:6">
      <c r="C60" s="35" t="s">
        <v>68</v>
      </c>
      <c r="D60" s="2"/>
      <c r="E60" s="6">
        <f>3500/5</f>
        <v>700</v>
      </c>
      <c r="F60" s="40"/>
    </row>
    <row r="61" spans="3:6">
      <c r="C61" s="7" t="s">
        <v>69</v>
      </c>
      <c r="D61" s="2"/>
      <c r="E61" s="4">
        <v>1500</v>
      </c>
      <c r="F61" s="40"/>
    </row>
    <row r="62" spans="3:6">
      <c r="C62" s="7" t="s">
        <v>65</v>
      </c>
      <c r="D62" s="2"/>
      <c r="E62" s="4">
        <v>200</v>
      </c>
      <c r="F62" s="40"/>
    </row>
    <row r="63" spans="3:6">
      <c r="C63" s="7" t="s">
        <v>117</v>
      </c>
      <c r="D63" s="2"/>
      <c r="E63" s="4">
        <v>50</v>
      </c>
      <c r="F63" s="40"/>
    </row>
    <row r="64" spans="3:6">
      <c r="C64" s="7" t="s">
        <v>70</v>
      </c>
      <c r="D64" s="2"/>
      <c r="E64" s="6">
        <f>+F64*0.1*E14</f>
        <v>1130.0000000000002</v>
      </c>
      <c r="F64" s="40">
        <v>2.5000000000000001E-2</v>
      </c>
    </row>
    <row r="65" spans="2:6">
      <c r="B65" s="2"/>
      <c r="C65" s="35" t="s">
        <v>71</v>
      </c>
      <c r="D65" s="2"/>
      <c r="E65" s="4">
        <v>1500</v>
      </c>
      <c r="F65" s="10"/>
    </row>
    <row r="66" spans="2:6">
      <c r="C66" s="7" t="s">
        <v>150</v>
      </c>
      <c r="D66" s="2"/>
      <c r="E66" s="4">
        <v>825</v>
      </c>
      <c r="F66" s="10"/>
    </row>
    <row r="67" spans="2:6">
      <c r="C67" s="7" t="s">
        <v>72</v>
      </c>
      <c r="D67" s="2"/>
      <c r="E67" s="4">
        <v>1000</v>
      </c>
      <c r="F67" s="10"/>
    </row>
    <row r="68" spans="2:6">
      <c r="C68" s="7" t="s">
        <v>118</v>
      </c>
      <c r="D68" s="2"/>
      <c r="E68" s="4">
        <v>750</v>
      </c>
      <c r="F68" s="10"/>
    </row>
    <row r="69" spans="2:6">
      <c r="C69" s="7" t="s">
        <v>73</v>
      </c>
      <c r="D69" s="2"/>
      <c r="E69" s="4">
        <v>245</v>
      </c>
      <c r="F69" s="10"/>
    </row>
    <row r="70" spans="2:6">
      <c r="C70" s="7" t="s">
        <v>119</v>
      </c>
      <c r="D70" s="2"/>
      <c r="E70" s="4">
        <v>260</v>
      </c>
      <c r="F70" s="10"/>
    </row>
    <row r="71" spans="2:6">
      <c r="C71" s="7" t="s">
        <v>74</v>
      </c>
      <c r="D71" s="2"/>
      <c r="E71" s="4">
        <v>150</v>
      </c>
      <c r="F71" s="10"/>
    </row>
    <row r="72" spans="2:6">
      <c r="C72" s="7" t="s">
        <v>120</v>
      </c>
      <c r="D72" s="2"/>
      <c r="E72" s="4">
        <v>522</v>
      </c>
      <c r="F72" s="10"/>
    </row>
    <row r="73" spans="2:6">
      <c r="C73" s="7" t="s">
        <v>75</v>
      </c>
      <c r="D73" s="2"/>
      <c r="E73" s="4">
        <v>100</v>
      </c>
      <c r="F73" s="10"/>
    </row>
    <row r="74" spans="2:6">
      <c r="C74" s="82" t="s">
        <v>156</v>
      </c>
      <c r="D74" s="83"/>
      <c r="E74" s="16">
        <f>SUM(E57:E73)</f>
        <v>173232</v>
      </c>
      <c r="F74" s="84">
        <f>+E74/E6</f>
        <v>8.6615999999999999E-2</v>
      </c>
    </row>
    <row r="75" spans="2:6">
      <c r="C75" s="7"/>
      <c r="D75" s="2"/>
      <c r="E75" s="6"/>
      <c r="F75" s="50"/>
    </row>
    <row r="76" spans="2:6">
      <c r="C76" s="7"/>
      <c r="D76" s="2"/>
      <c r="E76" s="2"/>
      <c r="F76" s="50"/>
    </row>
    <row r="77" spans="2:6">
      <c r="C77" s="31" t="s">
        <v>64</v>
      </c>
      <c r="D77" s="11"/>
      <c r="E77" s="5">
        <f>E6-(+E54+E36+E31+E20)-E74</f>
        <v>768</v>
      </c>
      <c r="F77" s="85">
        <f>+E77/E6</f>
        <v>3.8400000000000001E-4</v>
      </c>
    </row>
    <row r="78" spans="2:6">
      <c r="C78" s="116" t="s">
        <v>110</v>
      </c>
      <c r="D78" s="14">
        <v>0.36</v>
      </c>
      <c r="E78" s="17">
        <f>+E77*(1-D78)</f>
        <v>491.52</v>
      </c>
      <c r="F78" s="33"/>
    </row>
    <row r="79" spans="2:6">
      <c r="C79" s="134" t="s">
        <v>77</v>
      </c>
      <c r="D79" s="21"/>
      <c r="E79" s="22">
        <f>+E77-E78</f>
        <v>276.48</v>
      </c>
      <c r="F79" s="36"/>
    </row>
    <row r="80" spans="2:6">
      <c r="C80" s="117"/>
      <c r="D80" s="21"/>
      <c r="E80" s="22"/>
      <c r="F80" s="36"/>
    </row>
    <row r="81" spans="3:6">
      <c r="C81" s="31" t="s">
        <v>4</v>
      </c>
      <c r="D81" s="5"/>
      <c r="E81" s="20">
        <f>+E77+E52+E47</f>
        <v>100768</v>
      </c>
      <c r="F81" s="32"/>
    </row>
    <row r="82" spans="3:6">
      <c r="C82" s="116" t="s">
        <v>112</v>
      </c>
      <c r="D82" s="1"/>
      <c r="E82" s="18">
        <f>+E39</f>
        <v>160000</v>
      </c>
      <c r="F82" s="33"/>
    </row>
    <row r="83" spans="3:6">
      <c r="C83" s="7"/>
      <c r="D83" s="4"/>
      <c r="E83" s="23">
        <f>+E82/E6</f>
        <v>0.08</v>
      </c>
      <c r="F83" s="29"/>
    </row>
    <row r="84" spans="3:6">
      <c r="C84" s="31" t="s">
        <v>27</v>
      </c>
      <c r="D84" s="5"/>
      <c r="E84" s="19">
        <v>30000</v>
      </c>
      <c r="F84" s="32"/>
    </row>
    <row r="85" spans="3:6">
      <c r="C85" s="7" t="s">
        <v>121</v>
      </c>
      <c r="D85" s="2"/>
      <c r="E85" s="81">
        <f>+E47</f>
        <v>60000</v>
      </c>
      <c r="F85" s="50"/>
    </row>
    <row r="86" spans="3:6">
      <c r="C86" s="135" t="s">
        <v>76</v>
      </c>
      <c r="D86" s="1"/>
      <c r="E86" s="232">
        <f>+E79+E85-E84</f>
        <v>30276.480000000003</v>
      </c>
      <c r="F86" s="33"/>
    </row>
    <row r="87" spans="3:6" ht="13.5" thickBot="1">
      <c r="C87" s="37"/>
      <c r="D87" s="51"/>
      <c r="E87" s="51"/>
      <c r="F87" s="52"/>
    </row>
    <row r="88" spans="3:6">
      <c r="C88" s="4"/>
    </row>
    <row r="89" spans="3:6">
      <c r="C89" s="8"/>
    </row>
    <row r="90" spans="3:6">
      <c r="C90" s="2"/>
      <c r="D90" s="2"/>
      <c r="E90" s="4"/>
      <c r="F90" s="4"/>
    </row>
    <row r="91" spans="3:6">
      <c r="C91" s="2"/>
      <c r="D91" s="2"/>
      <c r="E91" s="6"/>
      <c r="F91" s="6"/>
    </row>
    <row r="92" spans="3:6">
      <c r="C92" s="2"/>
      <c r="D92" s="2"/>
      <c r="E92" s="3"/>
      <c r="F9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9"/>
  <sheetViews>
    <sheetView showGridLines="0" zoomScaleNormal="100" workbookViewId="0">
      <selection activeCell="F18" sqref="F18"/>
    </sheetView>
  </sheetViews>
  <sheetFormatPr defaultRowHeight="12.75"/>
  <cols>
    <col min="1" max="1" width="3.140625" style="41" customWidth="1"/>
    <col min="2" max="2" width="17.5703125" style="41" customWidth="1"/>
    <col min="3" max="3" width="35.42578125" style="42" customWidth="1"/>
    <col min="4" max="4" width="10.42578125" style="42" bestFit="1" customWidth="1"/>
    <col min="5" max="6" width="9.85546875" style="42" customWidth="1"/>
    <col min="7" max="11" width="9.140625" style="42" customWidth="1"/>
    <col min="12" max="12" width="9.140625" style="42"/>
    <col min="13" max="13" width="9" style="42" bestFit="1" customWidth="1"/>
    <col min="14" max="16384" width="9.140625" style="42"/>
  </cols>
  <sheetData>
    <row r="1" spans="1:12">
      <c r="A1" s="42"/>
      <c r="B1" s="42"/>
    </row>
    <row r="2" spans="1:12">
      <c r="D2" s="43"/>
      <c r="J2" s="43"/>
      <c r="K2" s="43"/>
    </row>
    <row r="3" spans="1:12">
      <c r="D3" s="43"/>
      <c r="J3" s="43"/>
      <c r="K3" s="43"/>
    </row>
    <row r="4" spans="1:12">
      <c r="A4" s="42"/>
      <c r="B4" s="42"/>
    </row>
    <row r="5" spans="1:12">
      <c r="A5" s="44"/>
      <c r="B5" s="44"/>
      <c r="C5" s="67" t="s">
        <v>126</v>
      </c>
      <c r="D5" s="298" t="s">
        <v>3</v>
      </c>
      <c r="E5" s="298"/>
      <c r="F5" s="68"/>
      <c r="G5" s="298" t="s">
        <v>11</v>
      </c>
      <c r="H5" s="298"/>
      <c r="I5" s="298"/>
      <c r="J5" s="298"/>
      <c r="K5" s="298"/>
    </row>
    <row r="6" spans="1:12" ht="13.5" thickBot="1">
      <c r="A6" s="46"/>
      <c r="B6" s="46"/>
      <c r="C6" s="69" t="s">
        <v>127</v>
      </c>
      <c r="D6" s="70">
        <v>42369</v>
      </c>
      <c r="E6" s="70">
        <v>42735</v>
      </c>
      <c r="F6" s="70"/>
      <c r="G6" s="70">
        <v>43100</v>
      </c>
      <c r="H6" s="70">
        <v>43465</v>
      </c>
      <c r="I6" s="70">
        <v>43830</v>
      </c>
      <c r="J6" s="70">
        <v>44196</v>
      </c>
      <c r="K6" s="70">
        <v>44561</v>
      </c>
    </row>
    <row r="7" spans="1:12">
      <c r="A7" s="49"/>
      <c r="B7" s="49"/>
      <c r="D7" s="74"/>
      <c r="E7" s="99"/>
      <c r="F7" s="74"/>
      <c r="G7" s="99"/>
      <c r="H7" s="99"/>
      <c r="I7" s="99"/>
      <c r="J7" s="99"/>
      <c r="K7" s="99"/>
    </row>
    <row r="8" spans="1:12">
      <c r="A8" s="42"/>
      <c r="B8" s="42"/>
      <c r="C8" s="61" t="s">
        <v>98</v>
      </c>
      <c r="D8" s="56">
        <v>293.53384819483449</v>
      </c>
      <c r="E8" s="56">
        <v>284.77966632639709</v>
      </c>
      <c r="F8" s="100"/>
      <c r="G8" s="100">
        <f>+Assumptions!E43</f>
        <v>284.77966632639709</v>
      </c>
      <c r="H8" s="100">
        <f>+Assumptions!F43</f>
        <v>256.79893403178761</v>
      </c>
      <c r="I8" s="100">
        <f>+Assumptions!G43</f>
        <v>249.55118544693104</v>
      </c>
      <c r="J8" s="100">
        <f>+Assumptions!H43</f>
        <v>244.39516921868866</v>
      </c>
      <c r="K8" s="100">
        <f>+Assumptions!I43</f>
        <v>239.23915299044631</v>
      </c>
    </row>
    <row r="9" spans="1:12">
      <c r="A9" s="42"/>
      <c r="B9" s="42"/>
      <c r="C9" s="97" t="s">
        <v>32</v>
      </c>
      <c r="D9" s="101">
        <v>201.16715180516553</v>
      </c>
      <c r="E9" s="101">
        <v>207.68433367360291</v>
      </c>
      <c r="F9" s="102"/>
      <c r="G9" s="102">
        <f>+E9*1.02</f>
        <v>211.83802034707497</v>
      </c>
      <c r="H9" s="102">
        <f>+G9*1.02</f>
        <v>216.07478075401647</v>
      </c>
      <c r="I9" s="102">
        <f>+H9</f>
        <v>216.07478075401647</v>
      </c>
      <c r="J9" s="102">
        <f>+I9</f>
        <v>216.07478075401647</v>
      </c>
      <c r="K9" s="102">
        <f>+J9</f>
        <v>216.07478075401647</v>
      </c>
    </row>
    <row r="10" spans="1:12">
      <c r="A10" s="42"/>
      <c r="B10" s="42"/>
      <c r="C10" s="98" t="s">
        <v>95</v>
      </c>
      <c r="D10" s="103">
        <v>494.70100000000002</v>
      </c>
      <c r="E10" s="103">
        <v>492.464</v>
      </c>
      <c r="F10" s="103"/>
      <c r="G10" s="103">
        <f>SUM(G8:G9)</f>
        <v>496.61768667347206</v>
      </c>
      <c r="H10" s="103">
        <f>SUM(H8:H9)</f>
        <v>472.87371478580405</v>
      </c>
      <c r="I10" s="103">
        <f>SUM(I8:I9)</f>
        <v>465.62596620094752</v>
      </c>
      <c r="J10" s="103">
        <f>SUM(J8:J9)</f>
        <v>460.46994997270514</v>
      </c>
      <c r="K10" s="103">
        <f>SUM(K8:K9)</f>
        <v>455.31393374446282</v>
      </c>
    </row>
    <row r="11" spans="1:12">
      <c r="A11" s="42"/>
      <c r="B11" s="42"/>
      <c r="C11" s="61"/>
      <c r="D11" s="100"/>
      <c r="E11" s="100"/>
      <c r="F11" s="100"/>
      <c r="G11" s="100"/>
      <c r="H11" s="100"/>
      <c r="I11" s="100"/>
      <c r="J11" s="100"/>
      <c r="K11" s="100"/>
    </row>
    <row r="12" spans="1:12">
      <c r="A12" s="42"/>
      <c r="B12" s="42"/>
      <c r="C12" s="98" t="s">
        <v>130</v>
      </c>
      <c r="D12" s="56">
        <v>47.904999999999973</v>
      </c>
      <c r="E12" s="56">
        <v>9.2810000000000059</v>
      </c>
      <c r="F12" s="103"/>
      <c r="G12" s="103">
        <f>+E12</f>
        <v>9.2810000000000059</v>
      </c>
      <c r="H12" s="103">
        <f>+G12</f>
        <v>9.2810000000000059</v>
      </c>
      <c r="I12" s="103">
        <f t="shared" ref="I12:K12" si="0">+H12</f>
        <v>9.2810000000000059</v>
      </c>
      <c r="J12" s="103">
        <f t="shared" si="0"/>
        <v>9.2810000000000059</v>
      </c>
      <c r="K12" s="103">
        <f t="shared" si="0"/>
        <v>9.2810000000000059</v>
      </c>
    </row>
    <row r="13" spans="1:12">
      <c r="A13" s="42"/>
      <c r="B13" s="42"/>
      <c r="C13" s="98" t="s">
        <v>93</v>
      </c>
      <c r="D13" s="56">
        <v>10.843999999999999</v>
      </c>
      <c r="E13" s="56">
        <v>9.1910000000000007</v>
      </c>
      <c r="F13" s="103"/>
      <c r="G13" s="103">
        <f>+Assumptions!I9</f>
        <v>8</v>
      </c>
      <c r="H13" s="103">
        <f>+G13</f>
        <v>8</v>
      </c>
      <c r="I13" s="103">
        <f t="shared" ref="I13:K13" si="1">+H13</f>
        <v>8</v>
      </c>
      <c r="J13" s="103">
        <f t="shared" si="1"/>
        <v>8</v>
      </c>
      <c r="K13" s="103">
        <f t="shared" si="1"/>
        <v>8</v>
      </c>
      <c r="L13" s="48"/>
    </row>
    <row r="14" spans="1:12">
      <c r="A14" s="42"/>
      <c r="B14" s="42"/>
      <c r="C14" s="97" t="s">
        <v>94</v>
      </c>
      <c r="D14" s="104">
        <v>127.65</v>
      </c>
      <c r="E14" s="104">
        <v>123.03700000000001</v>
      </c>
      <c r="F14" s="102"/>
      <c r="G14" s="102">
        <f>+Assumptions!J9</f>
        <v>120</v>
      </c>
      <c r="H14" s="102">
        <f>+G14</f>
        <v>120</v>
      </c>
      <c r="I14" s="102">
        <f t="shared" ref="I14:K14" si="2">+H14</f>
        <v>120</v>
      </c>
      <c r="J14" s="102">
        <f t="shared" si="2"/>
        <v>120</v>
      </c>
      <c r="K14" s="102">
        <f t="shared" si="2"/>
        <v>120</v>
      </c>
    </row>
    <row r="15" spans="1:12">
      <c r="C15" s="11" t="s">
        <v>80</v>
      </c>
      <c r="D15" s="105">
        <f>+D14+D13+D12+D10</f>
        <v>681.1</v>
      </c>
      <c r="E15" s="105">
        <f>+E14+E13+E12+E10</f>
        <v>633.97299999999996</v>
      </c>
      <c r="F15" s="105"/>
      <c r="G15" s="105">
        <f>+G14+G13+G12+G10</f>
        <v>633.89868667347207</v>
      </c>
      <c r="H15" s="105">
        <f>+H14+H13+H12+H10</f>
        <v>610.15471478580412</v>
      </c>
      <c r="I15" s="105">
        <f>+I14+I13+I12+I10</f>
        <v>602.90696620094752</v>
      </c>
      <c r="J15" s="105">
        <f>+J14+J13+J12+J10</f>
        <v>597.75094997270514</v>
      </c>
      <c r="K15" s="105">
        <f>+K14+K13+K12+K10</f>
        <v>592.59493374446288</v>
      </c>
    </row>
    <row r="16" spans="1:12">
      <c r="A16" s="55"/>
      <c r="B16" s="55"/>
      <c r="C16" s="98" t="s">
        <v>85</v>
      </c>
      <c r="D16" s="56">
        <v>282.09399999999999</v>
      </c>
      <c r="E16" s="56">
        <v>254.55499999999998</v>
      </c>
      <c r="F16" s="103"/>
      <c r="G16" s="103">
        <f>+G15*(1-E18)</f>
        <v>254.52516145981872</v>
      </c>
      <c r="H16" s="103">
        <f>+H15*(1-G18)</f>
        <v>244.99140093079725</v>
      </c>
      <c r="I16" s="103">
        <f>+I15*(1-H18)</f>
        <v>242.08126021341937</v>
      </c>
      <c r="J16" s="103">
        <f>+J15*(1-I18)</f>
        <v>240.01099900201095</v>
      </c>
      <c r="K16" s="103">
        <f>+K15*(1-J18)</f>
        <v>237.94073779060261</v>
      </c>
    </row>
    <row r="17" spans="1:12">
      <c r="A17" s="55"/>
      <c r="B17" s="55"/>
      <c r="C17" s="11" t="s">
        <v>5</v>
      </c>
      <c r="D17" s="105">
        <f>D15-D16</f>
        <v>399.00600000000003</v>
      </c>
      <c r="E17" s="105">
        <f>E15-E16</f>
        <v>379.41800000000001</v>
      </c>
      <c r="F17" s="105"/>
      <c r="G17" s="105">
        <f>G15-G16</f>
        <v>379.37352521365335</v>
      </c>
      <c r="H17" s="105">
        <f>H15-H16</f>
        <v>365.16331385500689</v>
      </c>
      <c r="I17" s="105">
        <f>I15-I16</f>
        <v>360.82570598752818</v>
      </c>
      <c r="J17" s="105">
        <f>J15-J16</f>
        <v>357.73995097069417</v>
      </c>
      <c r="K17" s="105">
        <f>K15-K16</f>
        <v>354.65419595386027</v>
      </c>
    </row>
    <row r="18" spans="1:12">
      <c r="C18" s="71" t="s">
        <v>6</v>
      </c>
      <c r="D18" s="106">
        <f>D17/D15</f>
        <v>0.58582586991631191</v>
      </c>
      <c r="E18" s="106">
        <f>E17/E15</f>
        <v>0.5984765912743919</v>
      </c>
      <c r="F18" s="106"/>
      <c r="G18" s="106">
        <f>G17/G15</f>
        <v>0.5984765912743919</v>
      </c>
      <c r="H18" s="106">
        <f>H17/H15</f>
        <v>0.59847659127439201</v>
      </c>
      <c r="I18" s="106">
        <f>I17/I15</f>
        <v>0.59847659127439201</v>
      </c>
      <c r="J18" s="106">
        <f>J17/J15</f>
        <v>0.5984765912743919</v>
      </c>
      <c r="K18" s="106">
        <f>K17/K15</f>
        <v>0.5984765912743919</v>
      </c>
    </row>
    <row r="19" spans="1:12" ht="12.75" customHeight="1">
      <c r="C19" s="98" t="s">
        <v>92</v>
      </c>
      <c r="D19" s="56">
        <v>155.428</v>
      </c>
      <c r="E19" s="56">
        <v>148.935</v>
      </c>
      <c r="F19" s="103"/>
      <c r="G19" s="103">
        <f>+Assumptions!H9</f>
        <v>170</v>
      </c>
      <c r="H19" s="103">
        <f>G19</f>
        <v>170</v>
      </c>
      <c r="I19" s="103">
        <f t="shared" ref="I19:K19" si="3">H19</f>
        <v>170</v>
      </c>
      <c r="J19" s="103">
        <f t="shared" si="3"/>
        <v>170</v>
      </c>
      <c r="K19" s="103">
        <f t="shared" si="3"/>
        <v>170</v>
      </c>
    </row>
    <row r="20" spans="1:12" ht="12.75" customHeight="1">
      <c r="C20" s="98" t="s">
        <v>91</v>
      </c>
      <c r="D20" s="56">
        <v>10</v>
      </c>
      <c r="E20" s="72">
        <v>9.9809999999999999</v>
      </c>
      <c r="F20" s="103"/>
      <c r="G20" s="103">
        <f>+$E$20</f>
        <v>9.9809999999999999</v>
      </c>
      <c r="H20" s="103">
        <f t="shared" ref="H20:K20" si="4">+$E$20</f>
        <v>9.9809999999999999</v>
      </c>
      <c r="I20" s="103">
        <f t="shared" si="4"/>
        <v>9.9809999999999999</v>
      </c>
      <c r="J20" s="103">
        <f t="shared" si="4"/>
        <v>9.9809999999999999</v>
      </c>
      <c r="K20" s="103">
        <f t="shared" si="4"/>
        <v>9.9809999999999999</v>
      </c>
    </row>
    <row r="21" spans="1:12" ht="12.75" customHeight="1">
      <c r="C21" s="73" t="s">
        <v>90</v>
      </c>
      <c r="D21" s="56">
        <v>1.6750000000000398</v>
      </c>
      <c r="E21" s="56">
        <v>5.9010000000000105</v>
      </c>
      <c r="F21" s="103"/>
      <c r="G21" s="103">
        <v>2.6</v>
      </c>
      <c r="H21" s="103">
        <v>2.6</v>
      </c>
      <c r="I21" s="103">
        <v>2.6</v>
      </c>
      <c r="J21" s="103">
        <v>2.6</v>
      </c>
      <c r="K21" s="103">
        <v>2.6</v>
      </c>
    </row>
    <row r="22" spans="1:12" ht="12.75" customHeight="1">
      <c r="C22" s="11" t="s">
        <v>7</v>
      </c>
      <c r="D22" s="105">
        <f>+SUM(D19:D21)</f>
        <v>167.10300000000004</v>
      </c>
      <c r="E22" s="105">
        <f>+SUM(E19:E21)</f>
        <v>164.81700000000001</v>
      </c>
      <c r="F22" s="105"/>
      <c r="G22" s="105">
        <f t="shared" ref="G22:K22" si="5">+SUM(G19:G21)</f>
        <v>182.58099999999999</v>
      </c>
      <c r="H22" s="105">
        <f t="shared" si="5"/>
        <v>182.58099999999999</v>
      </c>
      <c r="I22" s="105">
        <f t="shared" si="5"/>
        <v>182.58099999999999</v>
      </c>
      <c r="J22" s="105">
        <f t="shared" si="5"/>
        <v>182.58099999999999</v>
      </c>
      <c r="K22" s="105">
        <f t="shared" si="5"/>
        <v>182.58099999999999</v>
      </c>
    </row>
    <row r="23" spans="1:12">
      <c r="C23" s="98" t="s">
        <v>29</v>
      </c>
      <c r="D23" s="107">
        <v>63.253999999999998</v>
      </c>
      <c r="E23" s="107">
        <v>61.478999999999999</v>
      </c>
      <c r="F23" s="100"/>
      <c r="G23" s="100">
        <f>+Assumptions!$G$9</f>
        <v>60</v>
      </c>
      <c r="H23" s="100">
        <f>+Assumptions!$G$9</f>
        <v>60</v>
      </c>
      <c r="I23" s="100">
        <f>+Assumptions!$G$9</f>
        <v>60</v>
      </c>
      <c r="J23" s="100">
        <f>+Assumptions!$G$9</f>
        <v>60</v>
      </c>
      <c r="K23" s="100">
        <f>+Assumptions!$G$9</f>
        <v>60</v>
      </c>
    </row>
    <row r="24" spans="1:12">
      <c r="C24" s="71" t="s">
        <v>64</v>
      </c>
      <c r="D24" s="108">
        <f>+D17-D22-D23</f>
        <v>168.649</v>
      </c>
      <c r="E24" s="108">
        <f>+E17-E22-E23</f>
        <v>153.12200000000001</v>
      </c>
      <c r="F24" s="108"/>
      <c r="G24" s="108">
        <f>+G17-G22-G23</f>
        <v>136.79252521365336</v>
      </c>
      <c r="H24" s="108">
        <f>+H17-H22-H23</f>
        <v>122.5823138550069</v>
      </c>
      <c r="I24" s="108">
        <f>+I17-I22-I23</f>
        <v>118.24470598752819</v>
      </c>
      <c r="J24" s="108">
        <f>+J17-J22-J23</f>
        <v>115.15895097069418</v>
      </c>
      <c r="K24" s="108">
        <f>+K17-K22-K23</f>
        <v>112.07319595386028</v>
      </c>
    </row>
    <row r="25" spans="1:12">
      <c r="C25" s="73" t="s">
        <v>88</v>
      </c>
      <c r="D25" s="107">
        <v>63.725999999999999</v>
      </c>
      <c r="E25" s="107">
        <v>55.129999999999995</v>
      </c>
      <c r="F25" s="100"/>
      <c r="G25" s="109">
        <f>+G24*G26</f>
        <v>51.98115958118828</v>
      </c>
      <c r="H25" s="109">
        <f t="shared" ref="H25:K25" si="6">+H24*H26</f>
        <v>46.581279264902626</v>
      </c>
      <c r="I25" s="109">
        <f t="shared" si="6"/>
        <v>44.932988275260712</v>
      </c>
      <c r="J25" s="109">
        <f t="shared" si="6"/>
        <v>43.760401368863789</v>
      </c>
      <c r="K25" s="109">
        <f t="shared" si="6"/>
        <v>42.587814462466909</v>
      </c>
      <c r="L25" s="75"/>
    </row>
    <row r="26" spans="1:12">
      <c r="C26" s="61" t="s">
        <v>10</v>
      </c>
      <c r="D26" s="110">
        <f>+D25/D24</f>
        <v>0.37786171278809833</v>
      </c>
      <c r="E26" s="110">
        <f t="shared" ref="E26" si="7">+E25/E24</f>
        <v>0.36003970690038001</v>
      </c>
      <c r="F26" s="110"/>
      <c r="G26" s="111">
        <v>0.38</v>
      </c>
      <c r="H26" s="111">
        <f>+G26</f>
        <v>0.38</v>
      </c>
      <c r="I26" s="111">
        <f t="shared" ref="I26:K26" si="8">+H26</f>
        <v>0.38</v>
      </c>
      <c r="J26" s="111">
        <f t="shared" si="8"/>
        <v>0.38</v>
      </c>
      <c r="K26" s="111">
        <f t="shared" si="8"/>
        <v>0.38</v>
      </c>
    </row>
    <row r="27" spans="1:12" ht="13.5" thickBot="1">
      <c r="C27" s="76" t="s">
        <v>89</v>
      </c>
      <c r="D27" s="112">
        <f>+D24-D25</f>
        <v>104.923</v>
      </c>
      <c r="E27" s="112">
        <f>+E24-E25</f>
        <v>97.992000000000019</v>
      </c>
      <c r="F27" s="112"/>
      <c r="G27" s="112">
        <f>+G24-G25</f>
        <v>84.811365632465083</v>
      </c>
      <c r="H27" s="112">
        <f>+H24-H25</f>
        <v>76.001034590104268</v>
      </c>
      <c r="I27" s="112">
        <f>+I24-I25</f>
        <v>73.31171771226748</v>
      </c>
      <c r="J27" s="112">
        <f>+J24-J25</f>
        <v>71.398549601830382</v>
      </c>
      <c r="K27" s="112">
        <f>+K24-K25</f>
        <v>69.485381491393369</v>
      </c>
    </row>
    <row r="28" spans="1:12" ht="13.5" thickTop="1">
      <c r="C28" s="61"/>
      <c r="D28" s="100"/>
      <c r="E28" s="100"/>
      <c r="F28" s="100"/>
      <c r="G28" s="100"/>
      <c r="H28" s="100"/>
      <c r="I28" s="100"/>
      <c r="J28" s="100"/>
      <c r="K28" s="100"/>
    </row>
    <row r="29" spans="1:12">
      <c r="C29" s="11" t="s">
        <v>132</v>
      </c>
      <c r="D29" s="113">
        <v>32.840000000000003</v>
      </c>
      <c r="E29" s="113">
        <v>30.605999999999998</v>
      </c>
      <c r="F29" s="105"/>
      <c r="G29" s="114">
        <v>30</v>
      </c>
      <c r="H29" s="114">
        <f>+G29</f>
        <v>30</v>
      </c>
      <c r="I29" s="114">
        <f t="shared" ref="I29:K29" si="9">+H29</f>
        <v>30</v>
      </c>
      <c r="J29" s="114">
        <f t="shared" si="9"/>
        <v>30</v>
      </c>
      <c r="K29" s="114">
        <f t="shared" si="9"/>
        <v>30</v>
      </c>
    </row>
    <row r="30" spans="1:12">
      <c r="C30" s="71"/>
      <c r="D30" s="106"/>
      <c r="E30" s="108"/>
      <c r="F30" s="106"/>
      <c r="G30" s="108"/>
      <c r="H30" s="106"/>
      <c r="I30" s="106"/>
      <c r="J30" s="106"/>
      <c r="K30" s="106"/>
    </row>
    <row r="31" spans="1:12">
      <c r="C31" s="61"/>
      <c r="D31" s="100"/>
      <c r="E31" s="100"/>
      <c r="F31" s="100"/>
      <c r="G31" s="100"/>
      <c r="H31" s="100"/>
      <c r="I31" s="100"/>
      <c r="J31" s="100"/>
      <c r="K31" s="100"/>
    </row>
    <row r="32" spans="1:12">
      <c r="C32" s="11" t="s">
        <v>81</v>
      </c>
      <c r="D32" s="105">
        <f>+D24+D29+D23</f>
        <v>264.74299999999999</v>
      </c>
      <c r="E32" s="105">
        <f>+E24+E29+E23</f>
        <v>245.20699999999999</v>
      </c>
      <c r="F32" s="105"/>
      <c r="G32" s="105">
        <f>+G24+G29+G23</f>
        <v>226.79252521365336</v>
      </c>
      <c r="H32" s="105">
        <f t="shared" ref="H32:K32" si="10">+H24+H29+H23</f>
        <v>212.5823138550069</v>
      </c>
      <c r="I32" s="105">
        <f t="shared" si="10"/>
        <v>208.24470598752819</v>
      </c>
      <c r="J32" s="105">
        <f t="shared" si="10"/>
        <v>205.15895097069418</v>
      </c>
      <c r="K32" s="105">
        <f t="shared" si="10"/>
        <v>202.07319595386028</v>
      </c>
    </row>
    <row r="33" spans="3:12">
      <c r="C33" s="71" t="s">
        <v>128</v>
      </c>
      <c r="D33" s="106">
        <f>+D32/D15</f>
        <v>0.38869916311848479</v>
      </c>
      <c r="E33" s="106">
        <f>+E32/E15</f>
        <v>0.3867783012841241</v>
      </c>
      <c r="F33" s="106"/>
      <c r="G33" s="106">
        <f>+G32/G15</f>
        <v>0.35777408911161951</v>
      </c>
      <c r="H33" s="106">
        <f>+H32/H15</f>
        <v>0.34840722968048243</v>
      </c>
      <c r="I33" s="106">
        <f>+I32/I15</f>
        <v>0.34540106129429049</v>
      </c>
      <c r="J33" s="106">
        <f>+J32/J15</f>
        <v>0.34321810944852915</v>
      </c>
      <c r="K33" s="106">
        <f>+K32/K15</f>
        <v>0.34099717099673638</v>
      </c>
    </row>
    <row r="34" spans="3:12">
      <c r="C34" s="61"/>
      <c r="D34" s="100"/>
      <c r="E34" s="100"/>
      <c r="F34" s="100"/>
      <c r="G34" s="100"/>
      <c r="H34" s="100"/>
      <c r="I34" s="100"/>
      <c r="J34" s="100"/>
      <c r="K34" s="100"/>
    </row>
    <row r="35" spans="3:12">
      <c r="C35" s="11" t="s">
        <v>9</v>
      </c>
      <c r="D35" s="105">
        <f>+D32-D29</f>
        <v>231.90299999999999</v>
      </c>
      <c r="E35" s="105">
        <f>+E32-E29</f>
        <v>214.601</v>
      </c>
      <c r="F35" s="105"/>
      <c r="G35" s="105">
        <f>+G32-G29</f>
        <v>196.79252521365336</v>
      </c>
      <c r="H35" s="105">
        <f>+H32-H29</f>
        <v>182.5823138550069</v>
      </c>
      <c r="I35" s="105">
        <f>+I32-I29</f>
        <v>178.24470598752819</v>
      </c>
      <c r="J35" s="105">
        <f>+J32-J29</f>
        <v>175.15895097069418</v>
      </c>
      <c r="K35" s="105">
        <f>+K32-K29</f>
        <v>172.07319595386028</v>
      </c>
    </row>
    <row r="36" spans="3:12">
      <c r="C36" s="71" t="s">
        <v>129</v>
      </c>
      <c r="D36" s="106">
        <f>+D35/D15</f>
        <v>0.34048304213771835</v>
      </c>
      <c r="E36" s="106">
        <f>+E35/E15</f>
        <v>0.33850179739515723</v>
      </c>
      <c r="F36" s="106"/>
      <c r="G36" s="106">
        <f>+G35/G15</f>
        <v>0.3104479143920727</v>
      </c>
      <c r="H36" s="106">
        <f>+H35/H15</f>
        <v>0.29923937229445607</v>
      </c>
      <c r="I36" s="106">
        <f>+I35/I15</f>
        <v>0.2956421404627122</v>
      </c>
      <c r="J36" s="106">
        <f>+J35/J15</f>
        <v>0.29302998343824027</v>
      </c>
      <c r="K36" s="106">
        <f>+K35/K15</f>
        <v>0.29037237099981889</v>
      </c>
    </row>
    <row r="37" spans="3:12">
      <c r="C37" s="61"/>
      <c r="D37" s="100"/>
      <c r="E37" s="100"/>
      <c r="F37" s="100"/>
      <c r="G37" s="100"/>
      <c r="H37" s="100"/>
      <c r="I37" s="100"/>
      <c r="J37" s="100"/>
      <c r="K37" s="100"/>
    </row>
    <row r="38" spans="3:12">
      <c r="C38" s="11" t="s">
        <v>124</v>
      </c>
      <c r="D38" s="115">
        <v>5.52</v>
      </c>
      <c r="E38" s="115">
        <v>5.33</v>
      </c>
      <c r="F38" s="105"/>
      <c r="G38" s="105">
        <f>+(G27-Valuation!G41)/Valuation!$D$12</f>
        <v>4.5045203129147264</v>
      </c>
      <c r="H38" s="105">
        <f>+(H27-Valuation!H41)/Valuation!$D$12</f>
        <v>4.015057477228015</v>
      </c>
      <c r="I38" s="105">
        <f>+(I27-Valuation!I41)/Valuation!$D$12</f>
        <v>3.8656509840148598</v>
      </c>
      <c r="J38" s="105">
        <f>+(J27-Valuation!J41)/Valuation!$D$12</f>
        <v>3.7697249778794659</v>
      </c>
      <c r="K38" s="105">
        <f>+(K27-Valuation!K41)/Valuation!$D$12</f>
        <v>3.6732809161885203</v>
      </c>
    </row>
    <row r="39" spans="3:12">
      <c r="C39" s="71" t="s">
        <v>125</v>
      </c>
      <c r="D39" s="108">
        <f>+Valuation!E41/D38</f>
        <v>0.64221014492753625</v>
      </c>
      <c r="E39" s="108">
        <f>+Valuation!F41/E38</f>
        <v>0.69981238273921198</v>
      </c>
      <c r="F39" s="106"/>
      <c r="G39" s="108">
        <f>+Valuation!G41/G38</f>
        <v>0.82805709396089722</v>
      </c>
      <c r="H39" s="108">
        <f>+Valuation!G41/H38</f>
        <v>0.92900289003463588</v>
      </c>
      <c r="I39" s="108">
        <f>+Valuation!H41/I38</f>
        <v>0.96490863128207893</v>
      </c>
      <c r="J39" s="108">
        <f>+Valuation!I41/J38</f>
        <v>0.98946210184759631</v>
      </c>
      <c r="K39" s="108">
        <f>+Valuation!J41/K38</f>
        <v>0.96466893789239949</v>
      </c>
    </row>
    <row r="40" spans="3:12">
      <c r="C40" s="61"/>
      <c r="D40" s="100"/>
      <c r="E40" s="100"/>
      <c r="F40" s="100"/>
      <c r="G40" s="100"/>
      <c r="H40" s="100"/>
      <c r="I40" s="100"/>
      <c r="J40" s="100"/>
      <c r="K40" s="100"/>
    </row>
    <row r="41" spans="3:12">
      <c r="D41" s="48"/>
      <c r="E41" s="48"/>
    </row>
    <row r="42" spans="3:12">
      <c r="L42" s="48"/>
    </row>
    <row r="43" spans="3:12">
      <c r="L43" s="77"/>
    </row>
    <row r="44" spans="3:12">
      <c r="L44" s="48"/>
    </row>
    <row r="45" spans="3:12">
      <c r="L45" s="48"/>
    </row>
    <row r="49" spans="5:5">
      <c r="E49" s="78"/>
    </row>
  </sheetData>
  <mergeCells count="2">
    <mergeCell ref="D5:E5"/>
    <mergeCell ref="G5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1"/>
  <sheetViews>
    <sheetView showGridLines="0" topLeftCell="A21" zoomScale="70" zoomScaleNormal="70" workbookViewId="0">
      <selection activeCell="G47" sqref="G47"/>
    </sheetView>
  </sheetViews>
  <sheetFormatPr defaultRowHeight="12.75"/>
  <cols>
    <col min="1" max="1" width="3.140625" style="41" customWidth="1"/>
    <col min="2" max="2" width="20.7109375" style="41" customWidth="1"/>
    <col min="3" max="3" width="50.42578125" style="42" customWidth="1"/>
    <col min="4" max="4" width="23.140625" style="42" customWidth="1"/>
    <col min="5" max="5" width="18.85546875" style="42" customWidth="1"/>
    <col min="6" max="6" width="19.140625" style="42" bestFit="1" customWidth="1"/>
    <col min="7" max="7" width="28.42578125" style="42" bestFit="1" customWidth="1"/>
    <col min="8" max="8" width="22.42578125" style="42" bestFit="1" customWidth="1"/>
    <col min="9" max="9" width="24.7109375" style="42" bestFit="1" customWidth="1"/>
    <col min="10" max="10" width="15.42578125" style="42" bestFit="1" customWidth="1"/>
    <col min="11" max="16384" width="9.140625" style="42"/>
  </cols>
  <sheetData>
    <row r="1" spans="1:14">
      <c r="A1" s="42"/>
      <c r="B1" s="42"/>
      <c r="K1" s="2"/>
    </row>
    <row r="2" spans="1:14">
      <c r="D2" s="43"/>
      <c r="J2" s="43"/>
      <c r="K2" s="43"/>
    </row>
    <row r="3" spans="1:14">
      <c r="D3" s="43"/>
      <c r="J3" s="43"/>
      <c r="K3" s="43"/>
    </row>
    <row r="4" spans="1:14">
      <c r="A4" s="42"/>
      <c r="B4" s="42"/>
      <c r="K4" s="2"/>
    </row>
    <row r="5" spans="1:14" ht="13.5" thickBot="1">
      <c r="A5" s="42"/>
      <c r="B5" s="42"/>
      <c r="C5" s="57" t="s">
        <v>31</v>
      </c>
      <c r="D5" s="58">
        <v>42795</v>
      </c>
    </row>
    <row r="6" spans="1:14" ht="13.5" thickBot="1">
      <c r="A6" s="44"/>
      <c r="B6" s="44"/>
      <c r="C6" s="89"/>
      <c r="D6" s="90" t="s">
        <v>33</v>
      </c>
      <c r="E6" s="131" t="s">
        <v>34</v>
      </c>
      <c r="F6" s="131" t="s">
        <v>10</v>
      </c>
      <c r="G6" s="131" t="s">
        <v>36</v>
      </c>
      <c r="H6" s="131" t="s">
        <v>39</v>
      </c>
      <c r="I6" s="131" t="s">
        <v>153</v>
      </c>
      <c r="J6" s="131" t="s">
        <v>152</v>
      </c>
      <c r="K6" s="131" t="s">
        <v>27</v>
      </c>
      <c r="L6" s="131"/>
      <c r="M6" s="132"/>
    </row>
    <row r="7" spans="1:14">
      <c r="A7" s="46"/>
      <c r="B7" s="46"/>
      <c r="C7" s="200" t="s">
        <v>154</v>
      </c>
      <c r="D7" s="236" t="s">
        <v>37</v>
      </c>
      <c r="E7" s="236">
        <v>-0.08</v>
      </c>
      <c r="F7" s="236"/>
      <c r="G7" s="236"/>
      <c r="H7" s="236"/>
      <c r="I7" s="236"/>
      <c r="J7" s="236"/>
      <c r="K7" s="237"/>
      <c r="L7" s="237"/>
      <c r="M7" s="238"/>
      <c r="N7" s="239"/>
    </row>
    <row r="8" spans="1:14">
      <c r="A8" s="49"/>
      <c r="B8" s="49"/>
      <c r="C8" s="200" t="s">
        <v>32</v>
      </c>
      <c r="D8" s="236" t="s">
        <v>38</v>
      </c>
      <c r="E8" s="236">
        <v>0</v>
      </c>
      <c r="F8" s="236"/>
      <c r="G8" s="236"/>
      <c r="H8" s="236"/>
      <c r="I8" s="236"/>
      <c r="J8" s="236"/>
      <c r="K8" s="237"/>
      <c r="L8" s="237"/>
      <c r="M8" s="238"/>
      <c r="N8" s="239"/>
    </row>
    <row r="9" spans="1:14" ht="13.5" thickBot="1">
      <c r="A9" s="49"/>
      <c r="B9" s="49"/>
      <c r="C9" s="201" t="s">
        <v>35</v>
      </c>
      <c r="D9" s="240"/>
      <c r="E9" s="240"/>
      <c r="F9" s="241">
        <v>0.38</v>
      </c>
      <c r="G9" s="240">
        <v>60</v>
      </c>
      <c r="H9" s="240">
        <v>170</v>
      </c>
      <c r="I9" s="240">
        <v>8</v>
      </c>
      <c r="J9" s="240">
        <v>120</v>
      </c>
      <c r="K9" s="242">
        <v>12</v>
      </c>
      <c r="L9" s="242"/>
      <c r="M9" s="243"/>
      <c r="N9" s="239"/>
    </row>
    <row r="10" spans="1:14">
      <c r="C10" s="61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</row>
    <row r="11" spans="1:14" ht="13.5" thickBot="1">
      <c r="C11" s="57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</row>
    <row r="12" spans="1:14" ht="13.5" thickBot="1">
      <c r="A12" s="42"/>
      <c r="B12" s="42"/>
      <c r="C12" s="65" t="s">
        <v>106</v>
      </c>
      <c r="D12" s="244">
        <v>2017</v>
      </c>
      <c r="E12" s="244">
        <f>1+D12</f>
        <v>2018</v>
      </c>
      <c r="F12" s="244">
        <f>1+D12</f>
        <v>2018</v>
      </c>
      <c r="G12" s="244">
        <f>1+E12</f>
        <v>2019</v>
      </c>
      <c r="H12" s="245">
        <f>1+G12</f>
        <v>2020</v>
      </c>
      <c r="I12" s="246"/>
      <c r="J12" s="246"/>
      <c r="K12" s="239"/>
      <c r="L12" s="239"/>
      <c r="M12" s="239"/>
      <c r="N12" s="239"/>
    </row>
    <row r="13" spans="1:14">
      <c r="A13" s="42"/>
      <c r="B13" s="42"/>
      <c r="C13" s="59" t="s">
        <v>141</v>
      </c>
      <c r="D13" s="247">
        <v>-40</v>
      </c>
      <c r="E13" s="247">
        <v>-40</v>
      </c>
      <c r="F13" s="247">
        <v>-40</v>
      </c>
      <c r="G13" s="247">
        <v>-40</v>
      </c>
      <c r="H13" s="248">
        <v>-40</v>
      </c>
      <c r="I13" s="246"/>
      <c r="J13" s="246"/>
      <c r="K13" s="239"/>
      <c r="L13" s="239"/>
      <c r="M13" s="239"/>
      <c r="N13" s="239"/>
    </row>
    <row r="14" spans="1:14" ht="13.5" thickBot="1">
      <c r="A14" s="48"/>
      <c r="B14" s="48"/>
      <c r="C14" s="60" t="s">
        <v>141</v>
      </c>
      <c r="D14" s="249">
        <v>57</v>
      </c>
      <c r="E14" s="249">
        <v>30</v>
      </c>
      <c r="F14" s="249">
        <v>20</v>
      </c>
      <c r="G14" s="249">
        <v>20</v>
      </c>
      <c r="H14" s="250">
        <v>20</v>
      </c>
      <c r="I14" s="246"/>
      <c r="J14" s="246"/>
      <c r="K14" s="239"/>
      <c r="L14" s="239"/>
      <c r="M14" s="239"/>
      <c r="N14" s="239"/>
    </row>
    <row r="15" spans="1:14">
      <c r="A15" s="53"/>
      <c r="B15" s="53"/>
      <c r="C15" s="61"/>
      <c r="D15" s="125"/>
      <c r="E15" s="126"/>
      <c r="F15" s="126"/>
      <c r="G15" s="127"/>
      <c r="H15" s="125"/>
      <c r="I15" s="125"/>
      <c r="J15" s="125"/>
      <c r="K15" s="118"/>
      <c r="L15" s="118"/>
      <c r="M15" s="118"/>
      <c r="N15" s="118"/>
    </row>
    <row r="16" spans="1:14" ht="13.5" thickBot="1">
      <c r="A16" s="53"/>
      <c r="B16" s="53"/>
      <c r="C16" s="61"/>
      <c r="D16" s="125"/>
      <c r="E16" s="126"/>
      <c r="F16" s="126"/>
      <c r="G16" s="127"/>
      <c r="H16" s="125"/>
      <c r="I16" s="125"/>
      <c r="J16" s="125"/>
      <c r="K16" s="118"/>
      <c r="L16" s="118"/>
      <c r="M16" s="118"/>
      <c r="N16" s="118"/>
    </row>
    <row r="17" spans="1:14" ht="13.5" thickBot="1">
      <c r="A17" s="53"/>
      <c r="B17" s="53"/>
      <c r="C17" s="65" t="s">
        <v>140</v>
      </c>
      <c r="D17" s="129">
        <v>2015</v>
      </c>
      <c r="E17" s="129">
        <f>+D17+1</f>
        <v>2016</v>
      </c>
      <c r="F17" s="129">
        <f>+E17+1</f>
        <v>2017</v>
      </c>
      <c r="G17" s="129">
        <f t="shared" ref="G17:J17" si="0">+F17+1</f>
        <v>2018</v>
      </c>
      <c r="H17" s="129">
        <f t="shared" si="0"/>
        <v>2019</v>
      </c>
      <c r="I17" s="129">
        <f t="shared" si="0"/>
        <v>2020</v>
      </c>
      <c r="J17" s="130">
        <f t="shared" si="0"/>
        <v>2021</v>
      </c>
      <c r="K17" s="118"/>
      <c r="L17" s="118"/>
      <c r="M17" s="118"/>
      <c r="N17" s="118"/>
    </row>
    <row r="18" spans="1:14">
      <c r="A18" s="53"/>
      <c r="B18" s="53"/>
      <c r="C18" s="91" t="s">
        <v>141</v>
      </c>
      <c r="D18" s="214">
        <v>4711.8999999999996</v>
      </c>
      <c r="E18" s="214">
        <v>4418.6000000000004</v>
      </c>
      <c r="F18" s="215">
        <f>+F26*F33</f>
        <v>3984.4550158730162</v>
      </c>
      <c r="G18" s="215">
        <f>+G26*G33</f>
        <v>3872</v>
      </c>
      <c r="H18" s="215">
        <f>+H26*H33</f>
        <v>3792</v>
      </c>
      <c r="I18" s="215">
        <f>+I26*I33</f>
        <v>3712</v>
      </c>
      <c r="J18" s="216">
        <f>+J26*J33</f>
        <v>3632</v>
      </c>
      <c r="K18" s="118"/>
      <c r="L18" s="118"/>
      <c r="M18" s="118"/>
      <c r="N18" s="118"/>
    </row>
    <row r="19" spans="1:14">
      <c r="A19" s="53"/>
      <c r="B19" s="53"/>
      <c r="C19" s="59" t="s">
        <v>32</v>
      </c>
      <c r="D19" s="214">
        <v>2948.3</v>
      </c>
      <c r="E19" s="214">
        <v>2939.9</v>
      </c>
      <c r="F19" s="217">
        <f>+E19</f>
        <v>2939.9</v>
      </c>
      <c r="G19" s="217">
        <f t="shared" ref="G19:J19" si="1">+F19</f>
        <v>2939.9</v>
      </c>
      <c r="H19" s="217">
        <f t="shared" si="1"/>
        <v>2939.9</v>
      </c>
      <c r="I19" s="217">
        <f t="shared" si="1"/>
        <v>2939.9</v>
      </c>
      <c r="J19" s="218">
        <f t="shared" si="1"/>
        <v>2939.9</v>
      </c>
      <c r="K19" s="118"/>
      <c r="L19" s="118"/>
      <c r="M19" s="118"/>
      <c r="N19" s="118"/>
    </row>
    <row r="20" spans="1:14">
      <c r="A20" s="53"/>
      <c r="B20" s="53"/>
      <c r="C20" s="121" t="s">
        <v>168</v>
      </c>
      <c r="D20" s="219">
        <v>280.90000000000003</v>
      </c>
      <c r="E20" s="219">
        <v>282.5</v>
      </c>
      <c r="F20" s="220">
        <f>+E20</f>
        <v>282.5</v>
      </c>
      <c r="G20" s="220">
        <f t="shared" ref="G20:J20" si="2">+F20</f>
        <v>282.5</v>
      </c>
      <c r="H20" s="220">
        <f t="shared" si="2"/>
        <v>282.5</v>
      </c>
      <c r="I20" s="220">
        <f t="shared" si="2"/>
        <v>282.5</v>
      </c>
      <c r="J20" s="221">
        <f t="shared" si="2"/>
        <v>282.5</v>
      </c>
      <c r="K20" s="118"/>
      <c r="L20" s="118"/>
      <c r="M20" s="118"/>
      <c r="N20" s="118"/>
    </row>
    <row r="21" spans="1:14" ht="13.5" thickBot="1">
      <c r="A21" s="53"/>
      <c r="B21" s="53"/>
      <c r="C21" s="47" t="s">
        <v>13</v>
      </c>
      <c r="D21" s="215">
        <f t="shared" ref="D21:J21" si="3">SUM(D18:D20)</f>
        <v>7941.0999999999995</v>
      </c>
      <c r="E21" s="215">
        <f t="shared" si="3"/>
        <v>7641</v>
      </c>
      <c r="F21" s="215">
        <f t="shared" si="3"/>
        <v>7206.8550158730159</v>
      </c>
      <c r="G21" s="215">
        <f t="shared" si="3"/>
        <v>7094.4</v>
      </c>
      <c r="H21" s="215">
        <f t="shared" si="3"/>
        <v>7014.4</v>
      </c>
      <c r="I21" s="215">
        <f t="shared" si="3"/>
        <v>6934.4</v>
      </c>
      <c r="J21" s="216">
        <f t="shared" si="3"/>
        <v>6854.4</v>
      </c>
      <c r="K21" s="118"/>
      <c r="L21" s="118"/>
      <c r="M21" s="118"/>
      <c r="N21" s="118"/>
    </row>
    <row r="22" spans="1:14" ht="13.5" thickBot="1">
      <c r="A22" s="53"/>
      <c r="B22" s="53"/>
      <c r="C22" s="65" t="s">
        <v>107</v>
      </c>
      <c r="D22" s="129">
        <v>2015</v>
      </c>
      <c r="E22" s="129">
        <f>+D22+1</f>
        <v>2016</v>
      </c>
      <c r="F22" s="129">
        <f>+E22+1</f>
        <v>2017</v>
      </c>
      <c r="G22" s="129">
        <f t="shared" ref="G22" si="4">+F22+1</f>
        <v>2018</v>
      </c>
      <c r="H22" s="129">
        <f t="shared" ref="H22" si="5">+G22+1</f>
        <v>2019</v>
      </c>
      <c r="I22" s="129">
        <f t="shared" ref="I22" si="6">+H22+1</f>
        <v>2020</v>
      </c>
      <c r="J22" s="130">
        <f t="shared" ref="J22" si="7">+I22+1</f>
        <v>2021</v>
      </c>
      <c r="K22" s="118"/>
      <c r="L22" s="118"/>
      <c r="M22" s="118"/>
      <c r="N22" s="118"/>
    </row>
    <row r="23" spans="1:14">
      <c r="A23" s="53"/>
      <c r="B23" s="53"/>
      <c r="C23" s="47" t="s">
        <v>139</v>
      </c>
      <c r="D23" s="205">
        <f>+D18/D21</f>
        <v>0.59335608416969943</v>
      </c>
      <c r="E23" s="205">
        <f>+E18/E21</f>
        <v>0.57827509488286877</v>
      </c>
      <c r="F23" s="205">
        <f>+E23-0.01</f>
        <v>0.56827509488286876</v>
      </c>
      <c r="G23" s="205">
        <f t="shared" ref="G23:J23" si="8">+F23-0.01</f>
        <v>0.55827509488286875</v>
      </c>
      <c r="H23" s="205">
        <f t="shared" si="8"/>
        <v>0.54827509488286874</v>
      </c>
      <c r="I23" s="205">
        <f t="shared" si="8"/>
        <v>0.53827509488286873</v>
      </c>
      <c r="J23" s="206">
        <f t="shared" si="8"/>
        <v>0.52827509488286872</v>
      </c>
      <c r="K23" s="118"/>
      <c r="L23" s="118"/>
      <c r="M23" s="118"/>
      <c r="N23" s="118"/>
    </row>
    <row r="24" spans="1:14">
      <c r="A24" s="53"/>
      <c r="B24" s="53"/>
      <c r="C24" s="47" t="s">
        <v>86</v>
      </c>
      <c r="D24" s="205">
        <f>Financials!D15/SUM(D18:D20)</f>
        <v>8.576897407160218E-2</v>
      </c>
      <c r="E24" s="205">
        <f>Financials!E15/SUM(E18:E20)</f>
        <v>8.2969899227849753E-2</v>
      </c>
      <c r="F24" s="205">
        <f>Financials!G15/SUM(F18:F20)</f>
        <v>8.7957740967081685E-2</v>
      </c>
      <c r="G24" s="205">
        <f>Financials!H15/SUM(G18:G20)</f>
        <v>8.6005118795924124E-2</v>
      </c>
      <c r="H24" s="205">
        <f>Financials!I15/SUM(H18:H20)</f>
        <v>8.5952749515417939E-2</v>
      </c>
      <c r="I24" s="205">
        <f>Financials!J15/SUM(I18:I20)</f>
        <v>8.6200817658731138E-2</v>
      </c>
      <c r="J24" s="206">
        <f>Financials!K15/SUM(J18:J20)</f>
        <v>8.6454676374950815E-2</v>
      </c>
      <c r="K24" s="118"/>
      <c r="L24" s="118"/>
      <c r="M24" s="118"/>
      <c r="N24" s="118"/>
    </row>
    <row r="25" spans="1:14">
      <c r="A25" s="53"/>
      <c r="B25" s="53"/>
      <c r="C25" s="47"/>
      <c r="D25" s="205"/>
      <c r="E25" s="205"/>
      <c r="F25" s="205"/>
      <c r="G25" s="205"/>
      <c r="H25" s="205"/>
      <c r="I25" s="205"/>
      <c r="J25" s="206"/>
      <c r="K25" s="118"/>
      <c r="L25" s="118"/>
      <c r="M25" s="118"/>
      <c r="N25" s="118"/>
    </row>
    <row r="26" spans="1:14">
      <c r="A26" s="53"/>
      <c r="B26" s="53"/>
      <c r="C26" s="47" t="s">
        <v>113</v>
      </c>
      <c r="D26" s="205">
        <f>+D18/D33</f>
        <v>2.3177078209542548</v>
      </c>
      <c r="E26" s="205">
        <f>+E18/E33</f>
        <v>2.1917658730158731</v>
      </c>
      <c r="F26" s="205">
        <f>+E26*(F30+1)</f>
        <v>2.0164246031746034</v>
      </c>
      <c r="G26" s="205">
        <v>2</v>
      </c>
      <c r="H26" s="205">
        <v>2</v>
      </c>
      <c r="I26" s="205">
        <v>2</v>
      </c>
      <c r="J26" s="206">
        <v>2</v>
      </c>
      <c r="K26" s="118"/>
      <c r="L26" s="118"/>
      <c r="M26" s="118"/>
      <c r="N26" s="118"/>
    </row>
    <row r="27" spans="1:14">
      <c r="A27" s="53"/>
      <c r="B27" s="53"/>
      <c r="C27" s="47" t="s">
        <v>138</v>
      </c>
      <c r="D27" s="205">
        <f>+Financials!D8/(D26*D33)</f>
        <v>6.22962813715984E-2</v>
      </c>
      <c r="E27" s="205">
        <f>+Financials!E8/(E26*E33)</f>
        <v>6.4450202853029714E-2</v>
      </c>
      <c r="F27" s="205">
        <f>+E27</f>
        <v>6.4450202853029714E-2</v>
      </c>
      <c r="G27" s="205">
        <f t="shared" ref="G27:J27" si="9">+F27</f>
        <v>6.4450202853029714E-2</v>
      </c>
      <c r="H27" s="205">
        <f t="shared" si="9"/>
        <v>6.4450202853029714E-2</v>
      </c>
      <c r="I27" s="205">
        <f t="shared" si="9"/>
        <v>6.4450202853029714E-2</v>
      </c>
      <c r="J27" s="206">
        <f t="shared" si="9"/>
        <v>6.4450202853029714E-2</v>
      </c>
      <c r="K27" s="118"/>
      <c r="L27" s="118"/>
      <c r="M27" s="118"/>
      <c r="N27" s="118"/>
    </row>
    <row r="28" spans="1:14">
      <c r="A28" s="53"/>
      <c r="B28" s="53"/>
      <c r="C28" s="47"/>
      <c r="D28" s="205"/>
      <c r="E28" s="205"/>
      <c r="F28" s="205"/>
      <c r="G28" s="205"/>
      <c r="H28" s="205"/>
      <c r="I28" s="205"/>
      <c r="J28" s="206"/>
      <c r="K28" s="118"/>
      <c r="L28" s="118"/>
      <c r="M28" s="118"/>
      <c r="N28" s="118"/>
    </row>
    <row r="29" spans="1:14">
      <c r="A29" s="53"/>
      <c r="B29" s="53"/>
      <c r="C29" s="47" t="s">
        <v>84</v>
      </c>
      <c r="D29" s="205"/>
      <c r="E29" s="205"/>
      <c r="F29" s="205"/>
      <c r="G29" s="205"/>
      <c r="H29" s="205"/>
      <c r="I29" s="205"/>
      <c r="J29" s="206"/>
      <c r="K29" s="118"/>
      <c r="L29" s="118"/>
      <c r="M29" s="118"/>
      <c r="N29" s="118"/>
    </row>
    <row r="30" spans="1:14">
      <c r="C30" s="47" t="s">
        <v>83</v>
      </c>
      <c r="D30" s="204">
        <v>2E-3</v>
      </c>
      <c r="E30" s="204">
        <v>-0.05</v>
      </c>
      <c r="F30" s="202">
        <f>+E7</f>
        <v>-0.08</v>
      </c>
      <c r="G30" s="202">
        <v>0</v>
      </c>
      <c r="H30" s="202">
        <v>0</v>
      </c>
      <c r="I30" s="202">
        <v>0</v>
      </c>
      <c r="J30" s="203">
        <v>0</v>
      </c>
      <c r="K30" s="118"/>
      <c r="L30" s="118"/>
      <c r="M30" s="118"/>
      <c r="N30" s="118"/>
    </row>
    <row r="31" spans="1:14">
      <c r="C31" s="47" t="s">
        <v>165</v>
      </c>
      <c r="D31" s="204">
        <v>4.4999999999999998E-2</v>
      </c>
      <c r="E31" s="204">
        <v>-1E-3</v>
      </c>
      <c r="F31" s="202">
        <f>+E8</f>
        <v>0</v>
      </c>
      <c r="G31" s="202">
        <f>+F31</f>
        <v>0</v>
      </c>
      <c r="H31" s="202">
        <f t="shared" ref="H31:J31" si="10">+G31</f>
        <v>0</v>
      </c>
      <c r="I31" s="202">
        <f t="shared" si="10"/>
        <v>0</v>
      </c>
      <c r="J31" s="203">
        <f t="shared" si="10"/>
        <v>0</v>
      </c>
      <c r="K31" s="118"/>
      <c r="L31" s="118"/>
      <c r="M31" s="118"/>
      <c r="N31" s="118"/>
    </row>
    <row r="32" spans="1:14">
      <c r="A32" s="55"/>
      <c r="B32" s="55"/>
      <c r="C32" s="47" t="s">
        <v>82</v>
      </c>
      <c r="D32" s="207"/>
      <c r="E32" s="207"/>
      <c r="F32" s="207"/>
      <c r="G32" s="207"/>
      <c r="H32" s="207"/>
      <c r="I32" s="207"/>
      <c r="J32" s="208"/>
      <c r="K32" s="118"/>
      <c r="L32" s="118"/>
      <c r="M32" s="118"/>
      <c r="N32" s="118"/>
    </row>
    <row r="33" spans="1:14">
      <c r="C33" s="47" t="s">
        <v>30</v>
      </c>
      <c r="D33" s="209">
        <v>2033</v>
      </c>
      <c r="E33" s="209">
        <v>2016</v>
      </c>
      <c r="F33" s="205">
        <f>+E33+Assumptions!D13</f>
        <v>1976</v>
      </c>
      <c r="G33" s="205">
        <f>+F33+Assumptions!E13</f>
        <v>1936</v>
      </c>
      <c r="H33" s="205">
        <f>+G33+Assumptions!F13</f>
        <v>1896</v>
      </c>
      <c r="I33" s="205">
        <f>+H33+Assumptions!G13</f>
        <v>1856</v>
      </c>
      <c r="J33" s="206">
        <f>+I33+Assumptions!H13</f>
        <v>1816</v>
      </c>
      <c r="K33" s="118"/>
      <c r="L33" s="118"/>
      <c r="M33" s="118"/>
      <c r="N33" s="118"/>
    </row>
    <row r="34" spans="1:14">
      <c r="C34" s="47" t="s">
        <v>169</v>
      </c>
      <c r="D34" s="209">
        <v>11</v>
      </c>
      <c r="E34" s="209">
        <v>10</v>
      </c>
      <c r="F34" s="205">
        <f>+E34</f>
        <v>10</v>
      </c>
      <c r="G34" s="205">
        <f>+F34</f>
        <v>10</v>
      </c>
      <c r="H34" s="205">
        <f>+G34</f>
        <v>10</v>
      </c>
      <c r="I34" s="205">
        <f>+H34</f>
        <v>10</v>
      </c>
      <c r="J34" s="206">
        <f>+I34</f>
        <v>10</v>
      </c>
      <c r="K34" s="118"/>
      <c r="L34" s="118"/>
      <c r="M34" s="118"/>
      <c r="N34" s="118"/>
    </row>
    <row r="35" spans="1:14">
      <c r="C35" s="47" t="s">
        <v>166</v>
      </c>
      <c r="D35" s="209">
        <v>1507</v>
      </c>
      <c r="E35" s="209">
        <v>1556</v>
      </c>
      <c r="F35" s="210">
        <f>+E35+Assumptions!D14</f>
        <v>1613</v>
      </c>
      <c r="G35" s="210">
        <f>+F35+Assumptions!E14</f>
        <v>1643</v>
      </c>
      <c r="H35" s="210">
        <f>+G35+Assumptions!F14</f>
        <v>1663</v>
      </c>
      <c r="I35" s="210">
        <f>+H35+Assumptions!G14</f>
        <v>1683</v>
      </c>
      <c r="J35" s="211">
        <f>+I35+Assumptions!H14</f>
        <v>1703</v>
      </c>
      <c r="K35" s="118"/>
      <c r="L35" s="118"/>
      <c r="M35" s="118"/>
      <c r="N35" s="118"/>
    </row>
    <row r="36" spans="1:14">
      <c r="C36" s="47" t="s">
        <v>167</v>
      </c>
      <c r="D36" s="207">
        <v>165</v>
      </c>
      <c r="E36" s="207">
        <v>167</v>
      </c>
      <c r="F36" s="205">
        <f>+E36</f>
        <v>167</v>
      </c>
      <c r="G36" s="205">
        <f>+F36</f>
        <v>167</v>
      </c>
      <c r="H36" s="205">
        <f>+G36</f>
        <v>167</v>
      </c>
      <c r="I36" s="205">
        <f>+H36</f>
        <v>167</v>
      </c>
      <c r="J36" s="206">
        <f>+I36</f>
        <v>167</v>
      </c>
      <c r="K36" s="118"/>
      <c r="L36" s="118"/>
      <c r="M36" s="118"/>
      <c r="N36" s="118"/>
    </row>
    <row r="37" spans="1:14" ht="13.5" thickBot="1">
      <c r="C37" s="122" t="s">
        <v>13</v>
      </c>
      <c r="D37" s="212">
        <f>SUM(D33:D36)</f>
        <v>3716</v>
      </c>
      <c r="E37" s="212">
        <f t="shared" ref="E37:J37" si="11">SUM(E33:E36)</f>
        <v>3749</v>
      </c>
      <c r="F37" s="212">
        <f t="shared" si="11"/>
        <v>3766</v>
      </c>
      <c r="G37" s="212">
        <f t="shared" si="11"/>
        <v>3756</v>
      </c>
      <c r="H37" s="212">
        <f t="shared" si="11"/>
        <v>3736</v>
      </c>
      <c r="I37" s="212">
        <f t="shared" si="11"/>
        <v>3716</v>
      </c>
      <c r="J37" s="213">
        <f t="shared" si="11"/>
        <v>3696</v>
      </c>
      <c r="K37" s="119"/>
      <c r="L37" s="119"/>
      <c r="M37" s="118"/>
      <c r="N37" s="118"/>
    </row>
    <row r="38" spans="1:14" ht="13.5" thickBot="1">
      <c r="C38" s="61"/>
      <c r="D38" s="125"/>
      <c r="E38" s="125"/>
      <c r="F38" s="125"/>
      <c r="G38" s="125"/>
      <c r="H38" s="125"/>
      <c r="I38" s="125"/>
      <c r="J38" s="125"/>
      <c r="K38" s="118"/>
      <c r="L38" s="118"/>
      <c r="M38" s="118"/>
      <c r="N38" s="118"/>
    </row>
    <row r="39" spans="1:14" ht="13.5" thickBot="1">
      <c r="C39" s="65" t="s">
        <v>116</v>
      </c>
      <c r="D39" s="129">
        <v>2015</v>
      </c>
      <c r="E39" s="129">
        <f>+D39+1</f>
        <v>2016</v>
      </c>
      <c r="F39" s="129">
        <f>+E39+1</f>
        <v>2017</v>
      </c>
      <c r="G39" s="129">
        <f t="shared" ref="G39" si="12">+F39+1</f>
        <v>2018</v>
      </c>
      <c r="H39" s="129">
        <f t="shared" ref="H39" si="13">+G39+1</f>
        <v>2019</v>
      </c>
      <c r="I39" s="129">
        <f t="shared" ref="I39" si="14">+H39+1</f>
        <v>2020</v>
      </c>
      <c r="J39" s="130">
        <f t="shared" ref="J39" si="15">+I39+1</f>
        <v>2021</v>
      </c>
      <c r="K39" s="120"/>
      <c r="L39" s="120"/>
      <c r="M39" s="118"/>
      <c r="N39" s="118"/>
    </row>
    <row r="40" spans="1:14">
      <c r="C40" s="47" t="s">
        <v>155</v>
      </c>
      <c r="D40" s="222">
        <v>0.06</v>
      </c>
      <c r="E40" s="222">
        <v>0.06</v>
      </c>
      <c r="F40" s="223">
        <v>0.06</v>
      </c>
      <c r="G40" s="223">
        <v>0.06</v>
      </c>
      <c r="H40" s="223">
        <v>0.06</v>
      </c>
      <c r="I40" s="223">
        <v>0.06</v>
      </c>
      <c r="J40" s="224">
        <v>0.06</v>
      </c>
      <c r="K40" s="118"/>
      <c r="L40" s="118"/>
      <c r="M40" s="118"/>
      <c r="N40" s="118"/>
    </row>
    <row r="41" spans="1:14">
      <c r="C41" s="47" t="s">
        <v>136</v>
      </c>
      <c r="D41" s="223">
        <f t="shared" ref="D41:J41" si="16">D33</f>
        <v>2033</v>
      </c>
      <c r="E41" s="223">
        <f t="shared" si="16"/>
        <v>2016</v>
      </c>
      <c r="F41" s="223">
        <f t="shared" si="16"/>
        <v>1976</v>
      </c>
      <c r="G41" s="223">
        <f t="shared" si="16"/>
        <v>1936</v>
      </c>
      <c r="H41" s="223">
        <f t="shared" si="16"/>
        <v>1896</v>
      </c>
      <c r="I41" s="223">
        <f t="shared" si="16"/>
        <v>1856</v>
      </c>
      <c r="J41" s="224">
        <f t="shared" si="16"/>
        <v>1816</v>
      </c>
      <c r="K41" s="118"/>
      <c r="L41" s="118"/>
      <c r="M41" s="118"/>
      <c r="N41" s="118"/>
    </row>
    <row r="42" spans="1:14">
      <c r="A42" s="55"/>
      <c r="B42" s="55"/>
      <c r="C42" s="47" t="s">
        <v>137</v>
      </c>
      <c r="D42" s="225">
        <f t="shared" ref="D42:J42" si="17">D26</f>
        <v>2.3177078209542548</v>
      </c>
      <c r="E42" s="223">
        <f t="shared" si="17"/>
        <v>2.1917658730158731</v>
      </c>
      <c r="F42" s="223">
        <f t="shared" si="17"/>
        <v>2.0164246031746034</v>
      </c>
      <c r="G42" s="223">
        <f t="shared" si="17"/>
        <v>2</v>
      </c>
      <c r="H42" s="223">
        <f t="shared" si="17"/>
        <v>2</v>
      </c>
      <c r="I42" s="223">
        <f t="shared" si="17"/>
        <v>2</v>
      </c>
      <c r="J42" s="226">
        <f t="shared" si="17"/>
        <v>2</v>
      </c>
      <c r="K42" s="118"/>
      <c r="L42" s="118"/>
      <c r="M42" s="118"/>
      <c r="N42" s="118"/>
    </row>
    <row r="43" spans="1:14" ht="13.5" thickBot="1">
      <c r="A43" s="55"/>
      <c r="B43" s="55"/>
      <c r="C43" s="54" t="s">
        <v>114</v>
      </c>
      <c r="D43" s="227">
        <f>+Financials!D8</f>
        <v>293.53384819483449</v>
      </c>
      <c r="E43" s="227">
        <f>+Financials!E8</f>
        <v>284.77966632639709</v>
      </c>
      <c r="F43" s="227">
        <f>+$F$27*F33*F26</f>
        <v>256.79893403178761</v>
      </c>
      <c r="G43" s="227">
        <f>+$F$27*G33*G26</f>
        <v>249.55118544693104</v>
      </c>
      <c r="H43" s="227">
        <f>+$F$27*H33*H26</f>
        <v>244.39516921868866</v>
      </c>
      <c r="I43" s="227">
        <f>+$F$27*I33*I26</f>
        <v>239.23915299044631</v>
      </c>
      <c r="J43" s="228">
        <f>+$F$27*J33*J26</f>
        <v>234.08313676220394</v>
      </c>
      <c r="K43" s="118"/>
      <c r="L43" s="118"/>
      <c r="M43" s="118"/>
      <c r="N43" s="118"/>
    </row>
    <row r="44" spans="1:14" ht="14.25" thickTop="1" thickBot="1">
      <c r="A44" s="55"/>
      <c r="B44" s="55"/>
      <c r="C44" s="122" t="s">
        <v>115</v>
      </c>
      <c r="D44" s="229"/>
      <c r="E44" s="230">
        <f>+(E43-D43)/D43</f>
        <v>-2.9823415331055005E-2</v>
      </c>
      <c r="F44" s="230">
        <f t="shared" ref="F44:J44" si="18">+(F43-E43)/E43</f>
        <v>-9.8253968253968219E-2</v>
      </c>
      <c r="G44" s="230">
        <f t="shared" si="18"/>
        <v>-2.8223437189032141E-2</v>
      </c>
      <c r="H44" s="230">
        <f t="shared" si="18"/>
        <v>-2.0661157024793396E-2</v>
      </c>
      <c r="I44" s="230">
        <f t="shared" si="18"/>
        <v>-2.1097046413502001E-2</v>
      </c>
      <c r="J44" s="231">
        <f t="shared" si="18"/>
        <v>-2.1551724137931039E-2</v>
      </c>
      <c r="K44" s="118"/>
      <c r="L44" s="118"/>
      <c r="M44" s="118"/>
      <c r="N44" s="118"/>
    </row>
    <row r="45" spans="1:14">
      <c r="C45" s="61"/>
      <c r="D45" s="128"/>
      <c r="E45" s="128"/>
      <c r="F45" s="128"/>
      <c r="G45" s="128"/>
      <c r="H45" s="128"/>
      <c r="I45" s="128"/>
      <c r="J45" s="128"/>
      <c r="K45" s="118"/>
      <c r="L45" s="118"/>
      <c r="M45" s="118"/>
      <c r="N45" s="118"/>
    </row>
    <row r="46" spans="1:14">
      <c r="C46" s="61"/>
      <c r="D46" s="125"/>
      <c r="E46" s="125"/>
      <c r="F46" s="125"/>
      <c r="G46" s="125"/>
      <c r="H46" s="125"/>
      <c r="I46" s="125"/>
      <c r="J46" s="125"/>
      <c r="K46" s="118"/>
      <c r="L46" s="118"/>
      <c r="M46" s="118"/>
      <c r="N46" s="118"/>
    </row>
    <row r="47" spans="1:14" ht="13.5" thickBot="1">
      <c r="C47" s="61"/>
      <c r="D47" s="125"/>
      <c r="E47" s="125"/>
      <c r="F47" s="125"/>
      <c r="G47" s="125"/>
      <c r="H47" s="125"/>
      <c r="I47" s="125"/>
      <c r="J47" s="125"/>
      <c r="K47" s="118"/>
      <c r="L47" s="118"/>
      <c r="M47" s="118"/>
      <c r="N47" s="118"/>
    </row>
    <row r="48" spans="1:14" ht="13.5" thickBot="1">
      <c r="B48" s="42"/>
      <c r="C48" s="65" t="s">
        <v>108</v>
      </c>
      <c r="D48" s="129">
        <v>2014</v>
      </c>
      <c r="E48" s="129">
        <v>2015</v>
      </c>
      <c r="F48" s="130">
        <v>2016</v>
      </c>
      <c r="G48" s="125"/>
      <c r="H48" s="125"/>
      <c r="I48" s="125"/>
      <c r="J48" s="125"/>
      <c r="K48" s="118"/>
      <c r="L48" s="118"/>
      <c r="M48" s="118"/>
      <c r="N48" s="118"/>
    </row>
    <row r="49" spans="2:14" ht="13.5" thickBot="1">
      <c r="B49" s="42"/>
      <c r="C49" s="123"/>
      <c r="D49" s="251">
        <v>3.125</v>
      </c>
      <c r="E49" s="251">
        <v>3.5449999999999999</v>
      </c>
      <c r="F49" s="252">
        <v>3.73</v>
      </c>
      <c r="G49" s="125"/>
      <c r="H49" s="125"/>
      <c r="I49" s="125"/>
      <c r="J49" s="125"/>
      <c r="K49" s="118"/>
      <c r="L49" s="118"/>
      <c r="M49" s="118"/>
      <c r="N49" s="118"/>
    </row>
    <row r="50" spans="2:14" ht="13.5" thickBot="1">
      <c r="C50" s="133" t="s">
        <v>161</v>
      </c>
      <c r="D50" s="253">
        <v>68.974999999999966</v>
      </c>
      <c r="E50" s="253">
        <v>74.279999999999973</v>
      </c>
      <c r="F50" s="254">
        <v>79.836000000000013</v>
      </c>
      <c r="G50" s="125"/>
      <c r="H50" s="125"/>
      <c r="I50" s="125"/>
      <c r="J50" s="125"/>
      <c r="K50" s="118"/>
      <c r="L50" s="118"/>
      <c r="M50" s="118"/>
      <c r="N50" s="118"/>
    </row>
    <row r="51" spans="2:14" ht="13.5" thickBot="1">
      <c r="C51" s="123" t="s">
        <v>115</v>
      </c>
      <c r="D51" s="251"/>
      <c r="E51" s="255">
        <f>+E50-D50</f>
        <v>5.3050000000000068</v>
      </c>
      <c r="F51" s="256">
        <f>+F50-E50</f>
        <v>5.55600000000004</v>
      </c>
      <c r="G51" s="125"/>
      <c r="H51" s="125"/>
      <c r="I51" s="125"/>
      <c r="J51" s="125"/>
      <c r="K51" s="118"/>
      <c r="L51" s="118"/>
      <c r="M51" s="118"/>
      <c r="N51" s="118"/>
    </row>
    <row r="52" spans="2:14" ht="13.5" thickBot="1">
      <c r="C52" s="124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</row>
    <row r="53" spans="2:14" ht="13.5" thickBot="1">
      <c r="C53" s="146" t="s">
        <v>12</v>
      </c>
      <c r="D53" s="145" t="s">
        <v>96</v>
      </c>
      <c r="E53" s="147" t="s">
        <v>15</v>
      </c>
      <c r="F53" s="66"/>
      <c r="G53" s="66"/>
      <c r="H53" s="66"/>
    </row>
    <row r="54" spans="2:14">
      <c r="C54" s="150" t="s">
        <v>2</v>
      </c>
      <c r="D54" s="151">
        <v>1550.5350000000001</v>
      </c>
      <c r="E54" s="152" t="s">
        <v>21</v>
      </c>
    </row>
    <row r="55" spans="2:14">
      <c r="C55" s="150" t="s">
        <v>1</v>
      </c>
      <c r="D55" s="151">
        <v>140.535</v>
      </c>
      <c r="E55" s="152" t="s">
        <v>21</v>
      </c>
    </row>
    <row r="56" spans="2:14">
      <c r="C56" s="155" t="s">
        <v>14</v>
      </c>
      <c r="D56" s="156">
        <f>D54-D55</f>
        <v>1410</v>
      </c>
      <c r="E56" s="152">
        <f>D56/D60</f>
        <v>0.58534884300196777</v>
      </c>
    </row>
    <row r="57" spans="2:14">
      <c r="C57" s="150" t="s">
        <v>22</v>
      </c>
      <c r="D57" s="151">
        <f>+Valuation!$D$3</f>
        <v>55.49</v>
      </c>
      <c r="E57" s="152" t="s">
        <v>21</v>
      </c>
    </row>
    <row r="58" spans="2:14">
      <c r="C58" s="150" t="s">
        <v>23</v>
      </c>
      <c r="D58" s="160">
        <v>18</v>
      </c>
      <c r="E58" s="152" t="s">
        <v>21</v>
      </c>
    </row>
    <row r="59" spans="2:14">
      <c r="C59" s="149" t="s">
        <v>17</v>
      </c>
      <c r="D59" s="156">
        <f>D57*D58</f>
        <v>998.82</v>
      </c>
      <c r="E59" s="164">
        <f>D59/D60</f>
        <v>0.41465115699803223</v>
      </c>
    </row>
    <row r="60" spans="2:14">
      <c r="C60" s="161" t="s">
        <v>13</v>
      </c>
      <c r="D60" s="165">
        <f>D59+D56</f>
        <v>2408.8200000000002</v>
      </c>
      <c r="E60" s="166">
        <f>E59+E56</f>
        <v>1</v>
      </c>
    </row>
    <row r="61" spans="2:14" ht="13.5" thickBot="1">
      <c r="C61" s="139"/>
      <c r="D61" s="93"/>
      <c r="E61" s="16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53"/>
  <sheetViews>
    <sheetView showGridLines="0" topLeftCell="A15" zoomScale="70" zoomScaleNormal="70" workbookViewId="0">
      <selection activeCell="E33" sqref="E33"/>
    </sheetView>
  </sheetViews>
  <sheetFormatPr defaultRowHeight="12.75"/>
  <cols>
    <col min="1" max="1" width="3.140625" style="41" customWidth="1"/>
    <col min="2" max="2" width="17.5703125" style="41" customWidth="1"/>
    <col min="3" max="3" width="30.140625" style="42" bestFit="1" customWidth="1"/>
    <col min="4" max="4" width="9.28515625" style="42" customWidth="1"/>
    <col min="5" max="5" width="26.42578125" style="42" bestFit="1" customWidth="1"/>
    <col min="6" max="6" width="9.28515625" style="42" bestFit="1" customWidth="1"/>
    <col min="7" max="7" width="9.7109375" style="42" bestFit="1" customWidth="1"/>
    <col min="8" max="8" width="9.28515625" style="42" bestFit="1" customWidth="1"/>
    <col min="9" max="9" width="10" style="42" bestFit="1" customWidth="1"/>
    <col min="10" max="10" width="9.28515625" style="42" bestFit="1" customWidth="1"/>
    <col min="11" max="11" width="15" style="42" bestFit="1" customWidth="1"/>
    <col min="12" max="12" width="6" style="42" bestFit="1" customWidth="1"/>
    <col min="13" max="13" width="6.28515625" style="42" bestFit="1" customWidth="1"/>
    <col min="14" max="14" width="5.42578125" style="42" bestFit="1" customWidth="1"/>
    <col min="15" max="15" width="8.85546875" style="42" customWidth="1"/>
    <col min="16" max="16384" width="9.140625" style="42"/>
  </cols>
  <sheetData>
    <row r="2" spans="1:12" ht="13.5" thickBot="1"/>
    <row r="3" spans="1:12">
      <c r="A3" s="42"/>
      <c r="B3" s="42"/>
      <c r="C3" s="136" t="s">
        <v>175</v>
      </c>
      <c r="D3" s="137">
        <v>55.49</v>
      </c>
      <c r="E3" s="138"/>
      <c r="F3" s="48"/>
      <c r="G3" s="48"/>
      <c r="H3" s="48"/>
      <c r="I3" s="48"/>
      <c r="J3" s="48"/>
      <c r="K3" s="48"/>
      <c r="L3" s="2"/>
    </row>
    <row r="4" spans="1:12" ht="13.5" thickBot="1">
      <c r="C4" s="139" t="s">
        <v>123</v>
      </c>
      <c r="D4" s="140">
        <f>+AVERAGE(D13,D39)</f>
        <v>24.780836519071382</v>
      </c>
      <c r="E4" s="141">
        <f>+(D4-D3)/D3</f>
        <v>-0.55341797586823971</v>
      </c>
      <c r="F4" s="48"/>
      <c r="G4" s="48"/>
      <c r="H4" s="48"/>
      <c r="I4" s="48"/>
      <c r="J4" s="142"/>
      <c r="K4" s="142"/>
      <c r="L4" s="43"/>
    </row>
    <row r="5" spans="1:12">
      <c r="C5" s="48"/>
      <c r="D5" s="142"/>
      <c r="E5" s="48"/>
      <c r="F5" s="48"/>
      <c r="G5" s="48"/>
      <c r="H5" s="48"/>
      <c r="I5" s="48"/>
      <c r="J5" s="142"/>
      <c r="K5" s="142"/>
      <c r="L5" s="43"/>
    </row>
    <row r="6" spans="1:12" ht="13.5" thickBot="1">
      <c r="A6" s="42"/>
      <c r="B6" s="42"/>
      <c r="C6" s="48"/>
      <c r="D6" s="48"/>
      <c r="E6" s="48"/>
      <c r="F6" s="48"/>
      <c r="G6" s="48"/>
      <c r="H6" s="143"/>
      <c r="I6" s="143"/>
      <c r="J6" s="48"/>
      <c r="K6" s="48"/>
      <c r="L6" s="2"/>
    </row>
    <row r="7" spans="1:12" ht="13.5" thickBot="1">
      <c r="A7" s="42"/>
      <c r="B7" s="42"/>
      <c r="C7" s="144" t="s">
        <v>26</v>
      </c>
      <c r="D7" s="145"/>
      <c r="E7" s="146"/>
      <c r="F7" s="145"/>
      <c r="G7" s="147"/>
      <c r="K7" s="48"/>
    </row>
    <row r="8" spans="1:12">
      <c r="A8" s="44"/>
      <c r="B8" s="44"/>
      <c r="C8" s="148" t="s">
        <v>24</v>
      </c>
      <c r="D8" s="62">
        <f>SUM(F23:K23)</f>
        <v>1598.161046169786</v>
      </c>
      <c r="E8" s="149"/>
      <c r="F8" s="62"/>
      <c r="G8" s="45"/>
      <c r="K8" s="48"/>
    </row>
    <row r="9" spans="1:12">
      <c r="A9" s="46"/>
      <c r="B9" s="46"/>
      <c r="C9" s="148" t="s">
        <v>2</v>
      </c>
      <c r="D9" s="62">
        <f>+Assumptions!D54</f>
        <v>1550.5350000000001</v>
      </c>
      <c r="E9" s="149" t="s">
        <v>87</v>
      </c>
      <c r="F9" s="234">
        <v>0.08</v>
      </c>
      <c r="G9" s="45"/>
      <c r="K9" s="48"/>
      <c r="L9" s="48"/>
    </row>
    <row r="10" spans="1:12">
      <c r="A10" s="49"/>
      <c r="B10" s="49"/>
      <c r="C10" s="148" t="s">
        <v>1</v>
      </c>
      <c r="D10" s="62">
        <f>+Assumptions!D55</f>
        <v>140.535</v>
      </c>
      <c r="E10" s="149" t="s">
        <v>97</v>
      </c>
      <c r="F10" s="153">
        <v>0</v>
      </c>
      <c r="G10" s="154"/>
      <c r="K10" s="48"/>
    </row>
    <row r="11" spans="1:12">
      <c r="A11" s="49"/>
      <c r="B11" s="49"/>
      <c r="C11" s="157" t="s">
        <v>16</v>
      </c>
      <c r="D11" s="158">
        <f>+D8-D9+D10</f>
        <v>188.16104616978592</v>
      </c>
      <c r="E11" s="149"/>
      <c r="F11" s="63"/>
      <c r="G11" s="45"/>
      <c r="K11" s="48"/>
    </row>
    <row r="12" spans="1:12">
      <c r="C12" s="149" t="s">
        <v>18</v>
      </c>
      <c r="D12" s="159">
        <f>+Assumptions!D58</f>
        <v>18</v>
      </c>
      <c r="E12" s="149" t="s">
        <v>133</v>
      </c>
      <c r="F12" s="62">
        <f>+Financials!$K$32*($F$13/((1+$F$9)^6))</f>
        <v>1082.3933192272252</v>
      </c>
      <c r="G12" s="45"/>
      <c r="K12" s="48"/>
    </row>
    <row r="13" spans="1:12">
      <c r="C13" s="161" t="s">
        <v>19</v>
      </c>
      <c r="D13" s="162">
        <f>D11/D12</f>
        <v>10.453391453876996</v>
      </c>
      <c r="E13" s="149" t="s">
        <v>164</v>
      </c>
      <c r="F13" s="63">
        <v>8.5</v>
      </c>
      <c r="G13" s="163">
        <f>+F13*Financials!K32</f>
        <v>1717.6221656078123</v>
      </c>
      <c r="K13" s="48"/>
    </row>
    <row r="14" spans="1:12">
      <c r="A14" s="42"/>
      <c r="B14" s="42"/>
      <c r="C14" s="149" t="s">
        <v>20</v>
      </c>
      <c r="D14" s="62">
        <f>+$D$3</f>
        <v>55.49</v>
      </c>
      <c r="E14" s="149" t="s">
        <v>134</v>
      </c>
      <c r="F14" s="62">
        <f>+G41*D12</f>
        <v>67.14</v>
      </c>
      <c r="G14" s="45"/>
      <c r="K14" s="48"/>
    </row>
    <row r="15" spans="1:12" ht="13.5" thickBot="1">
      <c r="A15" s="42"/>
      <c r="B15" s="42"/>
      <c r="C15" s="167" t="s">
        <v>25</v>
      </c>
      <c r="D15" s="92">
        <f>D13/D14-1</f>
        <v>-0.81161666149077316</v>
      </c>
      <c r="E15" s="139"/>
      <c r="F15" s="93"/>
      <c r="G15" s="168"/>
      <c r="K15" s="48"/>
    </row>
    <row r="16" spans="1:12" s="2" customFormat="1" ht="13.5" thickBot="1">
      <c r="C16" s="169" t="s">
        <v>135</v>
      </c>
      <c r="D16" s="199">
        <v>2015</v>
      </c>
      <c r="E16" s="199">
        <f>1+D16</f>
        <v>2016</v>
      </c>
      <c r="F16" s="199">
        <f t="shared" ref="F16:J16" si="0">1+E16</f>
        <v>2017</v>
      </c>
      <c r="G16" s="199">
        <f t="shared" si="0"/>
        <v>2018</v>
      </c>
      <c r="H16" s="199">
        <f t="shared" si="0"/>
        <v>2019</v>
      </c>
      <c r="I16" s="199">
        <f t="shared" si="0"/>
        <v>2020</v>
      </c>
      <c r="J16" s="199">
        <f t="shared" si="0"/>
        <v>2021</v>
      </c>
      <c r="K16" s="170" t="s">
        <v>28</v>
      </c>
    </row>
    <row r="17" spans="1:14">
      <c r="A17" s="55"/>
      <c r="B17" s="55"/>
      <c r="C17" s="149" t="s">
        <v>9</v>
      </c>
      <c r="D17" s="171">
        <f>+Financials!D35</f>
        <v>231.90299999999999</v>
      </c>
      <c r="E17" s="171">
        <f>+Financials!E35</f>
        <v>214.601</v>
      </c>
      <c r="F17" s="171">
        <f>+Financials!G35</f>
        <v>196.79252521365336</v>
      </c>
      <c r="G17" s="171">
        <f>+Financials!H35</f>
        <v>182.5823138550069</v>
      </c>
      <c r="H17" s="171">
        <f>+Financials!I35</f>
        <v>178.24470598752819</v>
      </c>
      <c r="I17" s="171">
        <f>+Financials!J35</f>
        <v>175.15895097069418</v>
      </c>
      <c r="J17" s="171">
        <f>+Financials!K35</f>
        <v>172.07319595386028</v>
      </c>
      <c r="K17" s="172"/>
      <c r="M17" s="94"/>
      <c r="N17" s="94"/>
    </row>
    <row r="18" spans="1:14">
      <c r="C18" s="149" t="s">
        <v>157</v>
      </c>
      <c r="D18" s="171">
        <f>1-Financials!D26</f>
        <v>0.62213828721190167</v>
      </c>
      <c r="E18" s="171">
        <f>1-Financials!E26</f>
        <v>0.63996029309961999</v>
      </c>
      <c r="F18" s="171">
        <f>1-Financials!G26</f>
        <v>0.62</v>
      </c>
      <c r="G18" s="171">
        <f>1-Financials!H26</f>
        <v>0.62</v>
      </c>
      <c r="H18" s="171">
        <f>1-Financials!I26</f>
        <v>0.62</v>
      </c>
      <c r="I18" s="171">
        <f>1-Financials!J26</f>
        <v>0.62</v>
      </c>
      <c r="J18" s="171">
        <f>1-Financials!K26</f>
        <v>0.62</v>
      </c>
      <c r="K18" s="172"/>
      <c r="M18" s="94"/>
      <c r="N18" s="94"/>
    </row>
    <row r="19" spans="1:14">
      <c r="C19" s="148" t="s">
        <v>160</v>
      </c>
      <c r="D19" s="173">
        <f>+Financials!D29</f>
        <v>32.840000000000003</v>
      </c>
      <c r="E19" s="173">
        <f>+Financials!E29</f>
        <v>30.605999999999998</v>
      </c>
      <c r="F19" s="173">
        <f>+Financials!G29</f>
        <v>30</v>
      </c>
      <c r="G19" s="173">
        <f>+Financials!H29</f>
        <v>30</v>
      </c>
      <c r="H19" s="173">
        <f>+Financials!I29</f>
        <v>30</v>
      </c>
      <c r="I19" s="173">
        <f>+Financials!J29</f>
        <v>30</v>
      </c>
      <c r="J19" s="173">
        <f>+Financials!K29</f>
        <v>30</v>
      </c>
      <c r="K19" s="172"/>
      <c r="L19" s="94"/>
      <c r="M19" s="94"/>
      <c r="N19" s="94"/>
    </row>
    <row r="20" spans="1:14">
      <c r="C20" s="197" t="s">
        <v>158</v>
      </c>
      <c r="D20" s="198">
        <v>-5.6369999999999996</v>
      </c>
      <c r="E20" s="198">
        <v>-5.6369999999999996</v>
      </c>
      <c r="F20" s="198">
        <v>-12</v>
      </c>
      <c r="G20" s="198">
        <v>-12</v>
      </c>
      <c r="H20" s="198">
        <v>-10</v>
      </c>
      <c r="I20" s="198">
        <v>-10</v>
      </c>
      <c r="J20" s="198">
        <v>-10</v>
      </c>
      <c r="K20" s="172"/>
      <c r="M20" s="41"/>
    </row>
    <row r="21" spans="1:14">
      <c r="C21" s="149" t="s">
        <v>159</v>
      </c>
      <c r="D21" s="174">
        <v>5.64</v>
      </c>
      <c r="E21" s="174">
        <v>5.64</v>
      </c>
      <c r="F21" s="174">
        <v>5</v>
      </c>
      <c r="G21" s="174">
        <v>5</v>
      </c>
      <c r="H21" s="174">
        <v>5</v>
      </c>
      <c r="I21" s="174">
        <v>5</v>
      </c>
      <c r="J21" s="174">
        <v>5</v>
      </c>
      <c r="K21" s="172"/>
    </row>
    <row r="22" spans="1:14" ht="13.5" thickBot="1">
      <c r="C22" s="175" t="s">
        <v>163</v>
      </c>
      <c r="D22" s="176">
        <f>+SUM(D17*D18,D19,D20,D21)</f>
        <v>177.11873521930161</v>
      </c>
      <c r="E22" s="176">
        <f>+SUM(E17*E18,E19,E20,E21)</f>
        <v>167.94511885947153</v>
      </c>
      <c r="F22" s="176">
        <f>+SUM(F17*F18,F19,F20,F21)</f>
        <v>145.01136563246507</v>
      </c>
      <c r="G22" s="176">
        <f>+SUM(G17*G18,G19,G20,-G21)</f>
        <v>126.20103459010429</v>
      </c>
      <c r="H22" s="176">
        <f>+SUM(H17*H18,H19,H20,-H21)</f>
        <v>125.51171771226748</v>
      </c>
      <c r="I22" s="176">
        <f>+SUM(I17*I18,I19,I20,-I21)</f>
        <v>123.59854960183037</v>
      </c>
      <c r="J22" s="176">
        <f>+SUM(J17*J18,J19,J20,-J21)</f>
        <v>121.68538149139337</v>
      </c>
      <c r="K22" s="172"/>
    </row>
    <row r="23" spans="1:14" ht="14.25" thickTop="1" thickBot="1">
      <c r="C23" s="139" t="s">
        <v>135</v>
      </c>
      <c r="D23" s="177"/>
      <c r="E23" s="177"/>
      <c r="F23" s="178">
        <f>F22/(1+$F$9)^1</f>
        <v>134.2697829930232</v>
      </c>
      <c r="G23" s="178">
        <f>G22/(1+$F$9)^2</f>
        <v>108.19704611634454</v>
      </c>
      <c r="H23" s="178">
        <f>H22/(1+$F$9)^3</f>
        <v>99.635248145820213</v>
      </c>
      <c r="I23" s="178">
        <f>I22/(1+$F$9)^4</f>
        <v>90.848623719688504</v>
      </c>
      <c r="J23" s="178">
        <f>J22/(1+$F$9)^5</f>
        <v>82.817025967684373</v>
      </c>
      <c r="K23" s="179">
        <f>G13/(1+$F$9)^6</f>
        <v>1082.3933192272252</v>
      </c>
    </row>
    <row r="24" spans="1:14">
      <c r="C24" s="180"/>
      <c r="D24" s="181"/>
      <c r="E24" s="63"/>
      <c r="F24" s="63"/>
      <c r="G24" s="63"/>
      <c r="H24" s="63"/>
      <c r="I24" s="63"/>
      <c r="J24" s="63"/>
      <c r="K24" s="63"/>
    </row>
    <row r="25" spans="1:14">
      <c r="C25" s="41"/>
      <c r="D25" s="299" t="s">
        <v>171</v>
      </c>
      <c r="E25" s="300"/>
      <c r="F25" s="300"/>
      <c r="G25" s="257"/>
      <c r="I25" s="257"/>
      <c r="J25" s="257"/>
    </row>
    <row r="26" spans="1:14" ht="13.5" thickBot="1">
      <c r="C26" s="41"/>
      <c r="D26" s="301" t="s">
        <v>173</v>
      </c>
      <c r="E26" s="301"/>
      <c r="F26" s="301"/>
      <c r="G26" s="75"/>
      <c r="H26" s="300" t="s">
        <v>172</v>
      </c>
      <c r="I26" s="300"/>
      <c r="J26" s="300"/>
      <c r="K26" s="75"/>
      <c r="L26" s="300" t="s">
        <v>174</v>
      </c>
      <c r="M26" s="300"/>
      <c r="N26" s="300"/>
    </row>
    <row r="27" spans="1:14" ht="13.5" thickBot="1">
      <c r="C27" s="297" t="s">
        <v>87</v>
      </c>
      <c r="D27" s="289">
        <f>+E27-1</f>
        <v>7.5</v>
      </c>
      <c r="E27" s="290">
        <v>8.5</v>
      </c>
      <c r="F27" s="289">
        <f>+E27+1</f>
        <v>9.5</v>
      </c>
      <c r="G27" s="296"/>
      <c r="H27" s="287">
        <f>+D27</f>
        <v>7.5</v>
      </c>
      <c r="I27" s="287">
        <f>+E27</f>
        <v>8.5</v>
      </c>
      <c r="J27" s="287">
        <f t="shared" ref="J27" si="1">+F27</f>
        <v>9.5</v>
      </c>
      <c r="K27" s="288"/>
      <c r="L27" s="287">
        <f>+H27</f>
        <v>7.5</v>
      </c>
      <c r="M27" s="287">
        <f>+I27</f>
        <v>8.5</v>
      </c>
      <c r="N27" s="287">
        <f>+J27</f>
        <v>9.5</v>
      </c>
    </row>
    <row r="28" spans="1:14" ht="13.5" thickBot="1">
      <c r="C28" s="259">
        <f>+C29-0.01</f>
        <v>7.0000000000000007E-2</v>
      </c>
      <c r="D28" s="260">
        <f>+NPV($C28,$F$22:$J$22)+Financials!$K$32*(D$27/((1+$C28)^6))</f>
        <v>1539.1354683284517</v>
      </c>
      <c r="E28" s="261">
        <f>+NPV($C28,$F$22:$J$22)+Financials!$K$32*(E$27/((1+$C28)^6))</f>
        <v>1673.7853710940567</v>
      </c>
      <c r="F28" s="262">
        <f>+NPV($C28,$F$22:$J$22)+Financials!$K$32*(F$27/((1+$C28)^6))</f>
        <v>1808.4352738596622</v>
      </c>
      <c r="G28" s="291">
        <f>+C28</f>
        <v>7.0000000000000007E-2</v>
      </c>
      <c r="H28" s="264">
        <f t="shared" ref="H28:I30" si="2">+(D28-$D$9+$D$10)/$D$12</f>
        <v>7.1741926849139777</v>
      </c>
      <c r="I28" s="265">
        <f t="shared" si="2"/>
        <v>14.654742838558699</v>
      </c>
      <c r="J28" s="266">
        <f t="shared" ref="J28:J30" si="3">+(F28-$D$9+$D$10)/$D$12</f>
        <v>22.135292992203446</v>
      </c>
      <c r="K28" s="263">
        <f>+G28</f>
        <v>7.0000000000000007E-2</v>
      </c>
      <c r="L28" s="267">
        <f>+(H28-$D$3)/$D$3</f>
        <v>-0.87071197179827042</v>
      </c>
      <c r="M28" s="268">
        <f t="shared" ref="M28:M30" si="4">+(I28-$D$3)/$D$3</f>
        <v>-0.7359029944393819</v>
      </c>
      <c r="N28" s="269">
        <f t="shared" ref="N28:N30" si="5">+(J28-$D$3)/$D$3</f>
        <v>-0.60109401708049293</v>
      </c>
    </row>
    <row r="29" spans="1:14" ht="13.5" thickBot="1">
      <c r="C29" s="259">
        <f>+F9</f>
        <v>0.08</v>
      </c>
      <c r="D29" s="270">
        <f>+NPV($C29,$F$22:$J$22)+Financials!$K$32*(D$27/((1+$C29)^6))</f>
        <v>1470.8206556724654</v>
      </c>
      <c r="E29" s="292">
        <f>+NPV($C29,$F$22:$J$22)+Financials!$K$32*(E$27/((1+$C29)^6))</f>
        <v>1598.161046169786</v>
      </c>
      <c r="F29" s="271">
        <f>+NPV($C29,$F$22:$J$22)+Financials!$K$32*(F$27/((1+$C29)^6))</f>
        <v>1725.5014366671064</v>
      </c>
      <c r="G29" s="291">
        <f>+C29</f>
        <v>0.08</v>
      </c>
      <c r="H29" s="272">
        <f t="shared" si="2"/>
        <v>3.3789253151369598</v>
      </c>
      <c r="I29" s="293">
        <f>+(E29-$D$9+$D$10)/$D$12</f>
        <v>10.453391453876996</v>
      </c>
      <c r="J29" s="273">
        <f t="shared" si="3"/>
        <v>17.527857592617018</v>
      </c>
      <c r="K29" s="263">
        <f>+G29</f>
        <v>0.08</v>
      </c>
      <c r="L29" s="274">
        <f t="shared" ref="L29:L30" si="6">+(H29-$D$3)/$D$3</f>
        <v>-0.9391074911671119</v>
      </c>
      <c r="M29" s="294">
        <f t="shared" si="4"/>
        <v>-0.81161666149077316</v>
      </c>
      <c r="N29" s="275">
        <f t="shared" si="5"/>
        <v>-0.68412583181443476</v>
      </c>
    </row>
    <row r="30" spans="1:14">
      <c r="C30" s="259">
        <f>+C29+0.01</f>
        <v>0.09</v>
      </c>
      <c r="D30" s="276">
        <f>+NPV($C30,$F$22:$J$22)+Financials!$K$32*(D$27/((1+$C30)^6))</f>
        <v>1406.496721201145</v>
      </c>
      <c r="E30" s="277">
        <f>+NPV($C30,$F$22:$J$22)+Financials!$K$32*(E$27/((1+$C30)^6))</f>
        <v>1526.9863655864933</v>
      </c>
      <c r="F30" s="278">
        <f>+NPV($C30,$F$22:$J$22)+Financials!$K$32*(F$27/((1+$C30)^6))</f>
        <v>1647.4760099718414</v>
      </c>
      <c r="G30" s="291">
        <f>+C30</f>
        <v>0.09</v>
      </c>
      <c r="H30" s="279">
        <f t="shared" si="2"/>
        <v>-0.19462659993639558</v>
      </c>
      <c r="I30" s="280">
        <f t="shared" si="2"/>
        <v>6.4992425325829579</v>
      </c>
      <c r="J30" s="281">
        <f t="shared" si="3"/>
        <v>13.193111665102299</v>
      </c>
      <c r="K30" s="263">
        <f>+G30</f>
        <v>0.09</v>
      </c>
      <c r="L30" s="282">
        <f t="shared" si="6"/>
        <v>-1.0035074175515659</v>
      </c>
      <c r="M30" s="283">
        <f t="shared" si="4"/>
        <v>-0.88287542741785974</v>
      </c>
      <c r="N30" s="284">
        <f t="shared" si="5"/>
        <v>-0.76224343728415389</v>
      </c>
    </row>
    <row r="31" spans="1:14">
      <c r="C31" s="180"/>
      <c r="D31" s="181"/>
      <c r="E31" s="63"/>
      <c r="F31" s="63"/>
      <c r="G31" s="63"/>
      <c r="H31" s="63"/>
      <c r="I31" s="63"/>
      <c r="J31" s="63"/>
      <c r="K31" s="63"/>
    </row>
    <row r="32" spans="1:14" ht="13.5" thickBot="1">
      <c r="C32" s="48"/>
      <c r="D32" s="48"/>
      <c r="E32" s="48"/>
      <c r="F32" s="48"/>
      <c r="G32" s="48"/>
      <c r="H32" s="48"/>
      <c r="I32" s="48"/>
      <c r="J32" s="63"/>
      <c r="K32" s="48"/>
    </row>
    <row r="33" spans="2:11" ht="13.5" thickBot="1">
      <c r="C33" s="144" t="s">
        <v>104</v>
      </c>
      <c r="D33" s="147"/>
      <c r="E33" s="182"/>
      <c r="F33" s="295"/>
      <c r="G33" s="182"/>
      <c r="H33" s="182"/>
      <c r="I33" s="48"/>
      <c r="J33" s="63"/>
      <c r="K33" s="48"/>
    </row>
    <row r="34" spans="2:11">
      <c r="C34" s="183" t="s">
        <v>100</v>
      </c>
      <c r="D34" s="235">
        <f>F9</f>
        <v>0.08</v>
      </c>
      <c r="E34" s="182"/>
      <c r="F34" s="182"/>
      <c r="G34" s="184"/>
      <c r="H34" s="184"/>
      <c r="I34" s="182"/>
      <c r="J34" s="185"/>
      <c r="K34" s="182"/>
    </row>
    <row r="35" spans="2:11">
      <c r="C35" s="183" t="s">
        <v>102</v>
      </c>
      <c r="D35" s="233">
        <v>-0.05</v>
      </c>
      <c r="E35" s="48"/>
      <c r="F35" s="48"/>
      <c r="G35" s="48"/>
      <c r="H35" s="48"/>
      <c r="I35" s="48"/>
      <c r="J35" s="48"/>
      <c r="K35" s="48"/>
    </row>
    <row r="36" spans="2:11">
      <c r="C36" s="186" t="s">
        <v>103</v>
      </c>
      <c r="D36" s="187">
        <f>SUM(G43:K43)</f>
        <v>14.508214276573467</v>
      </c>
      <c r="E36" s="48"/>
      <c r="F36" s="48"/>
      <c r="G36" s="48"/>
      <c r="H36" s="48"/>
      <c r="I36" s="48"/>
      <c r="J36" s="48"/>
      <c r="K36" s="48"/>
    </row>
    <row r="37" spans="2:11">
      <c r="C37" s="183" t="s">
        <v>28</v>
      </c>
      <c r="D37" s="188">
        <f>(K41*(1+D35))/(D34-D35)</f>
        <v>24.600067307692303</v>
      </c>
      <c r="E37" s="48"/>
      <c r="F37" s="48"/>
      <c r="G37" s="48"/>
      <c r="H37" s="48"/>
      <c r="I37" s="48"/>
      <c r="J37" s="48"/>
      <c r="K37" s="48"/>
    </row>
    <row r="38" spans="2:11">
      <c r="C38" s="183" t="s">
        <v>25</v>
      </c>
      <c r="D38" s="95">
        <f>+(D39-D14)/D14</f>
        <v>-0.29521929024570615</v>
      </c>
      <c r="E38" s="48"/>
      <c r="F38" s="48"/>
      <c r="G38" s="48"/>
      <c r="H38" s="48"/>
      <c r="I38" s="48"/>
      <c r="J38" s="48"/>
      <c r="K38" s="48"/>
    </row>
    <row r="39" spans="2:11" ht="13.5" thickBot="1">
      <c r="C39" s="189" t="s">
        <v>122</v>
      </c>
      <c r="D39" s="190">
        <f>D37+D36</f>
        <v>39.108281584265768</v>
      </c>
      <c r="E39" s="48"/>
      <c r="F39" s="48"/>
      <c r="G39" s="48"/>
      <c r="H39" s="48"/>
      <c r="I39" s="48"/>
      <c r="J39" s="48"/>
      <c r="K39" s="48"/>
    </row>
    <row r="40" spans="2:11" ht="13.5" thickBot="1">
      <c r="C40" s="146" t="s">
        <v>101</v>
      </c>
      <c r="D40" s="199">
        <v>2014</v>
      </c>
      <c r="E40" s="199">
        <f>+D40+1</f>
        <v>2015</v>
      </c>
      <c r="F40" s="199">
        <f>1+E40</f>
        <v>2016</v>
      </c>
      <c r="G40" s="199">
        <f t="shared" ref="G40:K40" si="7">1+F40</f>
        <v>2017</v>
      </c>
      <c r="H40" s="199">
        <f t="shared" si="7"/>
        <v>2018</v>
      </c>
      <c r="I40" s="199">
        <f t="shared" si="7"/>
        <v>2019</v>
      </c>
      <c r="J40" s="199">
        <f t="shared" si="7"/>
        <v>2020</v>
      </c>
      <c r="K40" s="199">
        <f t="shared" si="7"/>
        <v>2021</v>
      </c>
    </row>
    <row r="41" spans="2:11">
      <c r="C41" s="149" t="s">
        <v>131</v>
      </c>
      <c r="D41" s="191">
        <f>+Assumptions!D49</f>
        <v>3.125</v>
      </c>
      <c r="E41" s="191">
        <f>+Assumptions!E49</f>
        <v>3.5449999999999999</v>
      </c>
      <c r="F41" s="191">
        <f>+Assumptions!F49</f>
        <v>3.73</v>
      </c>
      <c r="G41" s="191">
        <f>+F41</f>
        <v>3.73</v>
      </c>
      <c r="H41" s="191">
        <f>+G41</f>
        <v>3.73</v>
      </c>
      <c r="I41" s="191">
        <f t="shared" ref="I41" si="8">+H41</f>
        <v>3.73</v>
      </c>
      <c r="J41" s="191">
        <f>+I41*0.95</f>
        <v>3.5434999999999999</v>
      </c>
      <c r="K41" s="187">
        <f>+J41*0.95</f>
        <v>3.3663249999999998</v>
      </c>
    </row>
    <row r="42" spans="2:11">
      <c r="C42" s="149" t="s">
        <v>170</v>
      </c>
      <c r="D42" s="192"/>
      <c r="E42" s="192">
        <f t="shared" ref="E42:K42" si="9">(E41-D41)/D41</f>
        <v>0.13439999999999996</v>
      </c>
      <c r="F42" s="192">
        <f t="shared" si="9"/>
        <v>5.2186177715091694E-2</v>
      </c>
      <c r="G42" s="192">
        <f t="shared" si="9"/>
        <v>0</v>
      </c>
      <c r="H42" s="192">
        <f t="shared" si="9"/>
        <v>0</v>
      </c>
      <c r="I42" s="192">
        <f t="shared" si="9"/>
        <v>0</v>
      </c>
      <c r="J42" s="192">
        <f t="shared" si="9"/>
        <v>-5.0000000000000031E-2</v>
      </c>
      <c r="K42" s="193">
        <f t="shared" si="9"/>
        <v>-5.0000000000000024E-2</v>
      </c>
    </row>
    <row r="43" spans="2:11" ht="13.5" thickBot="1">
      <c r="C43" s="139" t="s">
        <v>105</v>
      </c>
      <c r="D43" s="194"/>
      <c r="E43" s="194"/>
      <c r="F43" s="194"/>
      <c r="G43" s="195">
        <f>G$41/(1+D34)^1</f>
        <v>3.4537037037037033</v>
      </c>
      <c r="H43" s="195">
        <f>H$41/(1+$D$34)^2</f>
        <v>3.1978737997256514</v>
      </c>
      <c r="I43" s="195">
        <f>I$41/(1+$D$34)^3</f>
        <v>2.9609942590052327</v>
      </c>
      <c r="J43" s="195">
        <f>J$41/(1+$D$34)^4</f>
        <v>2.6045782833842321</v>
      </c>
      <c r="K43" s="196">
        <f>K$41/(1+$D$34)^5</f>
        <v>2.2910642307546483</v>
      </c>
    </row>
    <row r="46" spans="2:11">
      <c r="C46" s="2"/>
      <c r="D46" s="62"/>
      <c r="E46" s="96"/>
      <c r="F46" s="96"/>
      <c r="G46" s="96"/>
      <c r="H46" s="96"/>
      <c r="I46" s="96"/>
      <c r="J46" s="96"/>
    </row>
    <row r="47" spans="2:11">
      <c r="B47" s="42"/>
    </row>
    <row r="48" spans="2:11">
      <c r="B48" s="42"/>
    </row>
    <row r="49" spans="2:14">
      <c r="B49" s="42"/>
    </row>
    <row r="50" spans="2:14">
      <c r="B50" s="42"/>
    </row>
    <row r="51" spans="2:14">
      <c r="B51" s="42"/>
    </row>
    <row r="52" spans="2:14">
      <c r="B52" s="42"/>
    </row>
    <row r="53" spans="2:14">
      <c r="B53" s="258"/>
      <c r="C53" s="79"/>
      <c r="D53" s="75"/>
      <c r="E53" s="75"/>
      <c r="F53" s="75"/>
      <c r="G53" s="285"/>
      <c r="H53" s="286"/>
      <c r="I53" s="286"/>
      <c r="J53" s="286"/>
      <c r="K53" s="285"/>
      <c r="L53" s="286"/>
      <c r="M53" s="286"/>
      <c r="N53" s="286"/>
    </row>
  </sheetData>
  <mergeCells count="4">
    <mergeCell ref="D25:F25"/>
    <mergeCell ref="D26:F26"/>
    <mergeCell ref="H26:J26"/>
    <mergeCell ref="L26:N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Applebees Franchise Model</vt:lpstr>
      <vt:lpstr>Financials</vt:lpstr>
      <vt:lpstr>Assumptions</vt:lpstr>
      <vt:lpstr>Valuation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2016-12-31T20:41:43Z</dcterms:created>
  <dcterms:modified xsi:type="dcterms:W3CDTF">2017-04-25T21:31:39Z</dcterms:modified>
</cp:coreProperties>
</file>