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autoCompressPictures="0"/>
  <bookViews>
    <workbookView xWindow="0" yWindow="-460" windowWidth="28800" windowHeight="18000" tabRatio="943"/>
  </bookViews>
  <sheets>
    <sheet name="DCF" sheetId="1" r:id="rId1"/>
    <sheet name="Assumptions" sheetId="4" r:id="rId2"/>
    <sheet name="WACC" sheetId="2" r:id="rId3"/>
    <sheet name="Infographic" sheetId="14" r:id="rId4"/>
    <sheet name="Drugs sales" sheetId="38" r:id="rId5"/>
    <sheet name="Drugs T" sheetId="48" r:id="rId6"/>
    <sheet name="ExRate" sheetId="40" r:id="rId7"/>
    <sheet name="Consolidated P&amp;L" sheetId="50" r:id="rId8"/>
    <sheet name="ISG" sheetId="42" r:id="rId9"/>
    <sheet name="ISP" sheetId="43" r:id="rId10"/>
    <sheet name="ISV" sheetId="44" r:id="rId11"/>
    <sheet name="ISAH" sheetId="45" r:id="rId12"/>
    <sheet name="CFS" sheetId="46" r:id="rId13"/>
    <sheet name="Multiples" sheetId="24" r:id="rId14"/>
    <sheet name="CONSENSUS ESTIMATES" sheetId="49"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DAT12">#REF!</definedName>
    <definedName name="_xlnm._FilterDatabase" localSheetId="13" hidden="1">Multiples!$A$1:$G$1</definedName>
    <definedName name="_FYE2006">[1]QtrComp!$AW1</definedName>
    <definedName name="_FYE2007">[1]QtrComp!$AX1</definedName>
    <definedName name="_FYE2008">[1]QtrComp!$AY1</definedName>
    <definedName name="_l">#REF!</definedName>
    <definedName name="_Mid2">#REF!</definedName>
    <definedName name="_PS2" localSheetId="5">#REF!</definedName>
    <definedName name="_PS2">#REF!</definedName>
    <definedName name="_usd2">'[2]Ventilation GW 2004'!$J$12</definedName>
    <definedName name="a">#REF!</definedName>
    <definedName name="aa">#REF!</definedName>
    <definedName name="AAA_DOCTOPS" hidden="1">"AAA_SET"</definedName>
    <definedName name="AAA_duser" hidden="1">"OFF"</definedName>
    <definedName name="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#REF!</definedName>
    <definedName name="ac">#REF!</definedName>
    <definedName name="ad">#REF!</definedName>
    <definedName name="ADV_98" localSheetId="5">#REF!</definedName>
    <definedName name="ADV_98">#REF!</definedName>
    <definedName name="ADV98_TITLE" localSheetId="5">#REF!</definedName>
    <definedName name="ADV98_TITLE">#REF!</definedName>
    <definedName name="advance" localSheetId="5">#REF!</definedName>
    <definedName name="advance">#REF!</definedName>
    <definedName name="advwo" localSheetId="5">#REF!</definedName>
    <definedName name="advwo">#REF!</definedName>
    <definedName name="ae">#REF!</definedName>
    <definedName name="af">#REF!</definedName>
    <definedName name="ag">#REF!</definedName>
    <definedName name="ah">#REF!</definedName>
    <definedName name="ai">#REF!</definedName>
    <definedName name="aj">#REF!</definedName>
    <definedName name="ak">#REF!</definedName>
    <definedName name="al" localSheetId="7">#REF!</definedName>
    <definedName name="AL" localSheetId="5">#REF!</definedName>
    <definedName name="AL">#REF!</definedName>
    <definedName name="am">#REF!</definedName>
    <definedName name="an">#REF!</definedName>
    <definedName name="annee_traitement">#REF!</definedName>
    <definedName name="Annual">#REF!</definedName>
    <definedName name="ao">#REF!</definedName>
    <definedName name="ap">#REF!</definedName>
    <definedName name="aq">#REF!</definedName>
    <definedName name="ar">#REF!</definedName>
    <definedName name="as">#REF!</definedName>
    <definedName name="asdsa" hidden="1">{"barthelet detail",#N/A,FALSE,"96 plan Q1";"barthelet summ",#N/A,FALSE,"96 plan Q1"}</definedName>
    <definedName name="at">#REF!</definedName>
    <definedName name="au">#REF!</definedName>
    <definedName name="AUD">'[3]FX Rate'!$B$7</definedName>
    <definedName name="av">#REF!</definedName>
    <definedName name="awp" hidden="1">{"barthelet detail",#N/A,FALSE,"96 plan Q1";"barthelet summ",#N/A,FALSE,"96 plan Q1"}</definedName>
    <definedName name="b">#REF!</definedName>
    <definedName name="Beg">#REF!</definedName>
    <definedName name="bottom">#REF!</definedName>
    <definedName name="Co" localSheetId="5">#REF!</definedName>
    <definedName name="Co">#REF!</definedName>
    <definedName name="code">#REF!</definedName>
    <definedName name="compte">[4]CORRESPONDANCE!$A$1:$E$25</definedName>
    <definedName name="CoPub" localSheetId="5">#REF!</definedName>
    <definedName name="CoPub">#REF!</definedName>
    <definedName name="cours">[5]valeur!$B$4:$P$35</definedName>
    <definedName name="d" localSheetId="7">#REF!</definedName>
    <definedName name="d" hidden="1">{"barthelet detail",#N/A,FALSE,"96 plan Q1";"barthelet summ",#N/A,FALSE,"96 plan Q1"}</definedName>
    <definedName name="data" localSheetId="5">#REF!</definedName>
    <definedName name="data">#REF!</definedName>
    <definedName name="_xlnm.Database" localSheetId="7">#REF!</definedName>
    <definedName name="_xlnm.Database" localSheetId="5">#REF!</definedName>
    <definedName name="_xlnm.Database">#REF!</definedName>
    <definedName name="DB" localSheetId="5">#REF!</definedName>
    <definedName name="DB">#REF!</definedName>
    <definedName name="DBPC" localSheetId="5">#REF!</definedName>
    <definedName name="DBPC">#REF!</definedName>
    <definedName name="DBPY" localSheetId="5">#REF!</definedName>
    <definedName name="DBPY">#REF!</definedName>
    <definedName name="Denom">[6]Key!$B$1</definedName>
    <definedName name="Denominator" localSheetId="5">#REF!</definedName>
    <definedName name="Denominator">#REF!</definedName>
    <definedName name="DEVELOPMENT" localSheetId="5">#REF!</definedName>
    <definedName name="DEVELOPMENT">#REF!</definedName>
    <definedName name="Distribution" localSheetId="5">#REF!</definedName>
    <definedName name="Distribution">#REF!</definedName>
    <definedName name="dsadfa" hidden="1">{"barthelet detail",#N/A,FALSE,"96 plan Q1";"barthelet summ",#N/A,FALSE,"96 plan Q1"}</definedName>
    <definedName name="dsafasd" hidden="1">{"barthelet detail",#N/A,FALSE,"96 plan Q1";"barthelet summ",#N/A,FALSE,"96 plan Q1"}</definedName>
    <definedName name="Durée_TO_2001">[7]Hypothèses!#REF!</definedName>
    <definedName name="e">#REF!</definedName>
    <definedName name="eleeeeeeeeee">#REF!</definedName>
    <definedName name="End">#REF!</definedName>
    <definedName name="Euro">#REF!</definedName>
    <definedName name="Europe" localSheetId="5">#REF!</definedName>
    <definedName name="Europe">#REF!</definedName>
    <definedName name="F">#REF!</definedName>
    <definedName name="feuille_Net_amount_2000">#REF!</definedName>
    <definedName name="feuille_Net_amount_2001">#REF!</definedName>
    <definedName name="feuille_NPPC">#REF!</definedName>
    <definedName name="feuille_PGA">#REF!</definedName>
    <definedName name="feuille_PGA_anc">#REF!</definedName>
    <definedName name="feuille_PGA_anc_2">#REF!</definedName>
    <definedName name="feuille_PSC">#REF!</definedName>
    <definedName name="feuille_PSC_anc">#REF!</definedName>
    <definedName name="feuille_ratio_PGA_01">#REF!</definedName>
    <definedName name="feuille_ratio_PGA_02">#REF!</definedName>
    <definedName name="feuille_SFAS">#REF!</definedName>
    <definedName name="feuille_SFAS_anc">#REF!</definedName>
    <definedName name="feuille_Summary">#REF!</definedName>
    <definedName name="feuille_Summary_anc">#REF!</definedName>
    <definedName name="feuille_TO">#REF!</definedName>
    <definedName name="feuille_TO_anc">#REF!</definedName>
    <definedName name="feuille_tran_2001">#REF!</definedName>
    <definedName name="FXRates">#REF!</definedName>
    <definedName name="fy99fcvpl" localSheetId="5">#REF!</definedName>
    <definedName name="fy99fcvpl">#REF!</definedName>
    <definedName name="G">#REF!</definedName>
    <definedName name="GameBoy" localSheetId="5">#REF!</definedName>
    <definedName name="GameBoy">#REF!</definedName>
    <definedName name="h">#REF!</definedName>
    <definedName name="HKD">'[3]FX Rate'!$B$1</definedName>
    <definedName name="i">#REF!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#REF!</definedName>
    <definedName name="k">#REF!</definedName>
    <definedName name="KRW">'[3]FX Rate'!$B$3</definedName>
    <definedName name="libel_unite">[8]INDEX!$B$6</definedName>
    <definedName name="Life85">#REF!</definedName>
    <definedName name="Life90">#REF!</definedName>
    <definedName name="Life95">#REF!</definedName>
    <definedName name="m">#REF!</definedName>
    <definedName name="Mid">#REF!</definedName>
    <definedName name="Monthly">#REF!</definedName>
    <definedName name="MoyAventis">'[9]Cours action'!#REF!</definedName>
    <definedName name="n">#REF!</definedName>
    <definedName name="Nb_Mois2">[7]Hypothèses!$B$14</definedName>
    <definedName name="NGC" localSheetId="5">#REF!</definedName>
    <definedName name="NGC">#REF!</definedName>
    <definedName name="North_America" localSheetId="5">#REF!</definedName>
    <definedName name="North_America">#REF!</definedName>
    <definedName name="num_col">#REF!</definedName>
    <definedName name="num_col_anc">#REF!</definedName>
    <definedName name="NZD">'[3]FX Rate'!$B$8</definedName>
    <definedName name="O">#REF!</definedName>
    <definedName name="ONLINE_COST_OF_REVENUE" localSheetId="5">#REF!</definedName>
    <definedName name="ONLINE_COST_OF_REVENUE">#REF!</definedName>
    <definedName name="OperatingProfit2004">#REF!</definedName>
    <definedName name="OperatingProfit2005">#REF!</definedName>
    <definedName name="p">#REF!</definedName>
    <definedName name="PA" localSheetId="5">#REF!</definedName>
    <definedName name="PA">#REF!</definedName>
    <definedName name="PC" localSheetId="5">#REF!</definedName>
    <definedName name="PC">#REF!</definedName>
    <definedName name="PeakSales">#REF!</definedName>
    <definedName name="PeakYear">#REF!</definedName>
    <definedName name="PGA_2001">#REF!</definedName>
    <definedName name="PGA_2002">'[10]PGA 2002'!$A$9:$IV$150</definedName>
    <definedName name="_xlnm.Print_Area" localSheetId="7">'Consolidated P&amp;L'!$A$1:$C$35</definedName>
    <definedName name="_xlnm.Print_Area" localSheetId="5">#REF!</definedName>
    <definedName name="_xlnm.Print_Area">#REF!</definedName>
    <definedName name="PRINT_AREA_MI">#REF!</definedName>
    <definedName name="PSC_2001">#REF!</definedName>
    <definedName name="PSC_2002">'[10]PSC 2002'!$A$9:$IV$100</definedName>
    <definedName name="PSX" localSheetId="5">#REF!</definedName>
    <definedName name="PSX">#REF!</definedName>
    <definedName name="PV_Rev">#REF!</definedName>
    <definedName name="q">#REF!</definedName>
    <definedName name="Q4E2006">[1]QtrComp!$EQ1</definedName>
    <definedName name="Q4E2007">[1]QtrComp!$EU1</definedName>
    <definedName name="Q4E2008">[1]QtrComp!$EY1</definedName>
    <definedName name="Qtr" localSheetId="5">#REF!</definedName>
    <definedName name="Qtr">#REF!</definedName>
    <definedName name="Quarters2006">[1]QtrComp!$EN1:$EQ1</definedName>
    <definedName name="Quarters2007">[1]QtrComp!$ER1:$EU1</definedName>
    <definedName name="Quarters2008">[1]QtrComp!$EV1:$EY1</definedName>
    <definedName name="realise11">#REF!</definedName>
    <definedName name="Return">#REF!</definedName>
    <definedName name="Revenue2004">#REF!</definedName>
    <definedName name="Revenue2005">#REF!</definedName>
    <definedName name="RevenuesTotal">[1]QtrComp!A$9</definedName>
    <definedName name="RMB">'[3]FX Rate'!$B$5</definedName>
    <definedName name="s">#REF!</definedName>
    <definedName name="SGD">'[3]FX Rate'!$B$4</definedName>
    <definedName name="societe">#REF!</definedName>
    <definedName name="SPWS_WBID">"9D8A8355-1ED7-11D5-9D29-0010A4C4F3F8"</definedName>
    <definedName name="Summary2001">#REF!</definedName>
    <definedName name="Summary2002">#REF!</definedName>
    <definedName name="t">#REF!</definedName>
    <definedName name="Tax" localSheetId="5">'[11]Key inputs'!#REF!</definedName>
    <definedName name="Tax">'[11]Key inputs'!#REF!</definedName>
    <definedName name="Taxrate" localSheetId="5">#REF!</definedName>
    <definedName name="Taxrate">#REF!</definedName>
    <definedName name="TC">#REF!</definedName>
    <definedName name="TFT">#REF!</definedName>
    <definedName name="THB">'[3]FX Rate'!$B$2</definedName>
    <definedName name="title1" localSheetId="5">#REF!</definedName>
    <definedName name="title1">#REF!</definedName>
    <definedName name="title2" localSheetId="5">#REF!</definedName>
    <definedName name="title2">#REF!</definedName>
    <definedName name="TMData_AGR">#REF!</definedName>
    <definedName name="TMData_CORE">#REF!</definedName>
    <definedName name="TO_2001">#REF!</definedName>
    <definedName name="TO_2002">'[10]TO 2002'!$A$9:$IV$64</definedName>
    <definedName name="top">#REF!</definedName>
    <definedName name="TOTAL2006">SUM([1]QtrComp!$EN1:$EQ1)</definedName>
    <definedName name="TOTAL2007">SUM([1]QtrComp!$ER1:$EU1)</definedName>
    <definedName name="TOTAL2008">SUM([1]QtrComp!$EV1:$EY1)</definedName>
    <definedName name="TQData_AGR">#REF!</definedName>
    <definedName name="TQData_CORE">#REF!</definedName>
    <definedName name="Transfert_In_2001">'[7]Transfert In_2001'!$A$1:$N$42</definedName>
    <definedName name="Transfert_Out_2001">'[7]Transfert Out_2001'!$A$1:$M$42</definedName>
    <definedName name="Trate" localSheetId="5">#REF!</definedName>
    <definedName name="Trate">#REF!</definedName>
    <definedName name="TWD">'[3]FX Rate'!$B$6</definedName>
    <definedName name="u">#REF!</definedName>
    <definedName name="v">#REF!</definedName>
    <definedName name="Value">#REF!</definedName>
    <definedName name="Value_pre_step">#REF!</definedName>
    <definedName name="Ventes_2001">'[7]Ventes 2001'!$A$1:$X$33</definedName>
    <definedName name="Version_TFT">'[12]1- Hierarchie TFT'!#REF!</definedName>
    <definedName name="w">#REF!</definedName>
    <definedName name="WO_98" localSheetId="5">#REF!</definedName>
    <definedName name="WO_98">#REF!</definedName>
    <definedName name="WO98_TITLE" localSheetId="5">#REF!</definedName>
    <definedName name="WO98_TITLE">#REF!</definedName>
    <definedName name="Worldwide" localSheetId="5">#REF!</definedName>
    <definedName name="Worldwide">#REF!</definedName>
    <definedName name="wrn.barthelet._.resp._.profit." hidden="1">{"barthelet detail",#N/A,FALSE,"96 plan Q1";"barthelet summ",#N/A,FALSE,"96 plan Q1"}</definedName>
    <definedName name="wrn.dcf." hidden="1">{"mgmt forecast",#N/A,FALSE,"Mgmt Forecast";"dcf table",#N/A,FALSE,"Mgmt Forecast";"sensitivity",#N/A,FALSE,"Mgmt Forecast";"table inputs",#N/A,FALSE,"Mgmt Forecast";"calculations",#N/A,FALSE,"Mgmt Forecast"}</definedName>
    <definedName name="wrn.FORECAST._.PACK." hidden="1">{#N/A,#N/A,FALSE,"VAR TO LAST NET REV BY TER";#N/A,#N/A,FALSE,"VARIANCE SHEET";#N/A,#N/A,FALSE,"QTD VAR TO LAST";#N/A,#N/A,FALSE,"SGA VAR BY TERR";#N/A,#N/A,FALSE,"FY97 BY TERR";#N/A,#N/A,FALSE,"TERR VAR TO PLAN SUMM";#N/A,#N/A,FALSE,"TERRITORIES VERSUS PLAN";#N/A,#N/A,FALSE,"FY97 BY QTR"}</definedName>
    <definedName name="x">#REF!</definedName>
    <definedName name="Xbox" localSheetId="5">#REF!</definedName>
    <definedName name="Xbox">#REF!</definedName>
    <definedName name="XXX">'[13]1- Hierarchie TFT'!#REF!</definedName>
    <definedName name="y">#REF!</definedName>
    <definedName name="z">#REF!</definedName>
    <definedName name="ZAR">'[3]FX Rate'!$B$9</definedName>
    <definedName name="Zone_impres_MI">#REF!</definedName>
  </definedNames>
  <calcPr calcId="140001" iterateDelta="9.999999999999445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F14" i="1"/>
  <c r="L41" i="1"/>
  <c r="L40" i="1"/>
  <c r="M41" i="1"/>
  <c r="M40" i="1"/>
  <c r="N41" i="1"/>
  <c r="N40" i="1"/>
  <c r="O41" i="1"/>
  <c r="O40" i="1"/>
  <c r="P41" i="1"/>
  <c r="P40" i="1"/>
  <c r="D15" i="1"/>
  <c r="F15" i="1"/>
  <c r="L43" i="1"/>
  <c r="L42" i="1"/>
  <c r="M43" i="1"/>
  <c r="M42" i="1"/>
  <c r="N43" i="1"/>
  <c r="N42" i="1"/>
  <c r="O43" i="1"/>
  <c r="O42" i="1"/>
  <c r="P43" i="1"/>
  <c r="P42" i="1"/>
  <c r="D16" i="1"/>
  <c r="F16" i="1"/>
  <c r="L45" i="1"/>
  <c r="L44" i="1"/>
  <c r="M45" i="1"/>
  <c r="M44" i="1"/>
  <c r="N45" i="1"/>
  <c r="N44" i="1"/>
  <c r="O45" i="1"/>
  <c r="O44" i="1"/>
  <c r="P45" i="1"/>
  <c r="P44" i="1"/>
  <c r="D17" i="1"/>
  <c r="F17" i="1"/>
  <c r="L47" i="1"/>
  <c r="L46" i="1"/>
  <c r="M47" i="1"/>
  <c r="M46" i="1"/>
  <c r="N47" i="1"/>
  <c r="N46" i="1"/>
  <c r="O47" i="1"/>
  <c r="O46" i="1"/>
  <c r="P47" i="1"/>
  <c r="P46" i="1"/>
  <c r="D18" i="1"/>
  <c r="F18" i="1"/>
  <c r="L49" i="1"/>
  <c r="L48" i="1"/>
  <c r="M49" i="1"/>
  <c r="M48" i="1"/>
  <c r="N49" i="1"/>
  <c r="N48" i="1"/>
  <c r="O49" i="1"/>
  <c r="O48" i="1"/>
  <c r="P49" i="1"/>
  <c r="P48" i="1"/>
  <c r="D19" i="1"/>
  <c r="F19" i="1"/>
  <c r="L51" i="1"/>
  <c r="L50" i="1"/>
  <c r="M51" i="1"/>
  <c r="M50" i="1"/>
  <c r="N51" i="1"/>
  <c r="N50" i="1"/>
  <c r="O51" i="1"/>
  <c r="O50" i="1"/>
  <c r="P51" i="1"/>
  <c r="P50" i="1"/>
  <c r="D20" i="1"/>
  <c r="F20" i="1"/>
  <c r="L53" i="1"/>
  <c r="L52" i="1"/>
  <c r="M53" i="1"/>
  <c r="M52" i="1"/>
  <c r="N53" i="1"/>
  <c r="N52" i="1"/>
  <c r="O53" i="1"/>
  <c r="O52" i="1"/>
  <c r="P53" i="1"/>
  <c r="P52" i="1"/>
  <c r="D21" i="1"/>
  <c r="F21" i="1"/>
  <c r="L55" i="1"/>
  <c r="L54" i="1"/>
  <c r="M55" i="1"/>
  <c r="M54" i="1"/>
  <c r="N55" i="1"/>
  <c r="N54" i="1"/>
  <c r="O55" i="1"/>
  <c r="O54" i="1"/>
  <c r="P55" i="1"/>
  <c r="P54" i="1"/>
  <c r="D22" i="1"/>
  <c r="F22" i="1"/>
  <c r="L57" i="1"/>
  <c r="L56" i="1"/>
  <c r="M57" i="1"/>
  <c r="M56" i="1"/>
  <c r="N57" i="1"/>
  <c r="N56" i="1"/>
  <c r="O57" i="1"/>
  <c r="O56" i="1"/>
  <c r="P57" i="1"/>
  <c r="P56" i="1"/>
  <c r="D23" i="1"/>
  <c r="F23" i="1"/>
  <c r="L59" i="1"/>
  <c r="L58" i="1"/>
  <c r="M59" i="1"/>
  <c r="M58" i="1"/>
  <c r="N59" i="1"/>
  <c r="N58" i="1"/>
  <c r="O59" i="1"/>
  <c r="O58" i="1"/>
  <c r="P59" i="1"/>
  <c r="P58" i="1"/>
  <c r="D24" i="1"/>
  <c r="F24" i="1"/>
  <c r="L61" i="1"/>
  <c r="L60" i="1"/>
  <c r="M61" i="1"/>
  <c r="M60" i="1"/>
  <c r="N61" i="1"/>
  <c r="N60" i="1"/>
  <c r="O61" i="1"/>
  <c r="O60" i="1"/>
  <c r="P61" i="1"/>
  <c r="P60" i="1"/>
  <c r="D25" i="1"/>
  <c r="F25" i="1"/>
  <c r="L63" i="1"/>
  <c r="L62" i="1"/>
  <c r="M63" i="1"/>
  <c r="M62" i="1"/>
  <c r="N63" i="1"/>
  <c r="N62" i="1"/>
  <c r="O63" i="1"/>
  <c r="O62" i="1"/>
  <c r="P63" i="1"/>
  <c r="P62" i="1"/>
  <c r="D26" i="1"/>
  <c r="F26" i="1"/>
  <c r="L65" i="1"/>
  <c r="L64" i="1"/>
  <c r="M65" i="1"/>
  <c r="M64" i="1"/>
  <c r="N65" i="1"/>
  <c r="N64" i="1"/>
  <c r="O65" i="1"/>
  <c r="O64" i="1"/>
  <c r="P65" i="1"/>
  <c r="P64" i="1"/>
  <c r="P38" i="1"/>
  <c r="P74" i="1"/>
  <c r="D27" i="1"/>
  <c r="F27" i="1"/>
  <c r="L67" i="1"/>
  <c r="L66" i="1"/>
  <c r="M67" i="1"/>
  <c r="M66" i="1"/>
  <c r="N67" i="1"/>
  <c r="N66" i="1"/>
  <c r="O67" i="1"/>
  <c r="O66" i="1"/>
  <c r="P67" i="1"/>
  <c r="P66" i="1"/>
  <c r="P77" i="1"/>
  <c r="P71" i="1"/>
  <c r="P36" i="1"/>
  <c r="P80" i="1"/>
  <c r="P83" i="1"/>
  <c r="P90" i="1"/>
  <c r="P91" i="1"/>
  <c r="P93" i="1"/>
  <c r="P95" i="1"/>
  <c r="P97" i="1"/>
  <c r="P86" i="1"/>
  <c r="L38" i="1"/>
  <c r="L74" i="1"/>
  <c r="L77" i="1"/>
  <c r="L71" i="1"/>
  <c r="L36" i="1"/>
  <c r="L80" i="1"/>
  <c r="L83" i="1"/>
  <c r="L90" i="1"/>
  <c r="L91" i="1"/>
  <c r="L93" i="1"/>
  <c r="L95" i="1"/>
  <c r="L97" i="1"/>
  <c r="M38" i="1"/>
  <c r="M74" i="1"/>
  <c r="M77" i="1"/>
  <c r="M71" i="1"/>
  <c r="M36" i="1"/>
  <c r="M80" i="1"/>
  <c r="M83" i="1"/>
  <c r="M90" i="1"/>
  <c r="M91" i="1"/>
  <c r="M93" i="1"/>
  <c r="M95" i="1"/>
  <c r="M97" i="1"/>
  <c r="N38" i="1"/>
  <c r="N74" i="1"/>
  <c r="N77" i="1"/>
  <c r="N71" i="1"/>
  <c r="N36" i="1"/>
  <c r="N80" i="1"/>
  <c r="N83" i="1"/>
  <c r="N90" i="1"/>
  <c r="N91" i="1"/>
  <c r="N93" i="1"/>
  <c r="N95" i="1"/>
  <c r="N97" i="1"/>
  <c r="O38" i="1"/>
  <c r="O74" i="1"/>
  <c r="O77" i="1"/>
  <c r="O71" i="1"/>
  <c r="O36" i="1"/>
  <c r="O80" i="1"/>
  <c r="O83" i="1"/>
  <c r="O90" i="1"/>
  <c r="O91" i="1"/>
  <c r="O93" i="1"/>
  <c r="O95" i="1"/>
  <c r="O97" i="1"/>
  <c r="D107" i="1"/>
  <c r="H107" i="1"/>
  <c r="H115" i="1"/>
  <c r="L115" i="1"/>
  <c r="D125" i="1"/>
  <c r="H125" i="1"/>
  <c r="H133" i="1"/>
  <c r="L125" i="1"/>
  <c r="M31" i="14"/>
  <c r="E107" i="1"/>
  <c r="I107" i="1"/>
  <c r="I115" i="1"/>
  <c r="M115" i="1"/>
  <c r="E125" i="1"/>
  <c r="I125" i="1"/>
  <c r="I133" i="1"/>
  <c r="M125" i="1"/>
  <c r="N31" i="14"/>
  <c r="F107" i="1"/>
  <c r="J107" i="1"/>
  <c r="J115" i="1"/>
  <c r="N115" i="1"/>
  <c r="F125" i="1"/>
  <c r="J125" i="1"/>
  <c r="J133" i="1"/>
  <c r="N125" i="1"/>
  <c r="O31" i="14"/>
  <c r="D108" i="1"/>
  <c r="H108" i="1"/>
  <c r="H116" i="1"/>
  <c r="L116" i="1"/>
  <c r="D126" i="1"/>
  <c r="H126" i="1"/>
  <c r="H134" i="1"/>
  <c r="L126" i="1"/>
  <c r="M32" i="14"/>
  <c r="E108" i="1"/>
  <c r="I108" i="1"/>
  <c r="I116" i="1"/>
  <c r="M116" i="1"/>
  <c r="E126" i="1"/>
  <c r="I126" i="1"/>
  <c r="I134" i="1"/>
  <c r="M126" i="1"/>
  <c r="N32" i="14"/>
  <c r="F108" i="1"/>
  <c r="J108" i="1"/>
  <c r="J116" i="1"/>
  <c r="N116" i="1"/>
  <c r="F126" i="1"/>
  <c r="J126" i="1"/>
  <c r="J134" i="1"/>
  <c r="N126" i="1"/>
  <c r="O32" i="14"/>
  <c r="D109" i="1"/>
  <c r="H109" i="1"/>
  <c r="H117" i="1"/>
  <c r="L117" i="1"/>
  <c r="D127" i="1"/>
  <c r="H127" i="1"/>
  <c r="H135" i="1"/>
  <c r="L127" i="1"/>
  <c r="M33" i="14"/>
  <c r="E109" i="1"/>
  <c r="I109" i="1"/>
  <c r="I117" i="1"/>
  <c r="M117" i="1"/>
  <c r="E127" i="1"/>
  <c r="I127" i="1"/>
  <c r="I135" i="1"/>
  <c r="M127" i="1"/>
  <c r="N33" i="14"/>
  <c r="F109" i="1"/>
  <c r="J109" i="1"/>
  <c r="J117" i="1"/>
  <c r="N117" i="1"/>
  <c r="F127" i="1"/>
  <c r="J127" i="1"/>
  <c r="J135" i="1"/>
  <c r="N127" i="1"/>
  <c r="O33" i="14"/>
  <c r="E106" i="1"/>
  <c r="I106" i="1"/>
  <c r="I114" i="1"/>
  <c r="M114" i="1"/>
  <c r="E124" i="1"/>
  <c r="I124" i="1"/>
  <c r="I132" i="1"/>
  <c r="M124" i="1"/>
  <c r="N30" i="14"/>
  <c r="F106" i="1"/>
  <c r="J106" i="1"/>
  <c r="J114" i="1"/>
  <c r="N114" i="1"/>
  <c r="F124" i="1"/>
  <c r="J124" i="1"/>
  <c r="J132" i="1"/>
  <c r="N124" i="1"/>
  <c r="O30" i="14"/>
  <c r="D106" i="1"/>
  <c r="H106" i="1"/>
  <c r="H114" i="1"/>
  <c r="L114" i="1"/>
  <c r="D124" i="1"/>
  <c r="H124" i="1"/>
  <c r="H132" i="1"/>
  <c r="L124" i="1"/>
  <c r="M30" i="14"/>
  <c r="L107" i="1"/>
  <c r="M24" i="14"/>
  <c r="M107" i="1"/>
  <c r="N24" i="14"/>
  <c r="N107" i="1"/>
  <c r="O24" i="14"/>
  <c r="L108" i="1"/>
  <c r="M25" i="14"/>
  <c r="M108" i="1"/>
  <c r="N25" i="14"/>
  <c r="N108" i="1"/>
  <c r="O25" i="14"/>
  <c r="L109" i="1"/>
  <c r="M26" i="14"/>
  <c r="M109" i="1"/>
  <c r="N26" i="14"/>
  <c r="N109" i="1"/>
  <c r="O26" i="14"/>
  <c r="M106" i="1"/>
  <c r="N23" i="14"/>
  <c r="N106" i="1"/>
  <c r="O23" i="14"/>
  <c r="L106" i="1"/>
  <c r="M23" i="14"/>
  <c r="L33" i="14"/>
  <c r="L26" i="14"/>
  <c r="S55" i="1"/>
  <c r="I3" i="2"/>
  <c r="D10" i="2"/>
  <c r="H3" i="2"/>
  <c r="K3" i="2"/>
  <c r="H4" i="2"/>
  <c r="I4" i="2"/>
  <c r="F31" i="1"/>
  <c r="E26" i="2"/>
  <c r="E22" i="2"/>
  <c r="I5" i="2"/>
  <c r="J4" i="2"/>
  <c r="K5" i="2"/>
  <c r="C107" i="1"/>
  <c r="C125" i="1"/>
  <c r="K40" i="1"/>
  <c r="K42" i="1"/>
  <c r="K44" i="1"/>
  <c r="K46" i="1"/>
  <c r="K48" i="1"/>
  <c r="K50" i="1"/>
  <c r="K52" i="1"/>
  <c r="K54" i="1"/>
  <c r="K56" i="1"/>
  <c r="J56" i="1"/>
  <c r="K57" i="1"/>
  <c r="D38" i="4"/>
  <c r="K58" i="1"/>
  <c r="K38" i="1"/>
  <c r="K62" i="1"/>
  <c r="K64" i="1"/>
  <c r="K60" i="1"/>
  <c r="G64" i="1"/>
  <c r="H64" i="1"/>
  <c r="I64" i="1"/>
  <c r="J64" i="1"/>
  <c r="S64" i="1"/>
  <c r="D54" i="4"/>
  <c r="H74" i="1"/>
  <c r="H38" i="1"/>
  <c r="H76" i="1"/>
  <c r="I74" i="1"/>
  <c r="I38" i="1"/>
  <c r="I76" i="1"/>
  <c r="J74" i="1"/>
  <c r="J38" i="1"/>
  <c r="J76" i="1"/>
  <c r="K74" i="1"/>
  <c r="K76" i="1"/>
  <c r="S76" i="1"/>
  <c r="P76" i="1"/>
  <c r="K66" i="1"/>
  <c r="G66" i="1"/>
  <c r="H66" i="1"/>
  <c r="I66" i="1"/>
  <c r="J66" i="1"/>
  <c r="S66" i="1"/>
  <c r="D58" i="4"/>
  <c r="H77" i="1"/>
  <c r="H79" i="1"/>
  <c r="I77" i="1"/>
  <c r="I79" i="1"/>
  <c r="J77" i="1"/>
  <c r="J79" i="1"/>
  <c r="K77" i="1"/>
  <c r="K79" i="1"/>
  <c r="S79" i="1"/>
  <c r="P79" i="1"/>
  <c r="I83" i="1"/>
  <c r="I80" i="1"/>
  <c r="I36" i="1"/>
  <c r="I82" i="1"/>
  <c r="J83" i="1"/>
  <c r="J80" i="1"/>
  <c r="J36" i="1"/>
  <c r="J82" i="1"/>
  <c r="K71" i="1"/>
  <c r="K83" i="1"/>
  <c r="K80" i="1"/>
  <c r="K36" i="1"/>
  <c r="K82" i="1"/>
  <c r="S82" i="1"/>
  <c r="P82" i="1"/>
  <c r="G91" i="1"/>
  <c r="G38" i="1"/>
  <c r="G36" i="1"/>
  <c r="G92" i="1"/>
  <c r="H91" i="1"/>
  <c r="H36" i="1"/>
  <c r="H92" i="1"/>
  <c r="I91" i="1"/>
  <c r="I92" i="1"/>
  <c r="J91" i="1"/>
  <c r="J92" i="1"/>
  <c r="K91" i="1"/>
  <c r="K92" i="1"/>
  <c r="S92" i="1"/>
  <c r="P92" i="1"/>
  <c r="G93" i="1"/>
  <c r="G94" i="1"/>
  <c r="H93" i="1"/>
  <c r="H94" i="1"/>
  <c r="I93" i="1"/>
  <c r="I94" i="1"/>
  <c r="J93" i="1"/>
  <c r="J94" i="1"/>
  <c r="K93" i="1"/>
  <c r="K94" i="1"/>
  <c r="S94" i="1"/>
  <c r="L94" i="1"/>
  <c r="M94" i="1"/>
  <c r="N94" i="1"/>
  <c r="O94" i="1"/>
  <c r="P94" i="1"/>
  <c r="G95" i="1"/>
  <c r="G96" i="1"/>
  <c r="H95" i="1"/>
  <c r="H96" i="1"/>
  <c r="I95" i="1"/>
  <c r="I96" i="1"/>
  <c r="J95" i="1"/>
  <c r="J96" i="1"/>
  <c r="K95" i="1"/>
  <c r="K96" i="1"/>
  <c r="S96" i="1"/>
  <c r="P96" i="1"/>
  <c r="L76" i="1"/>
  <c r="L79" i="1"/>
  <c r="L82" i="1"/>
  <c r="L92" i="1"/>
  <c r="L96" i="1"/>
  <c r="M76" i="1"/>
  <c r="M79" i="1"/>
  <c r="M82" i="1"/>
  <c r="M92" i="1"/>
  <c r="M96" i="1"/>
  <c r="N76" i="1"/>
  <c r="N79" i="1"/>
  <c r="N82" i="1"/>
  <c r="N92" i="1"/>
  <c r="N96" i="1"/>
  <c r="O76" i="1"/>
  <c r="O79" i="1"/>
  <c r="O82" i="1"/>
  <c r="O92" i="1"/>
  <c r="O96" i="1"/>
  <c r="L133" i="1"/>
  <c r="M133" i="1"/>
  <c r="N133" i="1"/>
  <c r="C108" i="1"/>
  <c r="C126" i="1"/>
  <c r="L134" i="1"/>
  <c r="M134" i="1"/>
  <c r="N134" i="1"/>
  <c r="C109" i="1"/>
  <c r="C127" i="1"/>
  <c r="L135" i="1"/>
  <c r="M135" i="1"/>
  <c r="N135" i="1"/>
  <c r="C106" i="1"/>
  <c r="C124" i="1"/>
  <c r="M132" i="1"/>
  <c r="N132" i="1"/>
  <c r="L132" i="1"/>
  <c r="F10" i="2"/>
  <c r="F8" i="2"/>
  <c r="L123" i="1"/>
  <c r="D6" i="2"/>
  <c r="E16" i="2"/>
  <c r="E12" i="2"/>
  <c r="H5" i="2"/>
  <c r="E24" i="2"/>
  <c r="N123" i="1"/>
  <c r="M123" i="1"/>
  <c r="H122" i="1"/>
  <c r="L122" i="1"/>
  <c r="C135" i="1"/>
  <c r="D131" i="1"/>
  <c r="D135" i="1"/>
  <c r="E131" i="1"/>
  <c r="E135" i="1"/>
  <c r="F131" i="1"/>
  <c r="F135" i="1"/>
  <c r="M105" i="1"/>
  <c r="N105" i="1"/>
  <c r="L105" i="1"/>
  <c r="H104" i="1"/>
  <c r="L104" i="1"/>
  <c r="C117" i="1"/>
  <c r="D113" i="1"/>
  <c r="D117" i="1"/>
  <c r="E113" i="1"/>
  <c r="E117" i="1"/>
  <c r="F113" i="1"/>
  <c r="F117" i="1"/>
  <c r="C31" i="42"/>
  <c r="E29" i="42"/>
  <c r="G29" i="42"/>
  <c r="E25" i="42"/>
  <c r="G25" i="42"/>
  <c r="C29" i="42"/>
  <c r="C25" i="42"/>
  <c r="C8" i="50"/>
  <c r="C18" i="50"/>
  <c r="C21" i="50"/>
  <c r="C24" i="50"/>
  <c r="C26" i="50"/>
  <c r="C28" i="50"/>
  <c r="C31" i="50"/>
  <c r="B8" i="50"/>
  <c r="B18" i="50"/>
  <c r="B21" i="50"/>
  <c r="B24" i="50"/>
  <c r="B26" i="50"/>
  <c r="B28" i="50"/>
  <c r="B31" i="50"/>
  <c r="C30" i="50"/>
  <c r="B30" i="50"/>
  <c r="H83" i="1"/>
  <c r="S83" i="1"/>
  <c r="S71" i="1"/>
  <c r="S84" i="1"/>
  <c r="Q90" i="1"/>
  <c r="K86" i="1"/>
  <c r="K88" i="1"/>
  <c r="L86" i="1"/>
  <c r="L88" i="1"/>
  <c r="M86" i="1"/>
  <c r="M88" i="1"/>
  <c r="N86" i="1"/>
  <c r="N88" i="1"/>
  <c r="O86" i="1"/>
  <c r="O88" i="1"/>
  <c r="P88" i="1"/>
  <c r="Q88" i="1"/>
  <c r="L87" i="1"/>
  <c r="M87" i="1"/>
  <c r="N87" i="1"/>
  <c r="O87" i="1"/>
  <c r="P87" i="1"/>
  <c r="H85" i="1"/>
  <c r="I85" i="1"/>
  <c r="J85" i="1"/>
  <c r="K85" i="1"/>
  <c r="S85" i="1"/>
  <c r="L85" i="1"/>
  <c r="M85" i="1"/>
  <c r="N85" i="1"/>
  <c r="O85" i="1"/>
  <c r="P85" i="1"/>
  <c r="L84" i="1"/>
  <c r="M84" i="1"/>
  <c r="N84" i="1"/>
  <c r="O84" i="1"/>
  <c r="P84" i="1"/>
  <c r="L81" i="1"/>
  <c r="M81" i="1"/>
  <c r="N81" i="1"/>
  <c r="O81" i="1"/>
  <c r="P81" i="1"/>
  <c r="L72" i="1"/>
  <c r="M72" i="1"/>
  <c r="N72" i="1"/>
  <c r="O72" i="1"/>
  <c r="P72" i="1"/>
  <c r="L73" i="1"/>
  <c r="M73" i="1"/>
  <c r="N73" i="1"/>
  <c r="O73" i="1"/>
  <c r="P73" i="1"/>
  <c r="L78" i="1"/>
  <c r="M78" i="1"/>
  <c r="N78" i="1"/>
  <c r="O78" i="1"/>
  <c r="P78" i="1"/>
  <c r="L75" i="1"/>
  <c r="M75" i="1"/>
  <c r="N75" i="1"/>
  <c r="O75" i="1"/>
  <c r="P75" i="1"/>
  <c r="H31" i="1"/>
  <c r="H90" i="1"/>
  <c r="H97" i="1"/>
  <c r="I31" i="1"/>
  <c r="I90" i="1"/>
  <c r="I97" i="1"/>
  <c r="H98" i="1"/>
  <c r="I98" i="1"/>
  <c r="J31" i="1"/>
  <c r="J90" i="1"/>
  <c r="K31" i="1"/>
  <c r="K90" i="1"/>
  <c r="G31" i="1"/>
  <c r="P37" i="1"/>
  <c r="J73" i="1"/>
  <c r="I73" i="1"/>
  <c r="K73" i="1"/>
  <c r="S73" i="1"/>
  <c r="Q59" i="1"/>
  <c r="Q58" i="1"/>
  <c r="G56" i="1"/>
  <c r="H56" i="1"/>
  <c r="I56" i="1"/>
  <c r="S56" i="1"/>
  <c r="D39" i="4"/>
  <c r="Q51" i="1"/>
  <c r="Q50" i="1"/>
  <c r="Q55" i="1"/>
  <c r="Q54" i="1"/>
  <c r="L39" i="1"/>
  <c r="M39" i="1"/>
  <c r="N39" i="1"/>
  <c r="O39" i="1"/>
  <c r="P39" i="1"/>
  <c r="S74" i="1"/>
  <c r="G62" i="1"/>
  <c r="H62" i="1"/>
  <c r="I62" i="1"/>
  <c r="J62" i="1"/>
  <c r="S62" i="1"/>
  <c r="G40" i="1"/>
  <c r="G42" i="1"/>
  <c r="G44" i="1"/>
  <c r="G46" i="1"/>
  <c r="G48" i="1"/>
  <c r="G50" i="1"/>
  <c r="G52" i="1"/>
  <c r="G54" i="1"/>
  <c r="G58" i="1"/>
  <c r="G60" i="1"/>
  <c r="H40" i="1"/>
  <c r="H42" i="1"/>
  <c r="H44" i="1"/>
  <c r="H46" i="1"/>
  <c r="H48" i="1"/>
  <c r="H50" i="1"/>
  <c r="H52" i="1"/>
  <c r="H54" i="1"/>
  <c r="H58" i="1"/>
  <c r="H60" i="1"/>
  <c r="I40" i="1"/>
  <c r="I42" i="1"/>
  <c r="I44" i="1"/>
  <c r="I46" i="1"/>
  <c r="I48" i="1"/>
  <c r="I50" i="1"/>
  <c r="I52" i="1"/>
  <c r="I54" i="1"/>
  <c r="I58" i="1"/>
  <c r="I60" i="1"/>
  <c r="J40" i="1"/>
  <c r="J42" i="1"/>
  <c r="J44" i="1"/>
  <c r="J46" i="1"/>
  <c r="J48" i="1"/>
  <c r="J50" i="1"/>
  <c r="J52" i="1"/>
  <c r="J54" i="1"/>
  <c r="J58" i="1"/>
  <c r="J60" i="1"/>
  <c r="S60" i="1"/>
  <c r="S58" i="1"/>
  <c r="S54" i="1"/>
  <c r="S52" i="1"/>
  <c r="S50" i="1"/>
  <c r="S48" i="1"/>
  <c r="S46" i="1"/>
  <c r="S44" i="1"/>
  <c r="S42" i="1"/>
  <c r="S40" i="1"/>
  <c r="I65" i="1"/>
  <c r="J65" i="1"/>
  <c r="K65" i="1"/>
  <c r="H65" i="1"/>
  <c r="I63" i="1"/>
  <c r="J63" i="1"/>
  <c r="K63" i="1"/>
  <c r="H63" i="1"/>
  <c r="I61" i="1"/>
  <c r="J61" i="1"/>
  <c r="K61" i="1"/>
  <c r="H61" i="1"/>
  <c r="I59" i="1"/>
  <c r="J59" i="1"/>
  <c r="K59" i="1"/>
  <c r="I57" i="1"/>
  <c r="J57" i="1"/>
  <c r="H57" i="1"/>
  <c r="I55" i="1"/>
  <c r="J55" i="1"/>
  <c r="K55" i="1"/>
  <c r="I53" i="1"/>
  <c r="J53" i="1"/>
  <c r="K53" i="1"/>
  <c r="I51" i="1"/>
  <c r="J51" i="1"/>
  <c r="K51" i="1"/>
  <c r="I49" i="1"/>
  <c r="J49" i="1"/>
  <c r="K49" i="1"/>
  <c r="H49" i="1"/>
  <c r="I47" i="1"/>
  <c r="J47" i="1"/>
  <c r="K47" i="1"/>
  <c r="H47" i="1"/>
  <c r="I45" i="1"/>
  <c r="J45" i="1"/>
  <c r="K45" i="1"/>
  <c r="H45" i="1"/>
  <c r="I43" i="1"/>
  <c r="J43" i="1"/>
  <c r="K43" i="1"/>
  <c r="H43" i="1"/>
  <c r="I41" i="1"/>
  <c r="J41" i="1"/>
  <c r="K41" i="1"/>
  <c r="H41" i="1"/>
  <c r="L37" i="1"/>
  <c r="M37" i="1"/>
  <c r="N37" i="1"/>
  <c r="O37" i="1"/>
  <c r="J86" i="1"/>
  <c r="I78" i="1"/>
  <c r="J78" i="1"/>
  <c r="K78" i="1"/>
  <c r="G77" i="1"/>
  <c r="H78" i="1"/>
  <c r="J75" i="1"/>
  <c r="K75" i="1"/>
  <c r="G74" i="1"/>
  <c r="H75" i="1"/>
  <c r="I75" i="1"/>
  <c r="J81" i="1"/>
  <c r="K81" i="1"/>
  <c r="J84" i="1"/>
  <c r="K84" i="1"/>
  <c r="I84" i="1"/>
  <c r="E18" i="42"/>
  <c r="G18" i="42"/>
  <c r="I18" i="42"/>
  <c r="K18" i="42"/>
  <c r="C18" i="42"/>
  <c r="B4" i="38"/>
  <c r="B5" i="38"/>
  <c r="B6" i="38"/>
  <c r="B7" i="38"/>
  <c r="B8" i="38"/>
  <c r="B9" i="38"/>
  <c r="B13" i="38"/>
  <c r="B14" i="38"/>
  <c r="B16" i="38"/>
  <c r="B17" i="38"/>
  <c r="B19" i="38"/>
  <c r="B20" i="38"/>
  <c r="B29" i="38"/>
  <c r="B30" i="38"/>
  <c r="B31" i="38"/>
  <c r="B32" i="38"/>
  <c r="B33" i="38"/>
  <c r="B36" i="38"/>
  <c r="B37" i="38"/>
  <c r="B39" i="38"/>
  <c r="B40" i="38"/>
  <c r="B42" i="38"/>
  <c r="B43" i="38"/>
  <c r="B44" i="38"/>
  <c r="B45" i="38"/>
  <c r="B46" i="38"/>
  <c r="B47" i="38"/>
  <c r="B48" i="38"/>
  <c r="B49" i="38"/>
  <c r="B50" i="38"/>
  <c r="B51" i="38"/>
  <c r="B52" i="38"/>
  <c r="H27" i="38"/>
  <c r="J27" i="38"/>
  <c r="F27" i="38"/>
  <c r="N27" i="38"/>
  <c r="L27" i="38"/>
  <c r="I37" i="1"/>
  <c r="J37" i="1"/>
  <c r="K37" i="1"/>
  <c r="H37" i="1"/>
  <c r="I39" i="1"/>
  <c r="J39" i="1"/>
  <c r="K39" i="1"/>
  <c r="H39" i="1"/>
  <c r="I67" i="1"/>
  <c r="J67" i="1"/>
  <c r="K67" i="1"/>
  <c r="H67" i="1"/>
  <c r="I68" i="1"/>
  <c r="H68" i="1"/>
  <c r="I69" i="1"/>
  <c r="J68" i="1"/>
  <c r="J69" i="1"/>
  <c r="G68" i="1"/>
  <c r="H69" i="1"/>
  <c r="K80" i="38"/>
  <c r="L80" i="38"/>
  <c r="M80" i="38"/>
  <c r="N80" i="38"/>
  <c r="J80" i="38"/>
  <c r="H81" i="38"/>
  <c r="J81" i="38"/>
  <c r="L81" i="38"/>
  <c r="N81" i="38"/>
  <c r="F81" i="38"/>
  <c r="H80" i="38"/>
  <c r="F22" i="38"/>
  <c r="F80" i="38"/>
  <c r="H99" i="38"/>
  <c r="G36" i="24"/>
  <c r="B36" i="24"/>
  <c r="S36" i="1"/>
  <c r="D76" i="4"/>
  <c r="C133" i="1"/>
  <c r="C134" i="1"/>
  <c r="C132" i="1"/>
  <c r="C115" i="1"/>
  <c r="C116" i="1"/>
  <c r="C114" i="1"/>
  <c r="K7" i="2"/>
  <c r="B2" i="1"/>
  <c r="K87" i="1"/>
  <c r="J88" i="1"/>
  <c r="N29" i="14"/>
  <c r="N42" i="14"/>
  <c r="O29" i="14"/>
  <c r="O42" i="14"/>
  <c r="M29" i="14"/>
  <c r="M42" i="14"/>
  <c r="N22" i="14"/>
  <c r="N36" i="14"/>
  <c r="O22" i="14"/>
  <c r="O36" i="14"/>
  <c r="M22" i="14"/>
  <c r="M36" i="14"/>
  <c r="L24" i="14"/>
  <c r="L44" i="14"/>
  <c r="L25" i="14"/>
  <c r="L45" i="14"/>
  <c r="L23" i="14"/>
  <c r="L43" i="14"/>
  <c r="L31" i="14"/>
  <c r="L38" i="14"/>
  <c r="L32" i="14"/>
  <c r="L39" i="14"/>
  <c r="L30" i="14"/>
  <c r="L37" i="14"/>
  <c r="K97" i="1"/>
  <c r="J97" i="1"/>
  <c r="J123" i="1"/>
  <c r="N131" i="1"/>
  <c r="I123" i="1"/>
  <c r="M131" i="1"/>
  <c r="H123" i="1"/>
  <c r="L131" i="1"/>
  <c r="D130" i="1"/>
  <c r="H130" i="1"/>
  <c r="L130" i="1"/>
  <c r="M113" i="1"/>
  <c r="N113" i="1"/>
  <c r="L113" i="1"/>
  <c r="D112" i="1"/>
  <c r="H112" i="1"/>
  <c r="L112" i="1"/>
  <c r="I131" i="1"/>
  <c r="J131" i="1"/>
  <c r="H131" i="1"/>
  <c r="I113" i="1"/>
  <c r="J113" i="1"/>
  <c r="H113" i="1"/>
  <c r="I105" i="1"/>
  <c r="J105" i="1"/>
  <c r="H105" i="1"/>
  <c r="K4" i="2"/>
  <c r="J98" i="1"/>
  <c r="K98" i="1"/>
  <c r="K72" i="1"/>
  <c r="J72" i="1"/>
  <c r="M98" i="1"/>
  <c r="N98" i="1"/>
  <c r="O98" i="1"/>
  <c r="L98" i="1"/>
  <c r="D133" i="1"/>
  <c r="M44" i="14"/>
  <c r="E133" i="1"/>
  <c r="N44" i="14"/>
  <c r="F133" i="1"/>
  <c r="O44" i="14"/>
  <c r="D134" i="1"/>
  <c r="M45" i="14"/>
  <c r="E134" i="1"/>
  <c r="N45" i="14"/>
  <c r="F134" i="1"/>
  <c r="O45" i="14"/>
  <c r="E132" i="1"/>
  <c r="N43" i="14"/>
  <c r="F132" i="1"/>
  <c r="O43" i="14"/>
  <c r="D132" i="1"/>
  <c r="M43" i="14"/>
  <c r="D115" i="1"/>
  <c r="M38" i="14"/>
  <c r="E115" i="1"/>
  <c r="N38" i="14"/>
  <c r="F115" i="1"/>
  <c r="O38" i="14"/>
  <c r="D116" i="1"/>
  <c r="M39" i="14"/>
  <c r="E116" i="1"/>
  <c r="N39" i="14"/>
  <c r="F116" i="1"/>
  <c r="O39" i="14"/>
  <c r="E114" i="1"/>
  <c r="N37" i="14"/>
  <c r="F114" i="1"/>
  <c r="O37" i="14"/>
  <c r="D114" i="1"/>
  <c r="M37" i="14"/>
  <c r="S72" i="1"/>
  <c r="P98" i="1"/>
  <c r="S87" i="1"/>
</calcChain>
</file>

<file path=xl/comments1.xml><?xml version="1.0" encoding="utf-8"?>
<comments xmlns="http://schemas.openxmlformats.org/spreadsheetml/2006/main">
  <authors>
    <author>Mikhail Snyatkov</author>
  </authors>
  <commentList>
    <comment ref="L31" authorId="0">
      <text>
        <r>
          <rPr>
            <b/>
            <sz val="9"/>
            <color indexed="81"/>
            <rFont val="Calibri"/>
            <family val="2"/>
            <charset val="204"/>
          </rPr>
          <t>Mikhail Snyatkov:</t>
        </r>
        <r>
          <rPr>
            <sz val="9"/>
            <color indexed="81"/>
            <rFont val="Calibri"/>
            <family val="2"/>
            <charset val="204"/>
          </rPr>
          <t xml:space="preserve">
Q1 2017 Results</t>
        </r>
      </text>
    </comment>
    <comment ref="F33" authorId="0">
      <text>
        <r>
          <rPr>
            <b/>
            <sz val="9"/>
            <color indexed="81"/>
            <rFont val="Calibri"/>
            <family val="2"/>
            <charset val="204"/>
          </rPr>
          <t>Mikhail Snyatkov:</t>
        </r>
        <r>
          <rPr>
            <sz val="9"/>
            <color indexed="81"/>
            <rFont val="Calibri"/>
            <family val="2"/>
            <charset val="204"/>
          </rPr>
          <t xml:space="preserve">
Q1 2017 Results</t>
        </r>
      </text>
    </comment>
  </commentList>
</comments>
</file>

<file path=xl/comments2.xml><?xml version="1.0" encoding="utf-8"?>
<comments xmlns="http://schemas.openxmlformats.org/spreadsheetml/2006/main">
  <authors>
    <author>Mikhail Snyatkov</author>
  </authors>
  <commentList>
    <comment ref="D50" authorId="0">
      <text>
        <r>
          <rPr>
            <b/>
            <sz val="9"/>
            <color indexed="81"/>
            <rFont val="Calibri"/>
            <family val="2"/>
            <charset val="204"/>
          </rPr>
          <t>Mikhail Snyatkov:</t>
        </r>
        <r>
          <rPr>
            <sz val="9"/>
            <color indexed="81"/>
            <rFont val="Calibri"/>
            <family val="2"/>
            <charset val="204"/>
          </rPr>
          <t xml:space="preserve">
Q1 report</t>
        </r>
      </text>
    </comment>
    <comment ref="D51" authorId="0">
      <text>
        <r>
          <rPr>
            <b/>
            <sz val="9"/>
            <color indexed="81"/>
            <rFont val="Calibri"/>
            <family val="2"/>
            <charset val="204"/>
          </rPr>
          <t>Mikhail Snyatkov:</t>
        </r>
        <r>
          <rPr>
            <sz val="9"/>
            <color indexed="81"/>
            <rFont val="Calibri"/>
            <family val="2"/>
            <charset val="204"/>
          </rPr>
          <t xml:space="preserve">
https://www.bccresearch.com/market-research/pharmaceuticals/otc-drugs-dietary-supplements-markets-phm050c.html</t>
        </r>
      </text>
    </comment>
    <comment ref="D55" authorId="0">
      <text>
        <r>
          <rPr>
            <b/>
            <sz val="9"/>
            <color indexed="81"/>
            <rFont val="Calibri"/>
            <family val="2"/>
            <charset val="204"/>
          </rPr>
          <t>Mikhail Snyatkov:</t>
        </r>
        <r>
          <rPr>
            <sz val="9"/>
            <color indexed="81"/>
            <rFont val="Calibri"/>
            <family val="2"/>
            <charset val="204"/>
          </rPr>
          <t xml:space="preserve">
https://www.bccresearch.com/market-research/pharmaceuticals/generic-drugs-markets-report-phm009h.html</t>
        </r>
      </text>
    </comment>
  </commentList>
</comments>
</file>

<file path=xl/comments3.xml><?xml version="1.0" encoding="utf-8"?>
<comments xmlns="http://schemas.openxmlformats.org/spreadsheetml/2006/main">
  <authors>
    <author>Mikhail Snyatkov</author>
  </authors>
  <commentList>
    <comment ref="K17" authorId="0">
      <text>
        <r>
          <rPr>
            <b/>
            <sz val="9"/>
            <color indexed="81"/>
            <rFont val="Calibri"/>
            <family val="2"/>
            <charset val="204"/>
          </rPr>
          <t>Mikhail Snyatkov:</t>
        </r>
        <r>
          <rPr>
            <sz val="9"/>
            <color indexed="81"/>
            <rFont val="Calibri"/>
            <family val="2"/>
            <charset val="204"/>
          </rPr>
          <t xml:space="preserve">
incl. Animal Health</t>
        </r>
      </text>
    </comment>
  </commentList>
</comments>
</file>

<file path=xl/sharedStrings.xml><?xml version="1.0" encoding="utf-8"?>
<sst xmlns="http://schemas.openxmlformats.org/spreadsheetml/2006/main" count="1191" uniqueCount="506">
  <si>
    <t>Created by Mikhail Snyatkov ©</t>
  </si>
  <si>
    <t>Fully diluted shares outstanding</t>
  </si>
  <si>
    <t>EBITDA</t>
  </si>
  <si>
    <t>Unlevered free cash flow</t>
  </si>
  <si>
    <t>Discounted Cash Flow Analysis</t>
  </si>
  <si>
    <t>Historical</t>
  </si>
  <si>
    <t>Forecasts</t>
  </si>
  <si>
    <t>Growth Over Prior Year</t>
  </si>
  <si>
    <t>Revenue CAGR</t>
  </si>
  <si>
    <t>Operating income CAGR</t>
  </si>
  <si>
    <t>EBITDA CAGR</t>
  </si>
  <si>
    <t>Margin %</t>
  </si>
  <si>
    <t>Inputs</t>
  </si>
  <si>
    <t>Free cash flow to the firm (FCFF)</t>
  </si>
  <si>
    <t>EBIT*(1-T)</t>
  </si>
  <si>
    <t>Less: Capex</t>
  </si>
  <si>
    <t>% of revenue</t>
  </si>
  <si>
    <t>Average</t>
  </si>
  <si>
    <t>Add: Depreciation and amortization</t>
  </si>
  <si>
    <t>Scenario</t>
  </si>
  <si>
    <t>Base case</t>
  </si>
  <si>
    <t>-</t>
  </si>
  <si>
    <t>Company</t>
  </si>
  <si>
    <t>Country of incorporation</t>
  </si>
  <si>
    <t>Estimation of Current Cost of Capital Inputs</t>
  </si>
  <si>
    <t xml:space="preserve">Cost of Equity Calculation </t>
  </si>
  <si>
    <t>Risk-free rate :</t>
  </si>
  <si>
    <t>Beta :</t>
  </si>
  <si>
    <t>Market premium :</t>
  </si>
  <si>
    <t>Country risk premium:</t>
  </si>
  <si>
    <t>Beta</t>
  </si>
  <si>
    <t>Yahoo! Finance</t>
  </si>
  <si>
    <t>Google Finance</t>
  </si>
  <si>
    <t>Cost of Debt</t>
  </si>
  <si>
    <t>Tax Rate</t>
  </si>
  <si>
    <t>Equity</t>
  </si>
  <si>
    <t xml:space="preserve">Debt </t>
  </si>
  <si>
    <t>Preferred Stock</t>
  </si>
  <si>
    <t>Capital</t>
  </si>
  <si>
    <t>Market Value</t>
  </si>
  <si>
    <t>Weight in Cost of Capital</t>
  </si>
  <si>
    <t>Cost of Component</t>
  </si>
  <si>
    <t>Current Market Price per share</t>
  </si>
  <si>
    <t>Net Debt</t>
  </si>
  <si>
    <t>(In millions, except for per share amounts)</t>
  </si>
  <si>
    <t>DCF Sensitivity – EBITDA Multiple Method</t>
  </si>
  <si>
    <t>Enterprise Value</t>
  </si>
  <si>
    <t>Equity Value</t>
  </si>
  <si>
    <t>Terminal EBITDA Multiple</t>
  </si>
  <si>
    <t>Discount</t>
  </si>
  <si>
    <t>Rate</t>
  </si>
  <si>
    <t>(WACC)</t>
  </si>
  <si>
    <t>Implied Perpetuity Growth Rate</t>
  </si>
  <si>
    <t>DCF Sensitivity – Perpetuity Growth Method</t>
  </si>
  <si>
    <t>Terminal Perpetuity Growth Rate</t>
  </si>
  <si>
    <t>Implied Terminal EBITDA Multiple</t>
  </si>
  <si>
    <t>Implied upside from current market price</t>
  </si>
  <si>
    <t>as of</t>
  </si>
  <si>
    <t>Operating income</t>
  </si>
  <si>
    <t>Gross profit</t>
  </si>
  <si>
    <t>CAGR H</t>
  </si>
  <si>
    <t>CAGR F</t>
  </si>
  <si>
    <t xml:space="preserve">Effective Income Tax Rate </t>
  </si>
  <si>
    <t>Less: Increase in Net Working Capital</t>
  </si>
  <si>
    <t>Market Watch</t>
  </si>
  <si>
    <t>Enterprise Value/EBITDA</t>
  </si>
  <si>
    <t>Operating Margin %</t>
  </si>
  <si>
    <t xml:space="preserve">Average of peer group </t>
  </si>
  <si>
    <t>wsj</t>
  </si>
  <si>
    <t xml:space="preserve">EBITDA multiple </t>
  </si>
  <si>
    <t>Long-term debt</t>
  </si>
  <si>
    <t>Cost of sales</t>
  </si>
  <si>
    <t>Fiscal Years Ended December 31</t>
  </si>
  <si>
    <t>CAPEX % of revenue</t>
  </si>
  <si>
    <t>NYSE</t>
  </si>
  <si>
    <t>Debt</t>
  </si>
  <si>
    <t>Pre-tax Cost of Debt</t>
  </si>
  <si>
    <t>Amgen</t>
  </si>
  <si>
    <t>AstraZeneca</t>
  </si>
  <si>
    <t>Bristol-Myers Squibb</t>
  </si>
  <si>
    <t>Eli Lilly</t>
  </si>
  <si>
    <t xml:space="preserve">Johnson &amp; Johnson </t>
  </si>
  <si>
    <t>Novartis</t>
  </si>
  <si>
    <t>AbbVie</t>
  </si>
  <si>
    <t>Celgene</t>
  </si>
  <si>
    <t>Novo Nordisk</t>
  </si>
  <si>
    <t>Astellas</t>
  </si>
  <si>
    <t>Merck &amp; Co</t>
  </si>
  <si>
    <t>Boehringer Ingelheim</t>
  </si>
  <si>
    <t>Puma Biotechnology</t>
  </si>
  <si>
    <t>Total Debt to EBITDA</t>
  </si>
  <si>
    <t>Return on Equity</t>
  </si>
  <si>
    <t>EPS (diluted)</t>
  </si>
  <si>
    <t>Roche Holding AG ROG (Switzerland: SWX Europe)</t>
  </si>
  <si>
    <r>
      <t>Enterprise Value/</t>
    </r>
    <r>
      <rPr>
        <sz val="12"/>
        <color theme="1"/>
        <rFont val="Calibri"/>
        <family val="2"/>
        <charset val="204"/>
        <scheme val="minor"/>
      </rPr>
      <t>Sales</t>
    </r>
  </si>
  <si>
    <t>Sanofi S.A. SAN (France: Paris)</t>
  </si>
  <si>
    <t>Novartis AG NOVN (Switzerland: SWX Europe)</t>
  </si>
  <si>
    <t>Merck &amp; Co. Inc. MRK (U.S.: NYSE)</t>
  </si>
  <si>
    <t>Pfizer Inc. PFE (U.S.: NYSE)</t>
  </si>
  <si>
    <t>AstraZeneca PLC AZN (U.K.: London)</t>
  </si>
  <si>
    <t>Johnson &amp; Johnson</t>
  </si>
  <si>
    <t>Johnson &amp; Johnson JNJ (U.S.: NYSE)</t>
  </si>
  <si>
    <t>Bristol-Myers Squibb Co. BMY (U.S.: NYSE)</t>
  </si>
  <si>
    <t>GlaxoSmithKline PLC GSK (U.K.: London)</t>
  </si>
  <si>
    <t>Bayer AG BAYN (Germany: Frankfurt)</t>
  </si>
  <si>
    <t>Celgene Corp. CELG (U.S.: Nasdaq)</t>
  </si>
  <si>
    <t>AbbVie Inc. ABBV (U.S.: NYSE)</t>
  </si>
  <si>
    <t>Eli Lilly &amp; Co. LLY (U.S.: NYSE)</t>
  </si>
  <si>
    <t>Takeda Pharmaceutical Co. Ltd. 4502 (Japan: Tokyo)</t>
  </si>
  <si>
    <t>Shire PLC SHP (U.K.: London)</t>
  </si>
  <si>
    <t>Gilead Sciences Inc. GILD (U.S.: Nasdaq)</t>
  </si>
  <si>
    <t>Astellas Pharma Inc. 4503 (Japan: Tokyo)</t>
  </si>
  <si>
    <t>Amgen Inc. AMGN (U.S.: Nasdaq)</t>
  </si>
  <si>
    <t>Allergan PLC AGN (U.S.: NYSE)</t>
  </si>
  <si>
    <t>Eisai Co. Ltd. 4523 (Japan: Tokyo)</t>
  </si>
  <si>
    <t>Abbott Laboratories ABT (U.S.: NYSE)</t>
  </si>
  <si>
    <t>Novo Nordisk A/S Series B NOVOB (Denmark: OMX)</t>
  </si>
  <si>
    <t>Incyte Corp. INCY (U.S.: Nasdaq)</t>
  </si>
  <si>
    <t>Daiichi Sankyo Co. Ltd. 4568 (Japan: Tokyo)</t>
  </si>
  <si>
    <t>Otsuka Holdings Co. Ltd. 4578 (Japan: Tokyo)</t>
  </si>
  <si>
    <t>Teva Pharmaceutical Industries Ltd. TEVA (Switzerland: SWX)</t>
  </si>
  <si>
    <t>Biogen Inc. BIIB (U.S.: Nasdaq)</t>
  </si>
  <si>
    <t>UCB S.A. UCB (Belgium: Brussels)</t>
  </si>
  <si>
    <t>Ono Pharmaceutical Co. Ltd. 4528 (Japan: Tokyo)</t>
  </si>
  <si>
    <t>Merck KGaA MRK (Germany: Frankfurt)</t>
  </si>
  <si>
    <t>Actelion Ltd. ACT (Germany: Frankfurt)</t>
  </si>
  <si>
    <t>Vertex Pharmaceuticals Inc. VRTX (U.S.: Nasdaq)</t>
  </si>
  <si>
    <t>Valeant Pharmaceuticals International Inc. VRX (U.S.: NYSE)</t>
  </si>
  <si>
    <t>CSL Ltd. CSL (Australia: Sydney)</t>
  </si>
  <si>
    <t>CHC</t>
  </si>
  <si>
    <t xml:space="preserve">Sanofi S.A. </t>
  </si>
  <si>
    <t>Immunosuppressants</t>
  </si>
  <si>
    <t>dupilumab</t>
  </si>
  <si>
    <t>onazimod</t>
  </si>
  <si>
    <t>Stelara</t>
  </si>
  <si>
    <t>Dupixent</t>
  </si>
  <si>
    <t>Anti-rheumatics</t>
  </si>
  <si>
    <t>Kevzara</t>
  </si>
  <si>
    <t>sarilumab</t>
  </si>
  <si>
    <t>Humira</t>
  </si>
  <si>
    <t>adalimumab</t>
  </si>
  <si>
    <t>Enbrel</t>
  </si>
  <si>
    <t>etanercept</t>
  </si>
  <si>
    <t>Remicade</t>
  </si>
  <si>
    <t>infliximab</t>
  </si>
  <si>
    <t>Simponi</t>
  </si>
  <si>
    <t>golimumab</t>
  </si>
  <si>
    <t>Otezla</t>
  </si>
  <si>
    <t>apremilast</t>
  </si>
  <si>
    <t>Baricitinib</t>
  </si>
  <si>
    <t>baricitinib</t>
  </si>
  <si>
    <t>Sirukumab</t>
  </si>
  <si>
    <t>sirukumab</t>
  </si>
  <si>
    <t>Mavrilimumab</t>
  </si>
  <si>
    <t>mavrilimumab</t>
  </si>
  <si>
    <t>ustekinumab</t>
  </si>
  <si>
    <t>Anti-Diabetics</t>
  </si>
  <si>
    <t>insulin glargine; lixisenatide</t>
  </si>
  <si>
    <t>Victoza</t>
  </si>
  <si>
    <t>liraglutide [rDNA origin]</t>
  </si>
  <si>
    <t>Jardiance</t>
  </si>
  <si>
    <t>empagliflozin</t>
  </si>
  <si>
    <t>Invokana</t>
  </si>
  <si>
    <t>canagliflozin</t>
  </si>
  <si>
    <t>insulin aspart</t>
  </si>
  <si>
    <t>Semaglutide</t>
  </si>
  <si>
    <t>semaglutide</t>
  </si>
  <si>
    <t>Saxadapa FDC</t>
  </si>
  <si>
    <t>dapagliflozin propanediol; saxagliptin hydrochloride</t>
  </si>
  <si>
    <t>insulin glargine</t>
  </si>
  <si>
    <t>Lantus</t>
  </si>
  <si>
    <t>insulin degludec</t>
  </si>
  <si>
    <t>liraglutide; insulin degludec</t>
  </si>
  <si>
    <t>Tresiba</t>
  </si>
  <si>
    <t>Lyxumia/Adlyxin</t>
  </si>
  <si>
    <t>lixisenatide</t>
  </si>
  <si>
    <t xml:space="preserve">IDegLira (Xultophy) </t>
  </si>
  <si>
    <t>LixiLan (Soliqua/Suliqua)</t>
  </si>
  <si>
    <t>Sanofi S.A. (NYSE: SNY)</t>
  </si>
  <si>
    <t>France</t>
  </si>
  <si>
    <t>Investopedia</t>
  </si>
  <si>
    <t>FT</t>
  </si>
  <si>
    <t>BGM</t>
  </si>
  <si>
    <t>Lyxumia</t>
  </si>
  <si>
    <t>Afrezza</t>
  </si>
  <si>
    <t>Other Diabetes</t>
  </si>
  <si>
    <t>Taxotere</t>
  </si>
  <si>
    <t>Jevtana</t>
  </si>
  <si>
    <t>Eloxatine</t>
  </si>
  <si>
    <t>Thymoglobulin</t>
  </si>
  <si>
    <t>Mozobil</t>
  </si>
  <si>
    <t>Zaltrap </t>
  </si>
  <si>
    <t>Other Oncology</t>
  </si>
  <si>
    <t>Oncology</t>
  </si>
  <si>
    <t>Aubagio</t>
  </si>
  <si>
    <t>Lemtrada</t>
  </si>
  <si>
    <t>Cerezyme</t>
  </si>
  <si>
    <t>Cerdelga</t>
  </si>
  <si>
    <t>Myozyme</t>
  </si>
  <si>
    <t>Fabrazyme</t>
  </si>
  <si>
    <t>Aldurazyme</t>
  </si>
  <si>
    <t>Other Rare Diseases products</t>
  </si>
  <si>
    <t>Sanofi Genzyme</t>
  </si>
  <si>
    <t>Apidra</t>
  </si>
  <si>
    <t>Amaryl</t>
  </si>
  <si>
    <t>Insuman</t>
  </si>
  <si>
    <t>Toujeo</t>
  </si>
  <si>
    <t>Diabetes</t>
  </si>
  <si>
    <t>Multaq </t>
  </si>
  <si>
    <t>Praluent</t>
  </si>
  <si>
    <t>Plavix</t>
  </si>
  <si>
    <t>Lovenox</t>
  </si>
  <si>
    <t>Aprovel</t>
  </si>
  <si>
    <t>Renagel And Renvela</t>
  </si>
  <si>
    <t>Allegra</t>
  </si>
  <si>
    <t>Stilnox</t>
  </si>
  <si>
    <t>Depakine</t>
  </si>
  <si>
    <t>Synvisc / Synvisc One</t>
  </si>
  <si>
    <t>Tritace</t>
  </si>
  <si>
    <t>Lasix</t>
  </si>
  <si>
    <t>Targocid</t>
  </si>
  <si>
    <t>Orudis</t>
  </si>
  <si>
    <t>Cordarone</t>
  </si>
  <si>
    <t>Xatral</t>
  </si>
  <si>
    <t>Actonel</t>
  </si>
  <si>
    <t>Nasacort</t>
  </si>
  <si>
    <t>Copaxone</t>
  </si>
  <si>
    <t>Auvi-Q / Allerject </t>
  </si>
  <si>
    <t>Other Rx Drugs</t>
  </si>
  <si>
    <t>Total Established Rx Drugs</t>
  </si>
  <si>
    <t>Allergy, Cough and Cold</t>
  </si>
  <si>
    <t>Pain</t>
  </si>
  <si>
    <t>Digestive</t>
  </si>
  <si>
    <t>Nutritionals</t>
  </si>
  <si>
    <t>Consumer Healthcare</t>
  </si>
  <si>
    <t>Generics</t>
  </si>
  <si>
    <t>Pharmaceuticals</t>
  </si>
  <si>
    <t>Travel And Other Endemics Vaccines</t>
  </si>
  <si>
    <t>Other Vaccines</t>
  </si>
  <si>
    <t>Vaccines </t>
  </si>
  <si>
    <t>Fipronil products</t>
  </si>
  <si>
    <t>Vaccines</t>
  </si>
  <si>
    <t>Avermectin products</t>
  </si>
  <si>
    <t>Others</t>
  </si>
  <si>
    <t>Animal Health</t>
  </si>
  <si>
    <t>Total Group</t>
  </si>
  <si>
    <t>MS therapies</t>
  </si>
  <si>
    <t>Anti-hyperlipidaemics</t>
  </si>
  <si>
    <t>Anti-bacterials</t>
  </si>
  <si>
    <t>Anti-coagulants</t>
  </si>
  <si>
    <t>Other / Rare Diseases</t>
  </si>
  <si>
    <t>Zaltrap</t>
  </si>
  <si>
    <t>Myozyme / Lumizyme</t>
  </si>
  <si>
    <t>Pfizer</t>
  </si>
  <si>
    <t>Roche</t>
  </si>
  <si>
    <t>sevelamer hydrochloride</t>
  </si>
  <si>
    <t>imiglucerase</t>
  </si>
  <si>
    <t>Prograf</t>
  </si>
  <si>
    <t>tacrolimus</t>
  </si>
  <si>
    <t>H.P. Acthar Gel</t>
  </si>
  <si>
    <t>repository corticotropin</t>
  </si>
  <si>
    <t>Mallinckrodt</t>
  </si>
  <si>
    <t>sitagliptin phosphate</t>
  </si>
  <si>
    <t>clopidogrel bisulfate</t>
  </si>
  <si>
    <t>enoxaparin sodium</t>
  </si>
  <si>
    <t>dronedarone hydrochloride</t>
  </si>
  <si>
    <t>alirocumab</t>
  </si>
  <si>
    <t>eliglustat tartrate</t>
  </si>
  <si>
    <t>alglucosidase alfa</t>
  </si>
  <si>
    <t>agalsidase beta</t>
  </si>
  <si>
    <t>laronidase</t>
  </si>
  <si>
    <t>teriflunomide</t>
  </si>
  <si>
    <t>alemtuzumab</t>
  </si>
  <si>
    <t>docetaxel</t>
  </si>
  <si>
    <t>Abraxane</t>
  </si>
  <si>
    <t>paclitaxel (albumin-bound)</t>
  </si>
  <si>
    <t>cabazitaxel</t>
  </si>
  <si>
    <t>anti-thymocyte globulin (rabbit)</t>
  </si>
  <si>
    <t>oxaliplatin</t>
  </si>
  <si>
    <t>Elplat</t>
  </si>
  <si>
    <t>Yakult Honsha</t>
  </si>
  <si>
    <t>plerixafor</t>
  </si>
  <si>
    <t>Immunostimulants</t>
  </si>
  <si>
    <t>ziv-aflibercept</t>
  </si>
  <si>
    <t>Revlimid</t>
  </si>
  <si>
    <t>lenalidomide</t>
  </si>
  <si>
    <t>Gleevec</t>
  </si>
  <si>
    <t>imatinib mesylate</t>
  </si>
  <si>
    <t>Xtandi</t>
  </si>
  <si>
    <t>enzalutamide</t>
  </si>
  <si>
    <t>glimepiride</t>
  </si>
  <si>
    <t>insulin glulisine</t>
  </si>
  <si>
    <t>insulin (human)</t>
  </si>
  <si>
    <t xml:space="preserve">Cardiovascular Therapeutic Drugs </t>
  </si>
  <si>
    <t>Renagel / Renvela</t>
  </si>
  <si>
    <t>irbesartan</t>
  </si>
  <si>
    <t>Aprovel / Avapro</t>
  </si>
  <si>
    <t>valproate sodium</t>
  </si>
  <si>
    <t>Synvisc / Synvisc-One</t>
  </si>
  <si>
    <t>hyaluronic acid</t>
  </si>
  <si>
    <t>zolpidem tartrate</t>
  </si>
  <si>
    <t>Stilnox / Ambien / Myslee</t>
  </si>
  <si>
    <t>ramipril</t>
  </si>
  <si>
    <t>fexofenadine hydrochloride</t>
  </si>
  <si>
    <t>teicoplanin</t>
  </si>
  <si>
    <t>furosemide</t>
  </si>
  <si>
    <t>amiodarone hydrochloride</t>
  </si>
  <si>
    <t>alfuzosin hydrochloride</t>
  </si>
  <si>
    <t>ketoprofen</t>
  </si>
  <si>
    <t>Allegra®</t>
  </si>
  <si>
    <t>Doliprane®</t>
  </si>
  <si>
    <t>Essentiale®</t>
  </si>
  <si>
    <t>Enterogermina®</t>
  </si>
  <si>
    <t>Nasacort®</t>
  </si>
  <si>
    <t>Maalox®</t>
  </si>
  <si>
    <t>Lactacyd®</t>
  </si>
  <si>
    <t>Dorflex®</t>
  </si>
  <si>
    <t>No-Spa®</t>
  </si>
  <si>
    <t>Magné B6®</t>
  </si>
  <si>
    <t>Teva Pharmaceuticals Industries</t>
  </si>
  <si>
    <t>Actavis</t>
  </si>
  <si>
    <t>in October 2015, we voluntary recalled all Auvi-Q® (epinephrine injection, USP) marketed in the US and Canada as the product was found to potentially have inaccurate dosage delivery, which may include failure to deliver the drug</t>
  </si>
  <si>
    <t>Polio/Pertussis/Hib Vaccines (including Pentacel®, Pentaxim®, Imovax® and Hexaxim®)</t>
  </si>
  <si>
    <t>Influenza Vaccines (including Vaxigrip® and Fluzone®)</t>
  </si>
  <si>
    <t>Meningitis/Pneumonia Vaccines (including Menactra®)</t>
  </si>
  <si>
    <t>Adult Booster Vaccines (including Adacel®)</t>
  </si>
  <si>
    <t>Dengvaxia®</t>
  </si>
  <si>
    <t>Business P&amp;L (in EURm except otherwise stated)</t>
  </si>
  <si>
    <t>FY 2016</t>
  </si>
  <si>
    <t>FY 2017E</t>
  </si>
  <si>
    <t>FY 2018E</t>
  </si>
  <si>
    <t>FY 2019E</t>
  </si>
  <si>
    <t>FY 2020E</t>
  </si>
  <si>
    <t>http://www.vara-services.de/app/csv?view=3&amp;document_id=505</t>
  </si>
  <si>
    <t>Net sales (€M)</t>
  </si>
  <si>
    <t>Other revenues (€M)</t>
  </si>
  <si>
    <t>Cost of sales (€M)</t>
  </si>
  <si>
    <t>Gross profit (€M)</t>
  </si>
  <si>
    <t>Research and development expenses (€M)</t>
  </si>
  <si>
    <t>Selling and general expenses (€M)</t>
  </si>
  <si>
    <t>Other current operating income/expenses (€M)</t>
  </si>
  <si>
    <t>Share of profit/loss of associates (€M)</t>
  </si>
  <si>
    <t>Net income attributable to non-controlling interests (€M)</t>
  </si>
  <si>
    <t>Business operating income (€M)</t>
  </si>
  <si>
    <t>Financial income and expenses (€M)</t>
  </si>
  <si>
    <t>Income tax expense (€M)</t>
  </si>
  <si>
    <t>Tax rate (%)</t>
  </si>
  <si>
    <t>Business net income excl. Animal Health business (€M)</t>
  </si>
  <si>
    <t>Business net income of Animal Health business (€M)</t>
  </si>
  <si>
    <t>Business net income (€M)</t>
  </si>
  <si>
    <t xml:space="preserve">Sanofi's Animal Health business (Merial) </t>
  </si>
  <si>
    <t>Depreciation, amortization and impairment of property, plant and equipment and software (€M)</t>
  </si>
  <si>
    <t>Gains and losses on disposals of non-current assets, net of tax (€M)</t>
  </si>
  <si>
    <t>Other non cash items (€M)</t>
  </si>
  <si>
    <t>Operating cash flow before changes in working capital* (€M)</t>
  </si>
  <si>
    <t>Changes in working capital*</t>
  </si>
  <si>
    <t>Acquisitions of property, plant and equipment and software (€M)</t>
  </si>
  <si>
    <t>Free cash flow* (€M)</t>
  </si>
  <si>
    <t>Acquisitions of intangible assets excluding software (€M)</t>
  </si>
  <si>
    <t>Acquisitions of investments in consolidated undertakings including assumed debt (€M)</t>
  </si>
  <si>
    <t>Restructuring costs (€M)</t>
  </si>
  <si>
    <t>Proceeds from disposals of property, plant and equipment, intangible assets and other non-current assets net of tax (€M)</t>
  </si>
  <si>
    <t>Issuance of Sanofi shares (€M)</t>
  </si>
  <si>
    <t>Dividends paid to shareholders of Sanofi (€M)</t>
  </si>
  <si>
    <t>Acquisition of treasury shares (€M)</t>
  </si>
  <si>
    <t>Disposals of treasury shares (€M)</t>
  </si>
  <si>
    <t>Transactions with non-controlling interests including dividends</t>
  </si>
  <si>
    <t>Foreign exchange impact (€M)</t>
  </si>
  <si>
    <t>Other items (€M)</t>
  </si>
  <si>
    <t>Change in net debt (€M)</t>
  </si>
  <si>
    <t>check</t>
  </si>
  <si>
    <t>Dengvaxia</t>
  </si>
  <si>
    <t>Biosimilar adalimumab</t>
  </si>
  <si>
    <t>ABP 501 / AMJEVITA</t>
  </si>
  <si>
    <t>NovoRapid / NovoLog</t>
  </si>
  <si>
    <t>NovoMix / NovoLog Mix</t>
  </si>
  <si>
    <t>Levemir</t>
  </si>
  <si>
    <t>insulin aspart; insulin aspart protamine</t>
  </si>
  <si>
    <t>insulin detemir</t>
  </si>
  <si>
    <t>Januvia / Janumet</t>
  </si>
  <si>
    <t>LUSDUNA / MK-1293</t>
  </si>
  <si>
    <t>Biosimilar insulin glargine</t>
  </si>
  <si>
    <t>Opdivo</t>
  </si>
  <si>
    <t>nivolumab</t>
  </si>
  <si>
    <t>rituximab</t>
  </si>
  <si>
    <t>Avastin</t>
  </si>
  <si>
    <t>bevacizumab</t>
  </si>
  <si>
    <t>Herceptin</t>
  </si>
  <si>
    <t>trastuzumab</t>
  </si>
  <si>
    <t>Imbruvica</t>
  </si>
  <si>
    <t>ibrutinib</t>
  </si>
  <si>
    <t>Keytruda</t>
  </si>
  <si>
    <t>pembrolizumab</t>
  </si>
  <si>
    <t>Ibrance</t>
  </si>
  <si>
    <t>palbociclib</t>
  </si>
  <si>
    <t>Durvalumab</t>
  </si>
  <si>
    <t>durvalumab</t>
  </si>
  <si>
    <t>Veliparib</t>
  </si>
  <si>
    <t>veliparib</t>
  </si>
  <si>
    <t>Abemaciclib</t>
  </si>
  <si>
    <t>abemaciclib</t>
  </si>
  <si>
    <t>ribociclib</t>
  </si>
  <si>
    <t>PB272</t>
  </si>
  <si>
    <t>neratinib</t>
  </si>
  <si>
    <t>Alimta</t>
  </si>
  <si>
    <t>pemetrexed disodium</t>
  </si>
  <si>
    <t>Zytiga</t>
  </si>
  <si>
    <t>abiraterone acetate</t>
  </si>
  <si>
    <t>Kisqali / LEE011</t>
  </si>
  <si>
    <t>Rituxan / MabThera</t>
  </si>
  <si>
    <t>(€ in millions, except per share data)</t>
  </si>
  <si>
    <t>EUR/USD</t>
  </si>
  <si>
    <t>Revenues - Pharma</t>
  </si>
  <si>
    <t>Revenues - Vaccines </t>
  </si>
  <si>
    <t>Revenues - Animal Health</t>
  </si>
  <si>
    <t>Revenues - Group (Pharma+Vaccines)</t>
  </si>
  <si>
    <t>Other D</t>
  </si>
  <si>
    <t>Faster-acting Insulin Aspart</t>
  </si>
  <si>
    <t>EBIT</t>
  </si>
  <si>
    <t>Cost of debt</t>
  </si>
  <si>
    <t>EBIT of the held-for-exchange Animal Health business</t>
  </si>
  <si>
    <t>Business operating income - Pharma</t>
  </si>
  <si>
    <t>Business operating income</t>
  </si>
  <si>
    <t>Business operating income - Vaccines </t>
  </si>
  <si>
    <t>Group expenses</t>
  </si>
  <si>
    <t xml:space="preserve">EBIT - Group </t>
  </si>
  <si>
    <t>Optimistic</t>
  </si>
  <si>
    <t>Revenue CAGR:</t>
  </si>
  <si>
    <t>industry</t>
  </si>
  <si>
    <t xml:space="preserve">Cardiovascular </t>
  </si>
  <si>
    <t>BUSINESS P&amp;L</t>
  </si>
  <si>
    <t>Last update on 27/04/2017</t>
  </si>
  <si>
    <t>Q1 2016</t>
  </si>
  <si>
    <t>Q1 2017E</t>
  </si>
  <si>
    <t>Net sales</t>
  </si>
  <si>
    <t>- Number of Estimates</t>
  </si>
  <si>
    <t>- Highest</t>
  </si>
  <si>
    <t>- Consensus</t>
  </si>
  <si>
    <t>- Lowest</t>
  </si>
  <si>
    <t>Other revenues</t>
  </si>
  <si>
    <t>Gross Profit</t>
  </si>
  <si>
    <t>Gross margin as % of net sales</t>
  </si>
  <si>
    <t>R&amp;D expenses</t>
  </si>
  <si>
    <t>SG&amp;A expenses</t>
  </si>
  <si>
    <t>Other current operating income/expense</t>
  </si>
  <si>
    <t>Share of profit/loss of associates</t>
  </si>
  <si>
    <t>Net income attributable to non-controlling interests</t>
  </si>
  <si>
    <t>Operating margin as % of net sales</t>
  </si>
  <si>
    <t>Financial income &amp; expense</t>
  </si>
  <si>
    <t>Tax rate in %</t>
  </si>
  <si>
    <t>Business net income</t>
  </si>
  <si>
    <t>Net profit margin as % of net sales</t>
  </si>
  <si>
    <t>Number of shares</t>
  </si>
  <si>
    <t>Business EPS (in EUR)</t>
  </si>
  <si>
    <t>Dividend per Share (in EUR)</t>
  </si>
  <si>
    <t>SALES BY SEGMENTS</t>
  </si>
  <si>
    <t>Sales by Global Business Units (in EURm)</t>
  </si>
  <si>
    <t>The above consensus estimates are reset after each quarterly report. Hence, the estimates do not contain any estimates older than three months.</t>
  </si>
  <si>
    <t>SALES BY PRODUCTS</t>
  </si>
  <si>
    <t>Sales by Products (in EURm)</t>
  </si>
  <si>
    <t>Rare Diseases</t>
  </si>
  <si>
    <t>Other rare diseases</t>
  </si>
  <si>
    <t>Multiple Sclerosis</t>
  </si>
  <si>
    <t>Immunology</t>
  </si>
  <si>
    <t>Kevzara, non-risk adjusted sales</t>
  </si>
  <si>
    <t>Dupixent, non-risk adjusted sales</t>
  </si>
  <si>
    <t>Soliqua</t>
  </si>
  <si>
    <t>Cardiovascular</t>
  </si>
  <si>
    <t>Multaq</t>
  </si>
  <si>
    <t>Established Products</t>
  </si>
  <si>
    <t>Renagel &amp; Renvela</t>
  </si>
  <si>
    <t>Other Rx</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</si>
  <si>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</si>
  <si>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Disclaimer</t>
  </si>
  <si>
    <t>2017 First-quarter Consolidated income Statement</t>
  </si>
  <si>
    <t>€ million</t>
  </si>
  <si>
    <r>
      <t xml:space="preserve">Q1 2017 </t>
    </r>
    <r>
      <rPr>
        <b/>
        <vertAlign val="superscript"/>
        <sz val="10"/>
        <rFont val="Arial"/>
        <family val="2"/>
      </rPr>
      <t>(1)</t>
    </r>
  </si>
  <si>
    <r>
      <t xml:space="preserve">Q1 2016 </t>
    </r>
    <r>
      <rPr>
        <b/>
        <vertAlign val="superscript"/>
        <sz val="10"/>
        <rFont val="Arial"/>
        <family val="2"/>
      </rPr>
      <t>(1)</t>
    </r>
  </si>
  <si>
    <t>Research and development expenses</t>
  </si>
  <si>
    <t>Selling and general expenses</t>
  </si>
  <si>
    <t>Other operating income</t>
  </si>
  <si>
    <t>Other operating expenses</t>
  </si>
  <si>
    <t>Amortization of intangible assets</t>
  </si>
  <si>
    <t>Impairment of intangible assets</t>
  </si>
  <si>
    <t xml:space="preserve">Fair value remeasurement of contingent consideration </t>
  </si>
  <si>
    <t>Restructuring costs and similar items</t>
  </si>
  <si>
    <t>Other gains and losses and litigation</t>
  </si>
  <si>
    <t>Financial expenses</t>
  </si>
  <si>
    <t>Financial income</t>
  </si>
  <si>
    <t>Income before tax and associates and joint ventures</t>
  </si>
  <si>
    <t>Income tax expense</t>
  </si>
  <si>
    <t>Share of profit / loss of associates and joint ventures</t>
  </si>
  <si>
    <t>Net income excluding the held for exchange Animal Health business</t>
  </si>
  <si>
    <t>Net income from the held for exchange Animal Health business</t>
  </si>
  <si>
    <t xml:space="preserve">Net income </t>
  </si>
  <si>
    <t>Net income attributable to equity holders of Sanofi</t>
  </si>
  <si>
    <t>Average number of shares outstanding (million)</t>
  </si>
  <si>
    <t>Earnings per share excluding the held for exchange Animal Health business (in euros)</t>
  </si>
  <si>
    <t>IFRS Earnings per share (in euros)</t>
  </si>
  <si>
    <r>
      <rPr>
        <vertAlign val="superscript"/>
        <sz val="8"/>
        <rFont val="Arial"/>
        <family val="2"/>
      </rPr>
      <t xml:space="preserve">(1) </t>
    </r>
    <r>
      <rPr>
        <sz val="8"/>
        <rFont val="Arial"/>
        <family val="2"/>
      </rPr>
      <t>Animal Health results in 2016 and gain on disposal in 2017 reported separately in accordance with IFRS 5 (Non-Current Assets Held for Sale and Discontinued Operations).</t>
    </r>
  </si>
  <si>
    <t>Cash and cash equivalents</t>
  </si>
  <si>
    <t>Short-term debt and current portion of long-term debt</t>
  </si>
  <si>
    <t>Value Per Share €</t>
  </si>
  <si>
    <t>Value Per ADS $</t>
  </si>
  <si>
    <t>Share/ADS</t>
  </si>
  <si>
    <t>Current Market Price per ADS</t>
  </si>
</sst>
</file>

<file path=xl/styles.xml><?xml version="1.0" encoding="utf-8"?>
<styleSheet xmlns="http://schemas.openxmlformats.org/spreadsheetml/2006/main" xmlns:mc="http://schemas.openxmlformats.org/markup-compatibility/2006" xmlns:x14ac="http://schemas.microsoft.com/office/spreadsheetml/2009/9/ac" mc:Ignorable="x14ac">
  <numFmts count="75">
    <numFmt numFmtId="43" formatCode="_-* #,##0.00\ _₽_-;\-* #,##0.00\ _₽_-;_-* &quot;-&quot;??\ _₽_-;_-@_-"/>
    <numFmt numFmtId="164" formatCode="0&quot; mos.&quot;"/>
    <numFmt numFmtId="165" formatCode="&quot;Year &quot;0"/>
    <numFmt numFmtId="166" formatCode="m/d/yy;@"/>
    <numFmt numFmtId="167" formatCode="_(&quot;$&quot;#,##0.0_)_%;_(\(&quot;$&quot;#,##0.0\)_%;_(&quot;–&quot;_)_%;@_(_%"/>
    <numFmt numFmtId="168" formatCode="0.0%_);\(0.0%\);0.0%_);@_)"/>
    <numFmt numFmtId="169" formatCode="_(&quot;$&quot;* #,##0.00_);_(&quot;$&quot;* \(#,##0.00\);_(&quot;$&quot;* &quot;-&quot;??_);_(@_)"/>
    <numFmt numFmtId="170" formatCode="0.000"/>
    <numFmt numFmtId="171" formatCode="_(* #,##0.00_);_(* \(#,##0.00\);_(* &quot;-&quot;??_);_(@_)"/>
    <numFmt numFmtId="172" formatCode="_-[$$-409]* #,##0.00_ ;_-[$$-409]* \-#,##0.00\ ;_-[$$-409]* &quot;-&quot;??_ ;_-@_ "/>
    <numFmt numFmtId="173" formatCode="&quot;$&quot;#,##0.00_);[Red]\(&quot;$&quot;#,##0.00\)"/>
    <numFmt numFmtId="174" formatCode="_(0.0\x_)_);_(\(0.0\x\);_(&quot;–&quot;_)_%;@_(_%"/>
    <numFmt numFmtId="175" formatCode="&quot;$&quot;#,##0.0_);\(&quot;$&quot;#,##0.0\);&quot;$&quot;#,##0.0_);@_)"/>
    <numFmt numFmtId="176" formatCode="0.0%"/>
    <numFmt numFmtId="177" formatCode="0.0_)\%;\(0.0\)\%;0.0_)\%;@_)_%"/>
    <numFmt numFmtId="178" formatCode="#,##0.0_)_%;\(#,##0.0\)_%;0.0_)_%;@_)_%"/>
    <numFmt numFmtId="179" formatCode="#,##0.0_);\(#,##0.0\)"/>
    <numFmt numFmtId="180" formatCode="&quot;$&quot;_(#,##0.00_);&quot;$&quot;\(#,##0.00\)"/>
    <numFmt numFmtId="181" formatCode="\€_(#,##0.00_);\€\(#,##0.00\);\€_(0.00_);@_)"/>
    <numFmt numFmtId="182" formatCode="#,##0.0_)\x;\(#,##0.0\)\x"/>
    <numFmt numFmtId="183" formatCode="#,##0.0_)_x;\(#,##0.0\)_x"/>
    <numFmt numFmtId="184" formatCode="0.0_)\%;\(0.0\)\%"/>
    <numFmt numFmtId="185" formatCode="#,##0.0_)_%;\(#,##0.0\)_%"/>
    <numFmt numFmtId="186" formatCode="0.0%_);\(0.0%\)"/>
    <numFmt numFmtId="187" formatCode="#,##0.0\ ;\(#,##0.0\)"/>
    <numFmt numFmtId="188" formatCode="#,##0.000_);[Red]\(#,##0.000\)"/>
    <numFmt numFmtId="189" formatCode="#,##0,_);\(#,##0,\)"/>
    <numFmt numFmtId="190" formatCode="_(* #,##0.0000_);_(* \(#,##0.0000\);_(* &quot;-&quot;??_);_(@_)"/>
    <numFmt numFmtId="191" formatCode="0.0%;[Red]\(0.0%\)"/>
    <numFmt numFmtId="192" formatCode="0%;[Red]\(0%\)"/>
    <numFmt numFmtId="193" formatCode="0.0%;\(0.0%\)"/>
    <numFmt numFmtId="194" formatCode="yyyy"/>
    <numFmt numFmtId="195" formatCode="_-* #,##0.00_-;\-* #,##0.00_-;_-* &quot;-&quot;??_-;_-@_-"/>
    <numFmt numFmtId="196" formatCode="&quot;$&quot;#,##0_);[Red]\(&quot;$&quot;#,##0\)"/>
    <numFmt numFmtId="197" formatCode="&quot;$&quot;#,##0.00&quot;A&quot;;[Red]\(&quot;$&quot;#,##0.00\)&quot;A&quot;"/>
    <numFmt numFmtId="198" formatCode="&quot;$&quot;#,##0.00&quot;E&quot;;[Red]\(&quot;$&quot;#,##0.00\)&quot;E&quot;"/>
    <numFmt numFmtId="199" formatCode="_([$€]* #,##0.00_);_([$€]* \(#,##0.00\);_([$€]* &quot;-&quot;??_);_(@_)"/>
    <numFmt numFmtId="200" formatCode="_([$€-2]* #,##0.00_);_([$€-2]* \(#,##0.00\);_([$€-2]* &quot;-&quot;??_)"/>
    <numFmt numFmtId="201" formatCode="_(* #,##0.0_);_(* \(#,##0.0\);_(* &quot;-&quot;??_);_(@_)"/>
    <numFmt numFmtId="202" formatCode="#,##0.0_);[Red]\(#,##0.0\)"/>
    <numFmt numFmtId="203" formatCode="0.0%_);[Red]\(0.0%\)"/>
    <numFmt numFmtId="204" formatCode="General_)dd\-mmm\-yy_)\.\.\.\,"/>
    <numFmt numFmtId="205" formatCode="General_)"/>
    <numFmt numFmtId="206" formatCode="#,##0.00\x_);[Red]\(#,##0.00\x\)"/>
    <numFmt numFmtId="207" formatCode="0%\ ;[Red]\(0%\)\ ;&quot;-  &quot;"/>
    <numFmt numFmtId="208" formatCode="0%_);\(0%\)"/>
    <numFmt numFmtId="209" formatCode="0%;\(0%\)"/>
    <numFmt numFmtId="210" formatCode="[&lt;=9999999]###\-####;\(###\)\ ###\-####"/>
    <numFmt numFmtId="211" formatCode="&quot;   &quot;@"/>
    <numFmt numFmtId="212" formatCode="_(* #,##0_);_(* \(#,##0\);_(* &quot;-&quot;_)"/>
    <numFmt numFmtId="213" formatCode="0.00_)"/>
    <numFmt numFmtId="214" formatCode="&quot;$&quot;#,##0_);\(&quot;$&quot;#,##0\)"/>
    <numFmt numFmtId="215" formatCode="_-[$$-409]* #,##0_ ;_-[$$-409]* \-#,##0\ ;_-[$$-409]* &quot;-&quot;_ ;_-@_ "/>
    <numFmt numFmtId="216" formatCode="#,##0.0"/>
    <numFmt numFmtId="217" formatCode="0.0"/>
    <numFmt numFmtId="221" formatCode="#,##0.0000_ ;\-#,##0.0000\ "/>
    <numFmt numFmtId="222" formatCode="_-* #,##0.00\ [$€-40C]_-;\-* #,##0.00\ [$€-40C]_-;_-* &quot;-&quot;??\ [$€-40C]_-;_-@_-"/>
    <numFmt numFmtId="223" formatCode="_(&quot;€&quot;* #,##0.00_);_(&quot;€&quot;* \(#,##0.00\);_(&quot;€&quot;* &quot;-&quot;??_);_(@_)"/>
    <numFmt numFmtId="224" formatCode="_-* #,##0\ [$€-40C]_-;\-* #,##0\ [$€-40C]_-;_-* &quot;-&quot;\ [$€-40C]_-;_-@_-"/>
    <numFmt numFmtId="225" formatCode="#,##0;\(#,##0\);&quot;-&quot;"/>
    <numFmt numFmtId="226" formatCode="_-* #,##0\ _€_-;\-* #,##0\ _€_-;_-* &quot;-&quot;??\ _€_-;_-@_-"/>
    <numFmt numFmtId="227" formatCode="#,##0_);\(#,##0\);\–_)"/>
    <numFmt numFmtId="228" formatCode="#,##0;\(#,##0\);\-"/>
    <numFmt numFmtId="229" formatCode="#,##0;\(#,##0\)"/>
    <numFmt numFmtId="230" formatCode="#,##0.0;\(#,##0.0\);\-"/>
    <numFmt numFmtId="231" formatCode="#,##0.0;\(#,##0.0\);&quot;-&quot;"/>
    <numFmt numFmtId="232" formatCode="#,##0.00;\(#,##0.00\)"/>
    <numFmt numFmtId="233" formatCode="#,##0&quot; &quot;;\(#,##0\)"/>
    <numFmt numFmtId="234" formatCode="_-* #,##0\ _D_M_-;\-* #,##0\ _D_M_-;_-* &quot;-&quot;\ _D_M_-;_-@_-"/>
    <numFmt numFmtId="235" formatCode="_-* #,##0.00\ _D_M_-;\-* #,##0.00\ _D_M_-;_-* &quot;-&quot;??\ _D_M_-;_-@_-"/>
    <numFmt numFmtId="236" formatCode="_-* #,##0.00\ &quot;€&quot;_-;\-* #,##0.00\ &quot;€&quot;_-;_-* &quot;-&quot;??\ &quot;€&quot;_-;_-@_-"/>
    <numFmt numFmtId="237" formatCode="_-* #,##0\ &quot;DM&quot;_-;\-* #,##0\ &quot;DM&quot;_-;_-* &quot;-&quot;\ &quot;DM&quot;_-;_-@_-"/>
    <numFmt numFmtId="238" formatCode="_-* #,##0.00\ &quot;DM&quot;_-;\-* #,##0.00\ &quot;DM&quot;_-;_-* &quot;-&quot;??\ &quot;DM&quot;_-;_-@_-"/>
    <numFmt numFmtId="239" formatCode="&quot;€&quot;#,##0.0_);\(&quot;€&quot;#,##0.0\);&quot;€&quot;#,##0.0_);@_)"/>
    <numFmt numFmtId="240" formatCode="#,##0_ ;\-#,##0\ "/>
  </numFmts>
  <fonts count="155"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b/>
      <sz val="15"/>
      <color theme="3"/>
      <name val="Calibri"/>
      <family val="2"/>
      <charset val="204"/>
      <scheme val="minor"/>
    </font>
    <font>
      <sz val="10"/>
      <name val="Arial"/>
      <family val="2"/>
      <charset val="204"/>
    </font>
    <font>
      <sz val="9"/>
      <color theme="1"/>
      <name val="Arial"/>
      <family val="2"/>
      <charset val="204"/>
    </font>
    <font>
      <sz val="10"/>
      <name val="Calibri"/>
      <family val="2"/>
      <scheme val="minor"/>
    </font>
    <font>
      <b/>
      <sz val="18"/>
      <color indexed="8"/>
      <name val="Arial"/>
      <family val="2"/>
    </font>
    <font>
      <sz val="8"/>
      <name val="Calibri"/>
      <family val="2"/>
      <scheme val="minor"/>
    </font>
    <font>
      <b/>
      <sz val="10"/>
      <color rgb="FF1F497D"/>
      <name val="Calibri"/>
      <family val="2"/>
      <scheme val="minor"/>
    </font>
    <font>
      <sz val="10"/>
      <color rgb="FF0000FF"/>
      <name val="Calibri"/>
      <family val="2"/>
      <scheme val="minor"/>
    </font>
    <font>
      <b/>
      <sz val="10"/>
      <name val="Calibri"/>
      <family val="2"/>
      <scheme val="minor"/>
    </font>
    <font>
      <b/>
      <u/>
      <sz val="10"/>
      <name val="Calibri"/>
      <family val="2"/>
      <scheme val="minor"/>
    </font>
    <font>
      <i/>
      <sz val="10"/>
      <color rgb="FF0000FF"/>
      <name val="Calibri"/>
      <family val="2"/>
      <scheme val="minor"/>
    </font>
    <font>
      <i/>
      <sz val="10"/>
      <color indexed="8"/>
      <name val="Calibri"/>
      <family val="2"/>
      <scheme val="minor"/>
    </font>
    <font>
      <b/>
      <sz val="10"/>
      <color rgb="FF0000FF"/>
      <name val="Calibri"/>
      <family val="2"/>
      <scheme val="minor"/>
    </font>
    <font>
      <b/>
      <sz val="12"/>
      <color indexed="8"/>
      <name val="Arial"/>
      <family val="2"/>
    </font>
    <font>
      <u/>
      <sz val="11"/>
      <color theme="10"/>
      <name val="Calibri"/>
      <family val="2"/>
      <charset val="204"/>
      <scheme val="minor"/>
    </font>
    <font>
      <i/>
      <sz val="8"/>
      <color theme="1"/>
      <name val="Arial"/>
      <family val="2"/>
      <charset val="204"/>
    </font>
    <font>
      <b/>
      <sz val="10"/>
      <name val="Arial"/>
      <family val="2"/>
      <charset val="204"/>
    </font>
    <font>
      <u/>
      <sz val="10"/>
      <color indexed="12"/>
      <name val="Arial"/>
      <family val="2"/>
      <charset val="204"/>
    </font>
    <font>
      <sz val="10"/>
      <color rgb="FF00B050"/>
      <name val="Calibri"/>
      <family val="2"/>
      <scheme val="minor"/>
    </font>
    <font>
      <i/>
      <sz val="8"/>
      <name val="Calibri"/>
      <family val="2"/>
      <charset val="204"/>
      <scheme val="minor"/>
    </font>
    <font>
      <i/>
      <sz val="10"/>
      <color rgb="FF0070C0"/>
      <name val="Calibri"/>
      <family val="2"/>
      <charset val="204"/>
      <scheme val="minor"/>
    </font>
    <font>
      <i/>
      <sz val="10"/>
      <color rgb="FFFF0000"/>
      <name val="Calibri"/>
      <family val="2"/>
      <charset val="204"/>
      <scheme val="minor"/>
    </font>
    <font>
      <i/>
      <sz val="10"/>
      <color theme="1"/>
      <name val="Calibri"/>
      <family val="2"/>
      <charset val="204"/>
      <scheme val="minor"/>
    </font>
    <font>
      <u/>
      <sz val="12"/>
      <color theme="10"/>
      <name val="Calibri"/>
      <family val="2"/>
      <charset val="204"/>
      <scheme val="minor"/>
    </font>
    <font>
      <u/>
      <sz val="11"/>
      <color theme="11"/>
      <name val="Calibri"/>
      <family val="2"/>
      <charset val="204"/>
      <scheme val="minor"/>
    </font>
    <font>
      <sz val="10"/>
      <color theme="9"/>
      <name val="Calibri"/>
      <scheme val="minor"/>
    </font>
    <font>
      <i/>
      <sz val="10"/>
      <name val="Calibri"/>
      <scheme val="minor"/>
    </font>
    <font>
      <sz val="12"/>
      <name val="Calibri"/>
      <scheme val="minor"/>
    </font>
    <font>
      <sz val="10"/>
      <color theme="1"/>
      <name val="Calibri"/>
      <scheme val="minor"/>
    </font>
    <font>
      <sz val="11"/>
      <color theme="1"/>
      <name val="Calibri"/>
      <family val="2"/>
      <charset val="204"/>
      <scheme val="minor"/>
    </font>
    <font>
      <b/>
      <sz val="12"/>
      <color theme="1"/>
      <name val="Calibri"/>
      <family val="2"/>
      <charset val="204"/>
      <scheme val="minor"/>
    </font>
    <font>
      <i/>
      <sz val="9"/>
      <color theme="1"/>
      <name val="Arial"/>
    </font>
    <font>
      <b/>
      <i/>
      <sz val="12"/>
      <name val="Calibri"/>
      <scheme val="minor"/>
    </font>
    <font>
      <sz val="12"/>
      <color rgb="FF0000FF"/>
      <name val="Calibri"/>
      <scheme val="minor"/>
    </font>
    <font>
      <b/>
      <sz val="12"/>
      <name val="Calibri"/>
      <scheme val="minor"/>
    </font>
    <font>
      <sz val="11"/>
      <color rgb="FF0000FF"/>
      <name val="Calibri"/>
      <scheme val="minor"/>
    </font>
    <font>
      <i/>
      <sz val="12"/>
      <name val="Calibri"/>
      <scheme val="minor"/>
    </font>
    <font>
      <sz val="10"/>
      <color indexed="8"/>
      <name val="Calibri"/>
      <family val="2"/>
      <scheme val="minor"/>
    </font>
    <font>
      <i/>
      <sz val="12"/>
      <color rgb="FF0000FF"/>
      <name val="Calibri"/>
      <family val="2"/>
      <scheme val="minor"/>
    </font>
    <font>
      <sz val="12"/>
      <color rgb="FF000000"/>
      <name val="Calibri"/>
      <family val="2"/>
      <scheme val="minor"/>
    </font>
    <font>
      <i/>
      <sz val="12"/>
      <color theme="1"/>
      <name val="Calibri"/>
      <family val="2"/>
      <scheme val="minor"/>
    </font>
    <font>
      <i/>
      <sz val="12"/>
      <color rgb="FF000000"/>
      <name val="Calibri"/>
      <family val="2"/>
      <scheme val="minor"/>
    </font>
    <font>
      <sz val="9"/>
      <color indexed="81"/>
      <name val="Calibri"/>
      <family val="2"/>
      <charset val="204"/>
    </font>
    <font>
      <b/>
      <sz val="9"/>
      <color indexed="81"/>
      <name val="Calibri"/>
      <family val="2"/>
      <charset val="204"/>
    </font>
    <font>
      <sz val="10"/>
      <name val="Helv"/>
      <family val="2"/>
    </font>
    <font>
      <sz val="9"/>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color indexed="49"/>
      <name val="Times New Roman"/>
      <family val="1"/>
    </font>
    <font>
      <sz val="11"/>
      <color indexed="8"/>
      <name val="Calibri"/>
      <family val="2"/>
    </font>
    <font>
      <sz val="11"/>
      <color indexed="9"/>
      <name val="Calibri"/>
      <family val="2"/>
    </font>
    <font>
      <sz val="8"/>
      <name val="Times"/>
      <family val="1"/>
    </font>
    <font>
      <sz val="11"/>
      <color indexed="20"/>
      <name val="Calibri"/>
      <family val="2"/>
    </font>
    <font>
      <sz val="8"/>
      <name val="Times New Roman"/>
      <family val="1"/>
    </font>
    <font>
      <b/>
      <sz val="11"/>
      <color indexed="52"/>
      <name val="Calibri"/>
      <family val="2"/>
    </font>
    <font>
      <b/>
      <sz val="11"/>
      <color indexed="9"/>
      <name val="Calibri"/>
      <family val="2"/>
    </font>
    <font>
      <b/>
      <sz val="10"/>
      <name val="Tms Rmn"/>
      <family val="1"/>
    </font>
    <font>
      <sz val="10"/>
      <name val="MS Serif"/>
      <family val="1"/>
    </font>
    <font>
      <sz val="10"/>
      <color indexed="8"/>
      <name val="Arial"/>
      <family val="2"/>
    </font>
    <font>
      <b/>
      <sz val="8"/>
      <name val="Times New Roman"/>
      <family val="1"/>
    </font>
    <font>
      <sz val="10"/>
      <name val="Times New Roman"/>
      <family val="1"/>
    </font>
    <font>
      <i/>
      <sz val="11"/>
      <color indexed="23"/>
      <name val="Calibri"/>
      <family val="2"/>
    </font>
    <font>
      <sz val="11"/>
      <color indexed="17"/>
      <name val="Calibri"/>
      <family val="2"/>
    </font>
    <font>
      <sz val="8"/>
      <name val="Arial"/>
      <family val="2"/>
    </font>
    <font>
      <i/>
      <sz val="8"/>
      <color indexed="17"/>
      <name val="Times New Roman"/>
      <family val="1"/>
    </font>
    <font>
      <sz val="8"/>
      <color indexed="21"/>
      <name val="Arial"/>
      <family val="2"/>
    </font>
    <font>
      <b/>
      <sz val="12"/>
      <name val="Arial"/>
      <family val="2"/>
    </font>
    <font>
      <b/>
      <sz val="16"/>
      <name val="Tahoma"/>
      <family val="2"/>
    </font>
    <font>
      <b/>
      <sz val="15"/>
      <color indexed="56"/>
      <name val="Calibri"/>
      <family val="2"/>
    </font>
    <font>
      <b/>
      <sz val="13"/>
      <color indexed="56"/>
      <name val="Calibri"/>
      <family val="2"/>
    </font>
    <font>
      <b/>
      <sz val="11"/>
      <color indexed="56"/>
      <name val="Calibri"/>
      <family val="2"/>
    </font>
    <font>
      <b/>
      <sz val="8"/>
      <name val="Tms Rmn"/>
      <family val="1"/>
    </font>
    <font>
      <sz val="11"/>
      <color indexed="52"/>
      <name val="Calibri"/>
      <family val="2"/>
    </font>
    <font>
      <sz val="8"/>
      <color indexed="18"/>
      <name val="Times New Roman"/>
      <family val="1"/>
    </font>
    <font>
      <sz val="10"/>
      <name val="MS Sans Serif"/>
      <family val="2"/>
    </font>
    <font>
      <sz val="11"/>
      <color indexed="60"/>
      <name val="Calibri"/>
      <family val="2"/>
    </font>
    <font>
      <sz val="10"/>
      <name val="Tahoma"/>
      <family val="2"/>
    </font>
    <font>
      <sz val="9"/>
      <color indexed="8"/>
      <name val="Helvetica 45"/>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Times New Roman"/>
      <family val="1"/>
    </font>
    <font>
      <b/>
      <sz val="10"/>
      <name val="MS Sans Serif"/>
      <family val="2"/>
    </font>
    <font>
      <sz val="12"/>
      <name val="Times New Roman"/>
      <family val="1"/>
    </font>
    <font>
      <b/>
      <sz val="10"/>
      <color indexed="10"/>
      <name val="Arial"/>
      <family val="2"/>
    </font>
    <font>
      <b/>
      <sz val="18"/>
      <color indexed="56"/>
      <name val="Cambria"/>
      <family val="2"/>
    </font>
    <font>
      <i/>
      <sz val="8"/>
      <name val="Times New Roman"/>
      <family val="1"/>
    </font>
    <font>
      <b/>
      <sz val="11"/>
      <color indexed="8"/>
      <name val="Calibri"/>
      <family val="2"/>
    </font>
    <font>
      <sz val="6"/>
      <name val="Times New Roman"/>
      <family val="1"/>
    </font>
    <font>
      <sz val="11"/>
      <color indexed="10"/>
      <name val="Calibri"/>
      <family val="2"/>
    </font>
    <font>
      <sz val="11"/>
      <name val="ＭＳ Ｐゴシック"/>
      <family val="3"/>
      <charset val="128"/>
    </font>
    <font>
      <b/>
      <sz val="12"/>
      <color theme="1"/>
      <name val="Arial"/>
    </font>
    <font>
      <i/>
      <sz val="10"/>
      <color theme="9"/>
      <name val="Calibri"/>
      <scheme val="minor"/>
    </font>
    <font>
      <sz val="10"/>
      <color theme="0"/>
      <name val="Calibri"/>
      <family val="2"/>
      <scheme val="minor"/>
    </font>
    <font>
      <b/>
      <sz val="14"/>
      <color theme="1"/>
      <name val="Calibri"/>
      <family val="2"/>
      <scheme val="minor"/>
    </font>
    <font>
      <b/>
      <sz val="9"/>
      <name val="Arial"/>
      <family val="2"/>
    </font>
    <font>
      <i/>
      <sz val="10"/>
      <name val="Arial"/>
    </font>
    <font>
      <b/>
      <sz val="20"/>
      <color theme="1"/>
      <name val="Arial"/>
    </font>
    <font>
      <sz val="15"/>
      <color rgb="FF757575"/>
      <name val="Arial"/>
    </font>
    <font>
      <b/>
      <sz val="15"/>
      <color rgb="FF757575"/>
      <name val="Arial"/>
    </font>
    <font>
      <sz val="15"/>
      <color rgb="FFFFFFFF"/>
      <name val="Arial"/>
    </font>
    <font>
      <sz val="15"/>
      <color rgb="FF0000FF"/>
      <name val="Arial"/>
    </font>
    <font>
      <b/>
      <sz val="15"/>
      <color rgb="FF0000FF"/>
      <name val="Arial"/>
    </font>
    <font>
      <b/>
      <sz val="15"/>
      <color rgb="FFFF0000"/>
      <name val="Arial"/>
    </font>
    <font>
      <b/>
      <sz val="15"/>
      <color rgb="FF660066"/>
      <name val="Arial"/>
    </font>
    <font>
      <sz val="8"/>
      <color rgb="FFFF0000"/>
      <name val="Arial"/>
      <family val="2"/>
    </font>
    <font>
      <sz val="15"/>
      <color rgb="FF008000"/>
      <name val="Arial"/>
    </font>
    <font>
      <sz val="15"/>
      <color rgb="FFFF0000"/>
      <name val="Arial"/>
    </font>
    <font>
      <b/>
      <sz val="14"/>
      <color rgb="FF0000FF"/>
      <name val="Calibri"/>
      <scheme val="minor"/>
    </font>
    <font>
      <sz val="15"/>
      <color theme="1"/>
      <name val="Arial"/>
    </font>
    <font>
      <b/>
      <sz val="15"/>
      <color theme="5"/>
      <name val="Arial"/>
    </font>
    <font>
      <sz val="10"/>
      <color rgb="FFFF0000"/>
      <name val="Calibri"/>
      <scheme val="minor"/>
    </font>
    <font>
      <b/>
      <sz val="15"/>
      <color theme="1"/>
      <name val="Arial"/>
    </font>
    <font>
      <sz val="15"/>
      <color rgb="FF660066"/>
      <name val="Arial"/>
    </font>
    <font>
      <i/>
      <sz val="9"/>
      <color rgb="FF0000FF"/>
      <name val="Arial"/>
    </font>
    <font>
      <b/>
      <sz val="10"/>
      <color theme="1"/>
      <name val="Calibri"/>
      <scheme val="minor"/>
    </font>
    <font>
      <sz val="10"/>
      <name val="Geneva"/>
    </font>
    <font>
      <b/>
      <sz val="16"/>
      <color indexed="62"/>
      <name val="Arial"/>
      <family val="2"/>
    </font>
    <font>
      <b/>
      <sz val="16"/>
      <color indexed="20"/>
      <name val="Arial"/>
      <family val="2"/>
    </font>
    <font>
      <sz val="10"/>
      <color rgb="FFFF0000"/>
      <name val="Arial"/>
      <family val="2"/>
    </font>
    <font>
      <b/>
      <sz val="11"/>
      <color theme="1"/>
      <name val="Arial"/>
      <family val="2"/>
    </font>
    <font>
      <b/>
      <vertAlign val="superscript"/>
      <sz val="10"/>
      <name val="Arial"/>
      <family val="2"/>
    </font>
    <font>
      <b/>
      <i/>
      <sz val="11"/>
      <color theme="1"/>
      <name val="Arial"/>
      <family val="2"/>
    </font>
    <font>
      <sz val="10"/>
      <color theme="1"/>
      <name val="Arial"/>
      <family val="2"/>
    </font>
    <font>
      <b/>
      <sz val="10"/>
      <color theme="1"/>
      <name val="Arial"/>
      <family val="2"/>
    </font>
    <font>
      <vertAlign val="superscript"/>
      <sz val="8"/>
      <name val="Arial"/>
      <family val="2"/>
    </font>
    <font>
      <sz val="10"/>
      <color indexed="9"/>
      <name val="Arial"/>
      <family val="2"/>
    </font>
    <font>
      <i/>
      <sz val="10"/>
      <color indexed="13"/>
      <name val="Arial"/>
      <family val="2"/>
    </font>
    <font>
      <sz val="10"/>
      <color indexed="13"/>
      <name val="Arial"/>
      <family val="2"/>
    </font>
    <font>
      <b/>
      <i/>
      <sz val="9"/>
      <name val="Arial"/>
      <family val="2"/>
    </font>
    <font>
      <u/>
      <sz val="10"/>
      <color indexed="14"/>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Courier"/>
      <family val="3"/>
    </font>
    <font>
      <b/>
      <sz val="11"/>
      <color indexed="18"/>
      <name val="Times New Roman"/>
      <family val="1"/>
    </font>
    <font>
      <sz val="12"/>
      <color indexed="18"/>
      <name val="MS Sans Serif"/>
      <family val="2"/>
    </font>
    <font>
      <b/>
      <sz val="12"/>
      <color indexed="9"/>
      <name val="Times New Roman"/>
      <family val="1"/>
    </font>
    <font>
      <b/>
      <sz val="11"/>
      <color indexed="18"/>
      <name val="Arial Narrow"/>
      <family val="2"/>
    </font>
    <font>
      <b/>
      <sz val="12"/>
      <color indexed="18"/>
      <name val="Times New Roman"/>
      <family val="1"/>
    </font>
    <font>
      <sz val="11"/>
      <color indexed="56"/>
      <name val="Arial"/>
      <family val="2"/>
    </font>
    <font>
      <b/>
      <sz val="20"/>
      <color indexed="9"/>
      <name val="Times New Roman"/>
      <family val="1"/>
    </font>
  </fonts>
  <fills count="58">
    <fill>
      <patternFill patternType="none"/>
    </fill>
    <fill>
      <patternFill patternType="gray125"/>
    </fill>
    <fill>
      <patternFill patternType="solid">
        <fgColor theme="0"/>
        <bgColor indexed="64"/>
      </patternFill>
    </fill>
    <fill>
      <patternFill patternType="solid">
        <fgColor rgb="FFDDE4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CFFCC"/>
        <bgColor rgb="FF000000"/>
      </patternFill>
    </fill>
    <fill>
      <patternFill patternType="solid">
        <fgColor rgb="FFCCFFCC"/>
        <bgColor indexed="64"/>
      </patternFill>
    </fill>
    <fill>
      <patternFill patternType="solid">
        <fgColor theme="0"/>
        <bgColor rgb="FF000000"/>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2F75B5"/>
        <bgColor rgb="FF000000"/>
      </patternFill>
    </fill>
    <fill>
      <patternFill patternType="solid">
        <fgColor rgb="FF9BC2E6"/>
        <bgColor rgb="FF000000"/>
      </patternFill>
    </fill>
    <fill>
      <patternFill patternType="solid">
        <fgColor theme="4" tint="0.59999389629810485"/>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51"/>
        <bgColor indexed="64"/>
      </patternFill>
    </fill>
    <fill>
      <patternFill patternType="solid">
        <fgColor rgb="FF8DB4E2"/>
        <bgColor indexed="64"/>
      </patternFill>
    </fill>
    <fill>
      <patternFill patternType="solid">
        <fgColor rgb="FFDDDDDD"/>
        <bgColor indexed="64"/>
      </patternFill>
    </fill>
    <fill>
      <patternFill patternType="solid">
        <fgColor rgb="FFCDD3EB"/>
        <bgColor indexed="64"/>
      </patternFill>
    </fill>
    <fill>
      <patternFill patternType="solid">
        <fgColor rgb="FFEFE5D2"/>
        <bgColor indexed="64"/>
      </patternFill>
    </fill>
    <fill>
      <patternFill patternType="solid">
        <fgColor rgb="FFD4E0AE"/>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9"/>
      </patternFill>
    </fill>
    <fill>
      <patternFill patternType="solid">
        <fgColor indexed="43"/>
        <bgColor indexed="64"/>
      </patternFill>
    </fill>
    <fill>
      <patternFill patternType="solid">
        <fgColor indexed="39"/>
      </patternFill>
    </fill>
    <fill>
      <patternFill patternType="lightUp">
        <fgColor indexed="54"/>
        <bgColor indexed="22"/>
      </patternFill>
    </fill>
  </fills>
  <borders count="43">
    <border>
      <left/>
      <right/>
      <top/>
      <bottom/>
      <diagonal/>
    </border>
    <border>
      <left/>
      <right/>
      <top/>
      <bottom style="thick">
        <color theme="4"/>
      </bottom>
      <diagonal/>
    </border>
    <border>
      <left/>
      <right/>
      <top style="medium">
        <color auto="1"/>
      </top>
      <bottom style="thin">
        <color auto="1"/>
      </bottom>
      <diagonal/>
    </border>
    <border>
      <left/>
      <right/>
      <top/>
      <bottom style="thin">
        <color theme="4"/>
      </bottom>
      <diagonal/>
    </border>
    <border>
      <left/>
      <right/>
      <top/>
      <bottom style="medium">
        <color theme="4"/>
      </bottom>
      <diagonal/>
    </border>
    <border>
      <left style="thin">
        <color rgb="FFB2C2D1"/>
      </left>
      <right/>
      <top style="thin">
        <color rgb="FFB2C2D1"/>
      </top>
      <bottom style="thin">
        <color rgb="FFB2C2D1"/>
      </bottom>
      <diagonal/>
    </border>
    <border>
      <left/>
      <right/>
      <top style="thin">
        <color rgb="FFB2C2D1"/>
      </top>
      <bottom style="thin">
        <color rgb="FFB2C2D1"/>
      </bottom>
      <diagonal/>
    </border>
    <border>
      <left/>
      <right style="thin">
        <color rgb="FFB2C2D1"/>
      </right>
      <top style="thin">
        <color rgb="FFB2C2D1"/>
      </top>
      <bottom style="thin">
        <color rgb="FFB2C2D1"/>
      </bottom>
      <diagonal/>
    </border>
    <border>
      <left/>
      <right/>
      <top style="thin">
        <color rgb="FF000000"/>
      </top>
      <bottom/>
      <diagonal/>
    </border>
    <border>
      <left/>
      <right/>
      <top style="thin">
        <color auto="1"/>
      </top>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bottom style="medium">
        <color rgb="FF000000"/>
      </bottom>
      <diagonal/>
    </border>
    <border>
      <left/>
      <right/>
      <top style="hair">
        <color indexed="8"/>
      </top>
      <bottom style="hair">
        <color indexed="8"/>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right/>
      <top/>
      <bottom style="dotted">
        <color indexed="22"/>
      </bottom>
      <diagonal/>
    </border>
    <border>
      <left/>
      <right/>
      <top style="thin">
        <color indexed="62"/>
      </top>
      <bottom style="double">
        <color indexed="62"/>
      </bottom>
      <diagonal/>
    </border>
    <border>
      <left/>
      <right/>
      <top/>
      <bottom style="thick">
        <color indexed="44"/>
      </bottom>
      <diagonal/>
    </border>
    <border>
      <left/>
      <right/>
      <top style="thick">
        <color indexed="44"/>
      </top>
      <bottom style="thick">
        <color indexed="44"/>
      </bottom>
      <diagonal/>
    </border>
  </borders>
  <cellStyleXfs count="1416">
    <xf numFmtId="0" fontId="0" fillId="0" borderId="0"/>
    <xf numFmtId="0" fontId="6" fillId="0" borderId="1" applyNumberFormat="0" applyFill="0" applyAlignment="0" applyProtection="0"/>
    <xf numFmtId="0" fontId="7" fillId="0" borderId="0"/>
    <xf numFmtId="0" fontId="20" fillId="0" borderId="0" applyNumberFormat="0" applyFill="0" applyBorder="0" applyAlignment="0" applyProtection="0"/>
    <xf numFmtId="0" fontId="7"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3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0" fillId="0" borderId="0"/>
    <xf numFmtId="177" fontId="51" fillId="0" borderId="0" applyFont="0" applyFill="0" applyBorder="0" applyAlignment="0" applyProtection="0"/>
    <xf numFmtId="177"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0" fontId="52" fillId="0" borderId="0" applyNumberFormat="0" applyFill="0" applyBorder="0" applyAlignment="0" applyProtection="0"/>
    <xf numFmtId="0" fontId="51" fillId="18" borderId="0" applyNumberFormat="0" applyFont="0" applyAlignment="0" applyProtection="0"/>
    <xf numFmtId="0" fontId="51" fillId="18" borderId="0" applyNumberFormat="0" applyFont="0" applyAlignment="0" applyProtection="0"/>
    <xf numFmtId="182" fontId="7" fillId="0" borderId="0" applyFont="0" applyFill="0" applyBorder="0" applyAlignment="0" applyProtection="0"/>
    <xf numFmtId="182"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0" fontId="53" fillId="0" borderId="0" applyNumberFormat="0" applyFill="0" applyBorder="0" applyProtection="0">
      <alignment vertical="top"/>
    </xf>
    <xf numFmtId="0" fontId="54" fillId="0" borderId="26" applyNumberFormat="0" applyFill="0" applyAlignment="0" applyProtection="0"/>
    <xf numFmtId="0" fontId="55" fillId="0" borderId="27" applyNumberFormat="0" applyFill="0" applyProtection="0">
      <alignment horizontal="center"/>
    </xf>
    <xf numFmtId="0" fontId="55" fillId="0" borderId="0" applyNumberFormat="0" applyFill="0" applyBorder="0" applyProtection="0">
      <alignment horizontal="left"/>
    </xf>
    <xf numFmtId="0" fontId="56" fillId="0" borderId="0" applyNumberFormat="0" applyFill="0" applyBorder="0" applyProtection="0">
      <alignment horizontal="centerContinuous"/>
    </xf>
    <xf numFmtId="186" fontId="57" fillId="0" borderId="0" applyFont="0" applyFill="0" applyBorder="0" applyAlignment="0" applyProtection="0"/>
    <xf numFmtId="187" fontId="51" fillId="0" borderId="0"/>
    <xf numFmtId="187" fontId="51" fillId="0" borderId="0"/>
    <xf numFmtId="187" fontId="51" fillId="0" borderId="0"/>
    <xf numFmtId="187" fontId="51" fillId="0" borderId="0"/>
    <xf numFmtId="187" fontId="51" fillId="0" borderId="0"/>
    <xf numFmtId="187" fontId="51" fillId="0" borderId="0"/>
    <xf numFmtId="187" fontId="51" fillId="0" borderId="0"/>
    <xf numFmtId="187" fontId="51" fillId="0" borderId="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169" fontId="58" fillId="0" borderId="0" applyFont="0" applyFill="0" applyBorder="0" applyAlignment="0" applyProtection="0"/>
    <xf numFmtId="9" fontId="58"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60" fillId="0" borderId="0"/>
    <xf numFmtId="0" fontId="61" fillId="20" borderId="0" applyNumberFormat="0" applyBorder="0" applyAlignment="0" applyProtection="0"/>
    <xf numFmtId="0" fontId="61" fillId="20" borderId="0" applyNumberFormat="0" applyBorder="0" applyAlignment="0" applyProtection="0"/>
    <xf numFmtId="38" fontId="62" fillId="0" borderId="0" applyFill="0" applyBorder="0" applyAlignment="0" applyProtection="0">
      <alignment horizontal="left"/>
      <protection locked="0"/>
    </xf>
    <xf numFmtId="188" fontId="62" fillId="0" borderId="0" applyFill="0" applyBorder="0" applyAlignment="0" applyProtection="0">
      <protection locked="0"/>
    </xf>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90" fontId="50" fillId="0" borderId="0" applyFill="0" applyBorder="0" applyAlignment="0"/>
    <xf numFmtId="190" fontId="50" fillId="0" borderId="0" applyFill="0" applyBorder="0" applyAlignment="0"/>
    <xf numFmtId="190" fontId="50" fillId="0" borderId="0" applyFill="0" applyBorder="0" applyAlignment="0"/>
    <xf numFmtId="190" fontId="50" fillId="0" borderId="0" applyFill="0" applyBorder="0" applyAlignment="0"/>
    <xf numFmtId="191" fontId="50" fillId="0" borderId="0" applyFill="0" applyBorder="0" applyAlignment="0"/>
    <xf numFmtId="191" fontId="50" fillId="0" borderId="0" applyFill="0" applyBorder="0" applyAlignment="0"/>
    <xf numFmtId="191" fontId="50" fillId="0" borderId="0" applyFill="0" applyBorder="0" applyAlignment="0"/>
    <xf numFmtId="191" fontId="50" fillId="0" borderId="0" applyFill="0" applyBorder="0" applyAlignment="0"/>
    <xf numFmtId="192" fontId="50" fillId="0" borderId="0" applyFill="0" applyBorder="0" applyAlignment="0"/>
    <xf numFmtId="192" fontId="50" fillId="0" borderId="0" applyFill="0" applyBorder="0" applyAlignment="0"/>
    <xf numFmtId="192" fontId="50" fillId="0" borderId="0" applyFill="0" applyBorder="0" applyAlignment="0"/>
    <xf numFmtId="192"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93" fontId="50" fillId="0" borderId="0" applyFill="0" applyBorder="0" applyAlignment="0"/>
    <xf numFmtId="193" fontId="50" fillId="0" borderId="0" applyFill="0" applyBorder="0" applyAlignment="0"/>
    <xf numFmtId="193" fontId="50" fillId="0" borderId="0" applyFill="0" applyBorder="0" applyAlignment="0"/>
    <xf numFmtId="193"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0" fontId="63" fillId="23" borderId="28" applyNumberFormat="0" applyAlignment="0" applyProtection="0"/>
    <xf numFmtId="0" fontId="63" fillId="23" borderId="28" applyNumberFormat="0" applyAlignment="0" applyProtection="0"/>
    <xf numFmtId="188" fontId="62" fillId="0" borderId="0" applyFont="0" applyFill="0" applyBorder="0" applyAlignment="0" applyProtection="0">
      <protection locked="0"/>
    </xf>
    <xf numFmtId="0" fontId="64" fillId="38" borderId="29" applyNumberFormat="0" applyAlignment="0" applyProtection="0"/>
    <xf numFmtId="0" fontId="64" fillId="38" borderId="29" applyNumberFormat="0" applyAlignment="0" applyProtection="0"/>
    <xf numFmtId="0" fontId="65" fillId="0" borderId="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171" fontId="3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7" fillId="0" borderId="0" applyFont="0" applyFill="0" applyBorder="0" applyAlignment="0" applyProtection="0"/>
    <xf numFmtId="171" fontId="58"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35"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7"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71" fontId="7"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7" fillId="0" borderId="0" applyFont="0" applyFill="0" applyBorder="0" applyAlignment="0" applyProtection="0"/>
    <xf numFmtId="0" fontId="66" fillId="0" borderId="0" applyNumberFormat="0" applyAlignment="0">
      <alignment horizontal="left"/>
    </xf>
    <xf numFmtId="0" fontId="65" fillId="0" borderId="0"/>
    <xf numFmtId="0" fontId="65" fillId="0" borderId="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7"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58" fillId="0" borderId="0" applyFont="0" applyFill="0" applyBorder="0" applyAlignment="0" applyProtection="0"/>
    <xf numFmtId="169" fontId="7"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6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4" fontId="67" fillId="0" borderId="0" applyFill="0" applyBorder="0" applyAlignment="0"/>
    <xf numFmtId="14" fontId="68" fillId="0" borderId="0" applyFont="0" applyFill="0" applyBorder="0" applyAlignment="0" applyProtection="0">
      <alignment horizontal="center"/>
    </xf>
    <xf numFmtId="194" fontId="68" fillId="0" borderId="0" applyFont="0" applyFill="0" applyBorder="0" applyAlignment="0" applyProtection="0">
      <alignment horizontal="center"/>
    </xf>
    <xf numFmtId="173" fontId="62" fillId="0" borderId="0" applyFont="0" applyFill="0" applyBorder="0" applyAlignment="0" applyProtection="0"/>
    <xf numFmtId="196" fontId="62" fillId="0" borderId="0" applyFont="0" applyFill="0" applyBorder="0" applyAlignment="0" applyProtection="0">
      <alignment horizontal="right"/>
    </xf>
    <xf numFmtId="0" fontId="7" fillId="0" borderId="0" applyNumberFormat="0" applyFont="0" applyFill="0" applyBorder="0" applyAlignment="0"/>
    <xf numFmtId="0" fontId="7" fillId="0" borderId="0" applyNumberFormat="0" applyFont="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93" fontId="50" fillId="0" borderId="0" applyFill="0" applyBorder="0" applyAlignment="0"/>
    <xf numFmtId="193" fontId="50" fillId="0" borderId="0" applyFill="0" applyBorder="0" applyAlignment="0"/>
    <xf numFmtId="193" fontId="50" fillId="0" borderId="0" applyFill="0" applyBorder="0" applyAlignment="0"/>
    <xf numFmtId="193"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0" fontId="69" fillId="0" borderId="0" applyNumberFormat="0" applyAlignment="0">
      <alignment horizontal="left"/>
    </xf>
    <xf numFmtId="173" fontId="62" fillId="0" borderId="0" applyFont="0" applyFill="0" applyBorder="0" applyAlignment="0" applyProtection="0">
      <alignment horizontal="right"/>
    </xf>
    <xf numFmtId="197" fontId="69" fillId="0" borderId="0" applyFont="0" applyFill="0" applyBorder="0" applyProtection="0">
      <alignment horizontal="left"/>
      <protection locked="0"/>
    </xf>
    <xf numFmtId="197" fontId="69" fillId="0" borderId="0" applyFont="0" applyFill="0" applyBorder="0" applyProtection="0">
      <alignment horizontal="left"/>
      <protection locked="0"/>
    </xf>
    <xf numFmtId="198" fontId="69" fillId="0" borderId="0" applyFont="0" applyFill="0" applyBorder="0" applyProtection="0">
      <alignment horizontal="left"/>
      <protection locked="0"/>
    </xf>
    <xf numFmtId="198" fontId="69" fillId="0" borderId="0" applyFont="0" applyFill="0" applyBorder="0" applyProtection="0">
      <alignment horizontal="left"/>
      <protection locked="0"/>
    </xf>
    <xf numFmtId="199" fontId="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199" fontId="7" fillId="0" borderId="0" applyFont="0" applyFill="0" applyBorder="0" applyAlignment="0" applyProtection="0"/>
    <xf numFmtId="201" fontId="7" fillId="0" borderId="0" applyFont="0" applyFill="0" applyBorder="0" applyAlignment="0" applyProtection="0"/>
    <xf numFmtId="199" fontId="7"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02" fontId="62" fillId="0" borderId="0" applyFill="0" applyBorder="0" applyAlignment="0" applyProtection="0">
      <protection locked="0"/>
    </xf>
    <xf numFmtId="0" fontId="71" fillId="21" borderId="0" applyNumberFormat="0" applyBorder="0" applyAlignment="0" applyProtection="0"/>
    <xf numFmtId="0" fontId="71" fillId="21" borderId="0" applyNumberFormat="0" applyBorder="0" applyAlignment="0" applyProtection="0"/>
    <xf numFmtId="38" fontId="72" fillId="39" borderId="0" applyNumberFormat="0" applyBorder="0" applyAlignment="0" applyProtection="0"/>
    <xf numFmtId="203" fontId="73" fillId="0" borderId="0" applyFill="0" applyBorder="0" applyAlignment="0" applyProtection="0"/>
    <xf numFmtId="186" fontId="74" fillId="0" borderId="0" applyAlignment="0">
      <alignment horizontal="left"/>
      <protection locked="0"/>
    </xf>
    <xf numFmtId="0" fontId="75" fillId="0" borderId="30" applyNumberFormat="0" applyAlignment="0" applyProtection="0">
      <alignment horizontal="left" vertical="center"/>
    </xf>
    <xf numFmtId="0" fontId="75" fillId="0" borderId="22">
      <alignment horizontal="left" vertical="center"/>
    </xf>
    <xf numFmtId="204" fontId="76" fillId="0" borderId="0">
      <alignment horizontal="centerContinuous" vertical="center" wrapText="1"/>
      <protection locked="0"/>
    </xf>
    <xf numFmtId="0" fontId="77" fillId="0" borderId="31" applyNumberFormat="0" applyFill="0" applyAlignment="0" applyProtection="0"/>
    <xf numFmtId="0" fontId="77" fillId="0" borderId="31" applyNumberFormat="0" applyFill="0" applyAlignment="0" applyProtection="0"/>
    <xf numFmtId="0" fontId="78" fillId="0" borderId="32"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14" fontId="22" fillId="40" borderId="34">
      <alignment horizontal="center" vertical="center" wrapText="1"/>
    </xf>
    <xf numFmtId="204" fontId="76" fillId="0" borderId="0">
      <alignment horizontal="centerContinuous" vertical="center" wrapText="1"/>
      <protection locked="0"/>
    </xf>
    <xf numFmtId="0" fontId="23" fillId="0" borderId="0" applyNumberFormat="0" applyFill="0" applyBorder="0" applyAlignment="0" applyProtection="0">
      <alignment vertical="top"/>
      <protection locked="0"/>
    </xf>
    <xf numFmtId="188" fontId="62" fillId="0" borderId="0" applyFill="0" applyBorder="0" applyAlignment="0" applyProtection="0">
      <alignment horizontal="right"/>
      <protection locked="0"/>
    </xf>
    <xf numFmtId="10" fontId="72" fillId="41" borderId="12" applyNumberFormat="0" applyBorder="0" applyAlignment="0" applyProtection="0"/>
    <xf numFmtId="176" fontId="69" fillId="0" borderId="0" applyAlignment="0">
      <protection locked="0"/>
    </xf>
    <xf numFmtId="176" fontId="69" fillId="0" borderId="0" applyAlignment="0">
      <protection locked="0"/>
    </xf>
    <xf numFmtId="176" fontId="69" fillId="0" borderId="0" applyAlignment="0">
      <protection locked="0"/>
    </xf>
    <xf numFmtId="176" fontId="69" fillId="0" borderId="0" applyAlignment="0">
      <protection locked="0"/>
    </xf>
    <xf numFmtId="176" fontId="69" fillId="0" borderId="0" applyAlignment="0">
      <protection locked="0"/>
    </xf>
    <xf numFmtId="205" fontId="80" fillId="0" borderId="0">
      <alignment horizontal="left"/>
    </xf>
    <xf numFmtId="205" fontId="80" fillId="0" borderId="0">
      <alignment horizontal="left"/>
    </xf>
    <xf numFmtId="205" fontId="80" fillId="0" borderId="0">
      <alignment horizontal="left"/>
    </xf>
    <xf numFmtId="205" fontId="80" fillId="0" borderId="0">
      <alignment horizontal="left"/>
    </xf>
    <xf numFmtId="16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93" fontId="50" fillId="0" borderId="0" applyFill="0" applyBorder="0" applyAlignment="0"/>
    <xf numFmtId="193" fontId="50" fillId="0" borderId="0" applyFill="0" applyBorder="0" applyAlignment="0"/>
    <xf numFmtId="193" fontId="50" fillId="0" borderId="0" applyFill="0" applyBorder="0" applyAlignment="0"/>
    <xf numFmtId="193"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0" fontId="81" fillId="0" borderId="35" applyNumberFormat="0" applyFill="0" applyAlignment="0" applyProtection="0"/>
    <xf numFmtId="0" fontId="81" fillId="0" borderId="35" applyNumberFormat="0" applyFill="0" applyAlignment="0" applyProtection="0"/>
    <xf numFmtId="203" fontId="82" fillId="0" borderId="0" applyFill="0" applyBorder="0" applyAlignment="0" applyProtection="0">
      <alignment horizontal="right"/>
    </xf>
    <xf numFmtId="186" fontId="82" fillId="0" borderId="0" applyFill="0" applyBorder="0" applyAlignment="0" applyProtection="0"/>
    <xf numFmtId="38" fontId="83" fillId="0" borderId="0" applyFont="0" applyFill="0" applyBorder="0" applyAlignment="0" applyProtection="0"/>
    <xf numFmtId="40" fontId="83" fillId="0" borderId="0" applyFont="0" applyFill="0" applyBorder="0" applyAlignment="0" applyProtection="0"/>
    <xf numFmtId="196" fontId="83" fillId="0" borderId="0" applyFont="0" applyFill="0" applyBorder="0" applyAlignment="0" applyProtection="0"/>
    <xf numFmtId="173" fontId="83" fillId="0" borderId="0" applyFont="0" applyFill="0" applyBorder="0" applyAlignment="0" applyProtection="0"/>
    <xf numFmtId="206" fontId="62" fillId="0" borderId="0" applyFont="0" applyFill="0" applyBorder="0" applyAlignment="0" applyProtection="0"/>
    <xf numFmtId="0" fontId="84" fillId="18" borderId="0" applyNumberFormat="0" applyBorder="0" applyAlignment="0" applyProtection="0"/>
    <xf numFmtId="0" fontId="84" fillId="18" borderId="0" applyNumberFormat="0" applyBorder="0" applyAlignment="0" applyProtection="0"/>
    <xf numFmtId="207" fontId="7" fillId="0" borderId="0"/>
    <xf numFmtId="207" fontId="7" fillId="0" borderId="0"/>
    <xf numFmtId="207" fontId="7" fillId="0" borderId="0"/>
    <xf numFmtId="207" fontId="7" fillId="0" borderId="0"/>
    <xf numFmtId="0"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85" fillId="0" borderId="0"/>
    <xf numFmtId="0" fontId="35" fillId="0" borderId="0"/>
    <xf numFmtId="0" fontId="8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5" fillId="0" borderId="0"/>
    <xf numFmtId="0" fontId="35" fillId="0" borderId="0"/>
    <xf numFmtId="0" fontId="7" fillId="0" borderId="0"/>
    <xf numFmtId="0" fontId="8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85" fillId="0" borderId="0"/>
    <xf numFmtId="0" fontId="7" fillId="0" borderId="0"/>
    <xf numFmtId="0" fontId="35" fillId="0" borderId="0"/>
    <xf numFmtId="0" fontId="8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85" fillId="0" borderId="0"/>
    <xf numFmtId="0" fontId="35" fillId="0" borderId="0"/>
    <xf numFmtId="0" fontId="35" fillId="0" borderId="0"/>
    <xf numFmtId="0" fontId="85"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7" fillId="0" borderId="0"/>
    <xf numFmtId="0" fontId="67" fillId="0" borderId="0">
      <alignment vertical="top"/>
    </xf>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85" fillId="0" borderId="0"/>
    <xf numFmtId="0" fontId="7" fillId="0" borderId="0"/>
    <xf numFmtId="0" fontId="35" fillId="0" borderId="0"/>
    <xf numFmtId="0" fontId="35" fillId="0" borderId="0"/>
    <xf numFmtId="0" fontId="35" fillId="0" borderId="0"/>
    <xf numFmtId="0" fontId="85" fillId="0" borderId="0"/>
    <xf numFmtId="0" fontId="85" fillId="0" borderId="0"/>
    <xf numFmtId="0" fontId="7" fillId="0" borderId="0"/>
    <xf numFmtId="0" fontId="7" fillId="0" borderId="0"/>
    <xf numFmtId="0" fontId="7" fillId="0" borderId="0"/>
    <xf numFmtId="0" fontId="85" fillId="0" borderId="0"/>
    <xf numFmtId="0" fontId="35" fillId="0" borderId="0"/>
    <xf numFmtId="0" fontId="35" fillId="0" borderId="0"/>
    <xf numFmtId="0" fontId="85" fillId="0" borderId="0"/>
    <xf numFmtId="0" fontId="85" fillId="0" borderId="0"/>
    <xf numFmtId="0" fontId="7" fillId="0" borderId="0"/>
    <xf numFmtId="0" fontId="7" fillId="0" borderId="0"/>
    <xf numFmtId="0" fontId="7" fillId="0" borderId="0"/>
    <xf numFmtId="0" fontId="85" fillId="0" borderId="0"/>
    <xf numFmtId="0" fontId="35" fillId="0" borderId="0"/>
    <xf numFmtId="0" fontId="35" fillId="0" borderId="0"/>
    <xf numFmtId="0" fontId="85" fillId="0" borderId="0"/>
    <xf numFmtId="0" fontId="8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5" fillId="0" borderId="0"/>
    <xf numFmtId="0" fontId="35" fillId="0" borderId="0"/>
    <xf numFmtId="0" fontId="7" fillId="0" borderId="0"/>
    <xf numFmtId="0" fontId="85" fillId="0" borderId="0"/>
    <xf numFmtId="0" fontId="7" fillId="0" borderId="0"/>
    <xf numFmtId="0" fontId="8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42" borderId="36" applyNumberFormat="0" applyFont="0" applyAlignment="0" applyProtection="0"/>
    <xf numFmtId="0" fontId="7" fillId="42" borderId="36" applyNumberFormat="0" applyFont="0" applyAlignment="0" applyProtection="0"/>
    <xf numFmtId="0" fontId="7" fillId="42" borderId="36" applyNumberFormat="0" applyFont="0" applyAlignment="0" applyProtection="0"/>
    <xf numFmtId="0" fontId="86" fillId="0" borderId="0" applyNumberFormat="0" applyAlignment="0"/>
    <xf numFmtId="0" fontId="87" fillId="23" borderId="37" applyNumberFormat="0" applyAlignment="0" applyProtection="0"/>
    <xf numFmtId="0" fontId="87" fillId="23" borderId="37" applyNumberFormat="0" applyAlignment="0" applyProtection="0"/>
    <xf numFmtId="40" fontId="88" fillId="43" borderId="0">
      <alignment horizontal="right"/>
    </xf>
    <xf numFmtId="0" fontId="89" fillId="43" borderId="0">
      <alignment horizontal="right"/>
    </xf>
    <xf numFmtId="0" fontId="90" fillId="43" borderId="16"/>
    <xf numFmtId="0" fontId="90" fillId="0" borderId="0" applyBorder="0">
      <alignment horizontal="centerContinuous"/>
    </xf>
    <xf numFmtId="0" fontId="91" fillId="0" borderId="0" applyBorder="0">
      <alignment horizontal="centerContinuous"/>
    </xf>
    <xf numFmtId="208" fontId="7" fillId="0" borderId="0" applyFont="0" applyFill="0" applyBorder="0" applyAlignment="0" applyProtection="0"/>
    <xf numFmtId="192" fontId="50" fillId="0" borderId="0" applyFont="0" applyFill="0" applyBorder="0" applyAlignment="0" applyProtection="0"/>
    <xf numFmtId="192" fontId="50" fillId="0" borderId="0" applyFont="0" applyFill="0" applyBorder="0" applyAlignment="0" applyProtection="0"/>
    <xf numFmtId="192" fontId="50" fillId="0" borderId="0" applyFont="0" applyFill="0" applyBorder="0" applyAlignment="0" applyProtection="0"/>
    <xf numFmtId="192" fontId="50"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83" fillId="0" borderId="38" applyNumberFormat="0" applyBorder="0"/>
    <xf numFmtId="173" fontId="62" fillId="0" borderId="0" applyFont="0" applyFill="0" applyBorder="0" applyAlignment="0" applyProtection="0"/>
    <xf numFmtId="210" fontId="92" fillId="0" borderId="39" applyFont="0" applyFill="0" applyBorder="0" applyAlignment="0" applyProtection="0">
      <alignment horizontal="right"/>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69" fontId="50" fillId="0" borderId="0" applyFill="0" applyBorder="0" applyAlignment="0"/>
    <xf numFmtId="193" fontId="50" fillId="0" borderId="0" applyFill="0" applyBorder="0" applyAlignment="0"/>
    <xf numFmtId="193" fontId="50" fillId="0" borderId="0" applyFill="0" applyBorder="0" applyAlignment="0"/>
    <xf numFmtId="193" fontId="50" fillId="0" borderId="0" applyFill="0" applyBorder="0" applyAlignment="0"/>
    <xf numFmtId="193"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179" fontId="50" fillId="0" borderId="0" applyFill="0" applyBorder="0" applyAlignment="0"/>
    <xf numFmtId="202" fontId="62" fillId="0" borderId="0" applyFill="0" applyBorder="0" applyAlignment="0" applyProtection="0"/>
    <xf numFmtId="0" fontId="83" fillId="0" borderId="0" applyNumberFormat="0" applyFont="0" applyFill="0" applyBorder="0" applyAlignment="0" applyProtection="0">
      <alignment horizontal="left"/>
    </xf>
    <xf numFmtId="15" fontId="83" fillId="0" borderId="0" applyFont="0" applyFill="0" applyBorder="0" applyAlignment="0" applyProtection="0"/>
    <xf numFmtId="4" fontId="83" fillId="0" borderId="0" applyFont="0" applyFill="0" applyBorder="0" applyAlignment="0" applyProtection="0"/>
    <xf numFmtId="0" fontId="93" fillId="0" borderId="34">
      <alignment horizontal="center"/>
    </xf>
    <xf numFmtId="3" fontId="83" fillId="0" borderId="0" applyFont="0" applyFill="0" applyBorder="0" applyAlignment="0" applyProtection="0"/>
    <xf numFmtId="0" fontId="83" fillId="44" borderId="0" applyNumberFormat="0" applyFont="0" applyBorder="0" applyAlignment="0" applyProtection="0"/>
    <xf numFmtId="202" fontId="68" fillId="0" borderId="0" applyFont="0" applyFill="0" applyBorder="0" applyAlignment="0" applyProtection="0"/>
    <xf numFmtId="0" fontId="69" fillId="0" borderId="0" applyNumberFormat="0" applyFill="0" applyBorder="0" applyAlignment="0" applyProtection="0">
      <alignment horizontal="left"/>
    </xf>
    <xf numFmtId="188" fontId="62" fillId="0" borderId="0" applyFill="0" applyBorder="0" applyAlignment="0" applyProtection="0">
      <protection locked="0"/>
    </xf>
    <xf numFmtId="0" fontId="7" fillId="0" borderId="0"/>
    <xf numFmtId="0" fontId="7" fillId="0" borderId="0" applyFont="0" applyFill="0" applyBorder="0" applyAlignment="0" applyProtection="0"/>
    <xf numFmtId="0" fontId="7" fillId="0" borderId="0" applyFont="0" applyFill="0" applyBorder="0" applyAlignment="0" applyProtection="0"/>
    <xf numFmtId="0" fontId="94" fillId="0" borderId="0"/>
    <xf numFmtId="0" fontId="7" fillId="0" borderId="0" applyFont="0" applyFill="0" applyBorder="0" applyAlignment="0" applyProtection="0"/>
    <xf numFmtId="40" fontId="69" fillId="0" borderId="0" applyBorder="0">
      <alignment horizontal="right"/>
    </xf>
    <xf numFmtId="49" fontId="67" fillId="0" borderId="0" applyFill="0" applyBorder="0" applyAlignment="0"/>
    <xf numFmtId="211" fontId="50" fillId="0" borderId="0" applyFill="0" applyBorder="0" applyAlignment="0"/>
    <xf numFmtId="211" fontId="50" fillId="0" borderId="0" applyFill="0" applyBorder="0" applyAlignment="0"/>
    <xf numFmtId="211" fontId="50" fillId="0" borderId="0" applyFill="0" applyBorder="0" applyAlignment="0"/>
    <xf numFmtId="211" fontId="50" fillId="0" borderId="0" applyFill="0" applyBorder="0" applyAlignment="0"/>
    <xf numFmtId="189" fontId="7" fillId="0" borderId="0" applyFill="0" applyBorder="0" applyAlignment="0"/>
    <xf numFmtId="189" fontId="7" fillId="0" borderId="0" applyFill="0" applyBorder="0" applyAlignment="0"/>
    <xf numFmtId="212" fontId="50" fillId="0" borderId="0" applyFill="0" applyBorder="0" applyAlignment="0"/>
    <xf numFmtId="212" fontId="50"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189" fontId="7" fillId="0" borderId="0" applyFill="0" applyBorder="0" applyAlignment="0"/>
    <xf numFmtId="0" fontId="95" fillId="0" borderId="0" applyFill="0" applyBorder="0" applyProtection="0">
      <alignment horizontal="left" vertical="top"/>
    </xf>
    <xf numFmtId="0" fontId="96" fillId="0" borderId="0" applyNumberFormat="0" applyFill="0" applyBorder="0" applyAlignment="0" applyProtection="0"/>
    <xf numFmtId="0" fontId="96" fillId="0" borderId="0" applyNumberFormat="0" applyFill="0" applyBorder="0" applyAlignment="0" applyProtection="0"/>
    <xf numFmtId="38" fontId="97" fillId="0" borderId="0" applyFill="0" applyBorder="0" applyAlignment="0" applyProtection="0">
      <alignment horizontal="left"/>
    </xf>
    <xf numFmtId="0" fontId="98" fillId="0" borderId="40" applyNumberFormat="0" applyFill="0" applyAlignment="0" applyProtection="0"/>
    <xf numFmtId="0" fontId="98" fillId="0" borderId="40" applyNumberFormat="0" applyFill="0" applyAlignment="0" applyProtection="0"/>
    <xf numFmtId="0" fontId="99" fillId="45" borderId="15" applyNumberFormat="0" applyFont="0" applyBorder="0" applyAlignment="0">
      <alignment horizontal="right"/>
    </xf>
    <xf numFmtId="0" fontId="100" fillId="0" borderId="0" applyNumberFormat="0" applyFill="0" applyBorder="0" applyAlignment="0" applyProtection="0"/>
    <xf numFmtId="0" fontId="100" fillId="0" borderId="0" applyNumberFormat="0" applyFill="0" applyBorder="0" applyAlignment="0" applyProtection="0"/>
    <xf numFmtId="213" fontId="51" fillId="0" borderId="0"/>
    <xf numFmtId="213" fontId="51" fillId="0" borderId="0"/>
    <xf numFmtId="213" fontId="51" fillId="0" borderId="0"/>
    <xf numFmtId="213" fontId="51" fillId="0" borderId="0"/>
    <xf numFmtId="213" fontId="51" fillId="0" borderId="0"/>
    <xf numFmtId="213" fontId="51" fillId="0" borderId="0"/>
    <xf numFmtId="213" fontId="51" fillId="0" borderId="0"/>
    <xf numFmtId="213" fontId="51" fillId="0" borderId="0"/>
    <xf numFmtId="214" fontId="83" fillId="0" borderId="0" applyFont="0" applyFill="0" applyBorder="0" applyAlignment="0" applyProtection="0">
      <alignment vertical="top"/>
    </xf>
    <xf numFmtId="0" fontId="7" fillId="0" borderId="0"/>
    <xf numFmtId="171" fontId="7" fillId="0" borderId="0" applyFont="0" applyFill="0" applyBorder="0" applyAlignment="0" applyProtection="0"/>
    <xf numFmtId="171" fontId="7" fillId="0" borderId="0" applyFont="0" applyFill="0" applyBorder="0" applyAlignment="0" applyProtection="0"/>
    <xf numFmtId="38" fontId="101" fillId="0" borderId="0" applyFont="0" applyFill="0" applyBorder="0" applyAlignment="0" applyProtection="0">
      <alignment vertical="center"/>
    </xf>
    <xf numFmtId="0" fontId="101" fillId="0" borderId="0">
      <alignment vertical="center"/>
    </xf>
    <xf numFmtId="40" fontId="83" fillId="0" borderId="0" applyFont="0" applyFill="0" applyBorder="0" applyAlignment="0" applyProtection="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5" fillId="0" borderId="0"/>
    <xf numFmtId="171" fontId="7" fillId="0" borderId="0" applyFont="0" applyFill="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xf numFmtId="0" fontId="127" fillId="0" borderId="0"/>
    <xf numFmtId="195" fontId="7" fillId="0" borderId="0" applyFont="0" applyFill="0" applyBorder="0" applyAlignment="0" applyProtection="0"/>
    <xf numFmtId="0" fontId="7" fillId="39" borderId="0"/>
    <xf numFmtId="0" fontId="7" fillId="39" borderId="0"/>
    <xf numFmtId="0" fontId="137" fillId="51" borderId="0"/>
    <xf numFmtId="0" fontId="138" fillId="52" borderId="0"/>
    <xf numFmtId="0" fontId="139" fillId="53" borderId="0"/>
    <xf numFmtId="0" fontId="140" fillId="0" borderId="0"/>
    <xf numFmtId="0" fontId="106" fillId="0" borderId="0"/>
    <xf numFmtId="0" fontId="72" fillId="0" borderId="0"/>
    <xf numFmtId="4" fontId="7" fillId="41" borderId="0"/>
    <xf numFmtId="4" fontId="7" fillId="41" borderId="0"/>
    <xf numFmtId="0" fontId="107" fillId="40" borderId="0"/>
    <xf numFmtId="0" fontId="7" fillId="39" borderId="0"/>
    <xf numFmtId="0" fontId="7" fillId="39" borderId="0"/>
    <xf numFmtId="0" fontId="137" fillId="51" borderId="0"/>
    <xf numFmtId="0" fontId="138" fillId="52" borderId="0"/>
    <xf numFmtId="0" fontId="139" fillId="53" borderId="0"/>
    <xf numFmtId="0" fontId="140" fillId="0" borderId="0"/>
    <xf numFmtId="0" fontId="106" fillId="0" borderId="0"/>
    <xf numFmtId="0" fontId="72" fillId="0" borderId="0"/>
    <xf numFmtId="0" fontId="7" fillId="0" borderId="0"/>
    <xf numFmtId="0" fontId="7" fillId="0" borderId="0"/>
    <xf numFmtId="0" fontId="141" fillId="0" borderId="0" applyNumberFormat="0" applyFill="0" applyBorder="0" applyAlignment="0" applyProtection="0"/>
    <xf numFmtId="195" fontId="7" fillId="0" borderId="0" applyFont="0" applyFill="0" applyBorder="0" applyAlignment="0" applyProtection="0"/>
    <xf numFmtId="0" fontId="7" fillId="42" borderId="36" applyNumberFormat="0" applyFont="0" applyAlignment="0" applyProtection="0"/>
    <xf numFmtId="0" fontId="7" fillId="42" borderId="36" applyNumberFormat="0" applyFont="0" applyAlignment="0" applyProtection="0"/>
    <xf numFmtId="234" fontId="7" fillId="0" borderId="0" applyFont="0" applyFill="0" applyBorder="0" applyAlignment="0" applyProtection="0"/>
    <xf numFmtId="235" fontId="7" fillId="0" borderId="0" applyFont="0" applyFill="0" applyBorder="0" applyAlignment="0" applyProtection="0"/>
    <xf numFmtId="38" fontId="142" fillId="0" borderId="0"/>
    <xf numFmtId="0" fontId="142" fillId="0" borderId="0"/>
    <xf numFmtId="38" fontId="143" fillId="0" borderId="0"/>
    <xf numFmtId="0" fontId="143" fillId="0" borderId="0"/>
    <xf numFmtId="38" fontId="144" fillId="0" borderId="0"/>
    <xf numFmtId="0" fontId="144" fillId="0" borderId="0"/>
    <xf numFmtId="38" fontId="145" fillId="0" borderId="0"/>
    <xf numFmtId="0" fontId="145" fillId="0" borderId="0"/>
    <xf numFmtId="0" fontId="146" fillId="0" borderId="0"/>
    <xf numFmtId="0" fontId="146" fillId="0" borderId="0"/>
    <xf numFmtId="236" fontId="7" fillId="0" borderId="0" applyFont="0" applyFill="0" applyBorder="0" applyAlignment="0" applyProtection="0"/>
    <xf numFmtId="0" fontId="14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148" fillId="54" borderId="41" applyNumberFormat="0" applyProtection="0">
      <alignment vertical="center"/>
    </xf>
    <xf numFmtId="4" fontId="149" fillId="55" borderId="41" applyNumberFormat="0" applyProtection="0">
      <alignment horizontal="left" vertical="center" indent="1"/>
    </xf>
    <xf numFmtId="4" fontId="150" fillId="56" borderId="41" applyNumberFormat="0" applyProtection="0">
      <alignment horizontal="left" vertical="center" indent="1"/>
    </xf>
    <xf numFmtId="4" fontId="151" fillId="57" borderId="41" applyNumberFormat="0" applyProtection="0">
      <alignment horizontal="left" vertical="center" indent="1"/>
    </xf>
    <xf numFmtId="4" fontId="151" fillId="23" borderId="41" applyNumberFormat="0" applyProtection="0">
      <alignment horizontal="left" vertical="center" indent="1"/>
    </xf>
    <xf numFmtId="4" fontId="152" fillId="0" borderId="0" applyNumberFormat="0" applyProtection="0">
      <alignment horizontal="left" vertical="center" indent="1"/>
    </xf>
    <xf numFmtId="4" fontId="150" fillId="56" borderId="41" applyNumberFormat="0" applyProtection="0">
      <alignment horizontal="left" vertical="center" indent="1"/>
    </xf>
    <xf numFmtId="4" fontId="153" fillId="43" borderId="41" applyNumberFormat="0" applyProtection="0">
      <alignment vertical="center"/>
    </xf>
    <xf numFmtId="4" fontId="148" fillId="21" borderId="42" applyNumberFormat="0" applyProtection="0">
      <alignment horizontal="left" vertical="center" indent="1"/>
    </xf>
    <xf numFmtId="4" fontId="154" fillId="34" borderId="41" applyNumberFormat="0" applyProtection="0">
      <alignment horizontal="left" indent="1"/>
    </xf>
    <xf numFmtId="237" fontId="7" fillId="0" borderId="0" applyFont="0" applyFill="0" applyBorder="0" applyAlignment="0" applyProtection="0"/>
    <xf numFmtId="238" fontId="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83">
    <xf numFmtId="0" fontId="0" fillId="0" borderId="0" xfId="0"/>
    <xf numFmtId="0" fontId="8" fillId="2" borderId="0" xfId="2" applyFont="1" applyFill="1"/>
    <xf numFmtId="0" fontId="9" fillId="0" borderId="0" xfId="0" applyFont="1" applyBorder="1"/>
    <xf numFmtId="0" fontId="10" fillId="0" borderId="2" xfId="0" applyFont="1" applyBorder="1" applyAlignment="1">
      <alignment vertical="center"/>
    </xf>
    <xf numFmtId="0" fontId="9" fillId="0" borderId="2" xfId="0" applyFont="1" applyBorder="1" applyAlignment="1">
      <alignment vertical="center"/>
    </xf>
    <xf numFmtId="0" fontId="11" fillId="0" borderId="0" xfId="0" applyFont="1"/>
    <xf numFmtId="0" fontId="9" fillId="0" borderId="0" xfId="0" applyFont="1"/>
    <xf numFmtId="0" fontId="12" fillId="0" borderId="0" xfId="0" applyFont="1"/>
    <xf numFmtId="165" fontId="12" fillId="0" borderId="0" xfId="0" applyNumberFormat="1" applyFont="1" applyBorder="1" applyAlignment="1">
      <alignment horizontal="center" vertical="center"/>
    </xf>
    <xf numFmtId="166" fontId="12" fillId="0" borderId="4" xfId="1" applyNumberFormat="1" applyFont="1" applyBorder="1" applyAlignment="1">
      <alignment horizontal="center" vertical="center"/>
    </xf>
    <xf numFmtId="0" fontId="9" fillId="0" borderId="0" xfId="0" applyFont="1" applyAlignment="1">
      <alignment vertical="center"/>
    </xf>
    <xf numFmtId="0" fontId="14" fillId="3" borderId="5" xfId="0" applyFont="1"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15" fillId="0" borderId="0" xfId="0" applyFont="1" applyAlignment="1">
      <alignment vertical="center"/>
    </xf>
    <xf numFmtId="168" fontId="17" fillId="0" borderId="0" xfId="0" applyNumberFormat="1" applyFont="1" applyAlignment="1">
      <alignment vertical="center"/>
    </xf>
    <xf numFmtId="167" fontId="9" fillId="0" borderId="0" xfId="0" applyNumberFormat="1" applyFont="1" applyAlignment="1">
      <alignment vertical="center"/>
    </xf>
    <xf numFmtId="0" fontId="19" fillId="0" borderId="0" xfId="0" applyFont="1" applyBorder="1"/>
    <xf numFmtId="0" fontId="21" fillId="2" borderId="0" xfId="2" applyFont="1" applyFill="1"/>
    <xf numFmtId="164" fontId="12" fillId="0" borderId="3" xfId="0" applyNumberFormat="1" applyFont="1" applyBorder="1" applyAlignment="1">
      <alignment horizontal="center" vertical="center"/>
    </xf>
    <xf numFmtId="0" fontId="12" fillId="0" borderId="3" xfId="0" applyFont="1" applyBorder="1"/>
    <xf numFmtId="0" fontId="12" fillId="0" borderId="4" xfId="1" applyNumberFormat="1" applyFont="1" applyBorder="1" applyAlignment="1">
      <alignment horizontal="center" vertical="center"/>
    </xf>
    <xf numFmtId="0" fontId="25" fillId="0" borderId="0" xfId="0" applyFont="1" applyAlignment="1">
      <alignment vertical="center"/>
    </xf>
    <xf numFmtId="10" fontId="27" fillId="0" borderId="0" xfId="0" applyNumberFormat="1" applyFont="1" applyAlignment="1">
      <alignment horizontal="right" vertical="top" wrapText="1"/>
    </xf>
    <xf numFmtId="10" fontId="28" fillId="0" borderId="0" xfId="0" applyNumberFormat="1" applyFont="1" applyAlignment="1">
      <alignment horizontal="right" vertical="top" wrapText="1"/>
    </xf>
    <xf numFmtId="10" fontId="0" fillId="0" borderId="0" xfId="0" applyNumberFormat="1"/>
    <xf numFmtId="0" fontId="13" fillId="0" borderId="0" xfId="0" applyFont="1" applyAlignment="1">
      <alignment vertical="center"/>
    </xf>
    <xf numFmtId="0" fontId="0" fillId="0" borderId="13" xfId="0" applyBorder="1"/>
    <xf numFmtId="0" fontId="0" fillId="0" borderId="9" xfId="0" applyBorder="1"/>
    <xf numFmtId="10" fontId="26" fillId="0" borderId="14" xfId="0" applyNumberFormat="1" applyFont="1" applyBorder="1" applyAlignment="1">
      <alignment horizontal="right" vertical="top" wrapText="1"/>
    </xf>
    <xf numFmtId="0" fontId="0" fillId="0" borderId="15" xfId="0" applyBorder="1"/>
    <xf numFmtId="0" fontId="0" fillId="0" borderId="0" xfId="0" applyBorder="1"/>
    <xf numFmtId="10" fontId="26" fillId="0" borderId="16" xfId="0" applyNumberFormat="1" applyFont="1" applyBorder="1" applyAlignment="1">
      <alignment horizontal="right" vertical="top" wrapText="1"/>
    </xf>
    <xf numFmtId="0" fontId="0" fillId="0" borderId="17" xfId="0" applyBorder="1"/>
    <xf numFmtId="0" fontId="0" fillId="0" borderId="18" xfId="0" applyBorder="1"/>
    <xf numFmtId="0" fontId="0" fillId="0" borderId="19" xfId="0" applyBorder="1"/>
    <xf numFmtId="10" fontId="31" fillId="0" borderId="0" xfId="0" applyNumberFormat="1" applyFont="1" applyAlignment="1">
      <alignment vertical="center"/>
    </xf>
    <xf numFmtId="167" fontId="31" fillId="0" borderId="0" xfId="0" applyNumberFormat="1" applyFont="1" applyAlignment="1">
      <alignment vertical="center"/>
    </xf>
    <xf numFmtId="0" fontId="32" fillId="0" borderId="0" xfId="0" applyFont="1" applyAlignment="1">
      <alignment vertical="center"/>
    </xf>
    <xf numFmtId="10" fontId="32" fillId="0" borderId="0" xfId="0" applyNumberFormat="1" applyFont="1" applyAlignment="1">
      <alignment vertical="center"/>
    </xf>
    <xf numFmtId="10" fontId="16" fillId="0" borderId="0" xfId="0" applyNumberFormat="1" applyFont="1" applyAlignment="1">
      <alignment vertical="center"/>
    </xf>
    <xf numFmtId="0" fontId="33" fillId="0" borderId="0" xfId="0" applyFont="1" applyAlignment="1">
      <alignment vertical="center"/>
    </xf>
    <xf numFmtId="167" fontId="34" fillId="0" borderId="0" xfId="0" applyNumberFormat="1" applyFont="1" applyAlignment="1">
      <alignment vertical="center"/>
    </xf>
    <xf numFmtId="167" fontId="31" fillId="0" borderId="0" xfId="0" applyNumberFormat="1" applyFont="1" applyAlignment="1">
      <alignment horizontal="right" vertical="center"/>
    </xf>
    <xf numFmtId="0" fontId="0" fillId="0" borderId="16" xfId="0" applyBorder="1"/>
    <xf numFmtId="0" fontId="38" fillId="0" borderId="0" xfId="0" applyFont="1"/>
    <xf numFmtId="0" fontId="33" fillId="0" borderId="0" xfId="0" applyFont="1"/>
    <xf numFmtId="0" fontId="33" fillId="0" borderId="0" xfId="0" applyFont="1" applyAlignment="1"/>
    <xf numFmtId="0" fontId="5" fillId="0" borderId="0" xfId="0" applyFont="1"/>
    <xf numFmtId="0" fontId="33" fillId="6" borderId="0" xfId="0" applyFont="1" applyFill="1" applyBorder="1" applyAlignment="1">
      <alignment vertical="center"/>
    </xf>
    <xf numFmtId="0" fontId="9" fillId="6" borderId="0" xfId="0" applyFont="1" applyFill="1" applyBorder="1" applyAlignment="1">
      <alignment vertical="center"/>
    </xf>
    <xf numFmtId="0" fontId="20" fillId="0" borderId="9" xfId="3" applyBorder="1"/>
    <xf numFmtId="0" fontId="20" fillId="0" borderId="0" xfId="3" applyBorder="1"/>
    <xf numFmtId="170" fontId="26" fillId="0" borderId="14" xfId="0" applyNumberFormat="1" applyFont="1" applyBorder="1" applyAlignment="1">
      <alignment horizontal="right" vertical="top" wrapText="1"/>
    </xf>
    <xf numFmtId="170" fontId="26" fillId="0" borderId="16" xfId="0" applyNumberFormat="1" applyFont="1" applyBorder="1" applyAlignment="1">
      <alignment horizontal="right" vertical="top" wrapText="1"/>
    </xf>
    <xf numFmtId="170" fontId="26" fillId="0" borderId="19" xfId="0" applyNumberFormat="1" applyFont="1" applyBorder="1" applyAlignment="1">
      <alignment horizontal="right" vertical="top" wrapText="1"/>
    </xf>
    <xf numFmtId="10" fontId="40" fillId="5" borderId="12" xfId="0" applyNumberFormat="1" applyFont="1" applyFill="1" applyBorder="1" applyAlignment="1">
      <alignment vertical="center"/>
    </xf>
    <xf numFmtId="0" fontId="29" fillId="2" borderId="15" xfId="3" applyFont="1" applyFill="1" applyBorder="1"/>
    <xf numFmtId="0" fontId="5" fillId="2" borderId="0" xfId="4" applyFont="1" applyFill="1" applyBorder="1" applyAlignment="1"/>
    <xf numFmtId="0" fontId="5" fillId="2" borderId="15" xfId="4" applyFont="1" applyFill="1" applyBorder="1" applyAlignment="1"/>
    <xf numFmtId="0" fontId="39" fillId="2" borderId="0" xfId="4" applyFont="1" applyFill="1" applyBorder="1" applyAlignment="1"/>
    <xf numFmtId="170" fontId="5" fillId="0" borderId="16" xfId="0" applyNumberFormat="1" applyFont="1" applyBorder="1" applyAlignment="1">
      <alignment horizontal="right" vertical="top" wrapText="1"/>
    </xf>
    <xf numFmtId="0" fontId="29" fillId="0" borderId="15" xfId="3" applyFont="1" applyBorder="1"/>
    <xf numFmtId="0" fontId="33" fillId="5" borderId="21" xfId="0" applyFont="1" applyFill="1" applyBorder="1" applyAlignment="1">
      <alignment vertical="center"/>
    </xf>
    <xf numFmtId="0" fontId="9" fillId="5" borderId="22" xfId="0" applyFont="1" applyFill="1" applyBorder="1" applyAlignment="1">
      <alignment vertical="center"/>
    </xf>
    <xf numFmtId="0" fontId="9" fillId="5" borderId="20" xfId="0" applyFont="1" applyFill="1" applyBorder="1" applyAlignment="1">
      <alignment vertical="center"/>
    </xf>
    <xf numFmtId="0" fontId="33" fillId="7" borderId="21" xfId="0" applyFont="1" applyFill="1" applyBorder="1" applyAlignment="1">
      <alignment vertical="center"/>
    </xf>
    <xf numFmtId="0" fontId="9" fillId="7" borderId="22" xfId="0" applyFont="1" applyFill="1" applyBorder="1" applyAlignment="1">
      <alignment vertical="center"/>
    </xf>
    <xf numFmtId="0" fontId="9" fillId="7" borderId="20" xfId="0" applyFont="1" applyFill="1" applyBorder="1" applyAlignment="1">
      <alignment vertical="center"/>
    </xf>
    <xf numFmtId="10" fontId="40" fillId="7" borderId="12" xfId="0" applyNumberFormat="1" applyFont="1" applyFill="1" applyBorder="1" applyAlignment="1">
      <alignment vertical="center"/>
    </xf>
    <xf numFmtId="10" fontId="39" fillId="0" borderId="16" xfId="0" applyNumberFormat="1" applyFont="1" applyBorder="1"/>
    <xf numFmtId="0" fontId="41" fillId="0" borderId="16" xfId="0" applyFont="1" applyBorder="1"/>
    <xf numFmtId="10" fontId="39" fillId="0" borderId="19" xfId="0" applyNumberFormat="1" applyFont="1" applyBorder="1"/>
    <xf numFmtId="0" fontId="42" fillId="0" borderId="0" xfId="0" applyFont="1" applyAlignment="1">
      <alignment horizontal="center"/>
    </xf>
    <xf numFmtId="0" fontId="42" fillId="0" borderId="12" xfId="0" applyFont="1" applyBorder="1" applyAlignment="1">
      <alignment horizontal="center"/>
    </xf>
    <xf numFmtId="0" fontId="42" fillId="0" borderId="20" xfId="0" applyFont="1" applyBorder="1" applyAlignment="1">
      <alignment horizontal="center"/>
    </xf>
    <xf numFmtId="0" fontId="33" fillId="0" borderId="12" xfId="0" applyFont="1" applyBorder="1"/>
    <xf numFmtId="0" fontId="33" fillId="0" borderId="23" xfId="0" applyFont="1" applyBorder="1"/>
    <xf numFmtId="10" fontId="33" fillId="8" borderId="12" xfId="0" applyNumberFormat="1" applyFont="1" applyFill="1" applyBorder="1"/>
    <xf numFmtId="0" fontId="33" fillId="0" borderId="0" xfId="0" applyFont="1" applyBorder="1"/>
    <xf numFmtId="10" fontId="33" fillId="10" borderId="0" xfId="0" applyNumberFormat="1" applyFont="1" applyFill="1" applyBorder="1"/>
    <xf numFmtId="10" fontId="33" fillId="2" borderId="0" xfId="34" applyNumberFormat="1" applyFont="1" applyFill="1" applyBorder="1"/>
    <xf numFmtId="39" fontId="0" fillId="0" borderId="0" xfId="0" applyNumberFormat="1" applyAlignment="1">
      <alignment horizontal="left"/>
    </xf>
    <xf numFmtId="172" fontId="34" fillId="0" borderId="0" xfId="0" applyNumberFormat="1" applyFont="1" applyAlignment="1">
      <alignment vertical="center"/>
    </xf>
    <xf numFmtId="0" fontId="20" fillId="0" borderId="0" xfId="3" applyAlignment="1"/>
    <xf numFmtId="10" fontId="33" fillId="9" borderId="12" xfId="34" applyNumberFormat="1" applyFont="1" applyFill="1" applyBorder="1"/>
    <xf numFmtId="10" fontId="40" fillId="9" borderId="24" xfId="34" applyNumberFormat="1" applyFont="1" applyFill="1" applyBorder="1"/>
    <xf numFmtId="173" fontId="43" fillId="0" borderId="0" xfId="0" applyNumberFormat="1" applyFont="1" applyAlignment="1">
      <alignment vertical="center"/>
    </xf>
    <xf numFmtId="173" fontId="43" fillId="0" borderId="0" xfId="0" applyNumberFormat="1" applyFont="1" applyFill="1" applyBorder="1" applyAlignment="1">
      <alignment vertical="center"/>
    </xf>
    <xf numFmtId="0" fontId="9" fillId="0" borderId="25" xfId="0" applyFont="1" applyFill="1" applyBorder="1"/>
    <xf numFmtId="0" fontId="14" fillId="11" borderId="5" xfId="0" applyFont="1" applyFill="1" applyBorder="1" applyAlignment="1">
      <alignment vertical="center"/>
    </xf>
    <xf numFmtId="0" fontId="9" fillId="11" borderId="6" xfId="0" applyFont="1" applyFill="1" applyBorder="1" applyAlignment="1">
      <alignment vertical="center"/>
    </xf>
    <xf numFmtId="0" fontId="9" fillId="11" borderId="7" xfId="0" applyFont="1" applyFill="1" applyBorder="1" applyAlignment="1">
      <alignment vertical="center"/>
    </xf>
    <xf numFmtId="0" fontId="14" fillId="11" borderId="8" xfId="0" applyFont="1" applyFill="1" applyBorder="1" applyAlignment="1">
      <alignment vertical="center"/>
    </xf>
    <xf numFmtId="0" fontId="9" fillId="11" borderId="8" xfId="0" applyFont="1" applyFill="1" applyBorder="1" applyAlignment="1">
      <alignment vertical="center"/>
    </xf>
    <xf numFmtId="167" fontId="18" fillId="11" borderId="9" xfId="0" applyNumberFormat="1" applyFont="1" applyFill="1" applyBorder="1" applyAlignment="1">
      <alignment vertical="center"/>
    </xf>
    <xf numFmtId="167" fontId="14" fillId="11" borderId="9" xfId="0" applyNumberFormat="1" applyFont="1" applyFill="1" applyBorder="1" applyAlignment="1">
      <alignment vertical="center"/>
    </xf>
    <xf numFmtId="0" fontId="14" fillId="11" borderId="0" xfId="0" applyFont="1" applyFill="1" applyBorder="1" applyAlignment="1">
      <alignment vertical="center"/>
    </xf>
    <xf numFmtId="0" fontId="9" fillId="11" borderId="0" xfId="0" applyFont="1" applyFill="1" applyBorder="1" applyAlignment="1">
      <alignment vertical="center"/>
    </xf>
    <xf numFmtId="167" fontId="18" fillId="11" borderId="0" xfId="0" applyNumberFormat="1" applyFont="1" applyFill="1" applyBorder="1" applyAlignment="1">
      <alignment vertical="center"/>
    </xf>
    <xf numFmtId="167" fontId="14" fillId="11" borderId="0" xfId="0" applyNumberFormat="1" applyFont="1" applyFill="1" applyBorder="1" applyAlignment="1">
      <alignment vertical="center"/>
    </xf>
    <xf numFmtId="10" fontId="14" fillId="11" borderId="0" xfId="0" applyNumberFormat="1" applyFont="1" applyFill="1" applyBorder="1" applyAlignment="1">
      <alignment vertical="center"/>
    </xf>
    <xf numFmtId="0" fontId="40" fillId="0" borderId="0" xfId="0" applyFont="1" applyAlignment="1">
      <alignment vertical="center"/>
    </xf>
    <xf numFmtId="0" fontId="5" fillId="0" borderId="0" xfId="0" applyFont="1" applyAlignment="1">
      <alignment vertical="center"/>
    </xf>
    <xf numFmtId="0" fontId="36" fillId="0" borderId="0" xfId="0" applyFont="1" applyAlignment="1">
      <alignment vertical="center"/>
    </xf>
    <xf numFmtId="0" fontId="45" fillId="0" borderId="0" xfId="0" applyFont="1" applyAlignment="1">
      <alignment vertical="center"/>
    </xf>
    <xf numFmtId="0" fontId="5" fillId="12" borderId="0" xfId="0" applyFont="1" applyFill="1"/>
    <xf numFmtId="0" fontId="36" fillId="12" borderId="0" xfId="0" applyFont="1" applyFill="1" applyAlignment="1">
      <alignment vertical="center"/>
    </xf>
    <xf numFmtId="0" fontId="36" fillId="12" borderId="0" xfId="0" applyFont="1" applyFill="1" applyBorder="1" applyAlignment="1">
      <alignment horizontal="centerContinuous" vertical="center"/>
    </xf>
    <xf numFmtId="0" fontId="5" fillId="12" borderId="0" xfId="0" applyFont="1" applyFill="1" applyBorder="1" applyAlignment="1">
      <alignment horizontal="centerContinuous" vertical="center"/>
    </xf>
    <xf numFmtId="0" fontId="5" fillId="13" borderId="0" xfId="0" applyFont="1" applyFill="1"/>
    <xf numFmtId="168" fontId="46" fillId="13" borderId="0" xfId="0" applyNumberFormat="1" applyFont="1" applyFill="1" applyAlignment="1">
      <alignment vertical="center"/>
    </xf>
    <xf numFmtId="175" fontId="5" fillId="14" borderId="0" xfId="0" applyNumberFormat="1" applyFont="1" applyFill="1" applyBorder="1"/>
    <xf numFmtId="168" fontId="5" fillId="14" borderId="0" xfId="0" applyNumberFormat="1" applyFont="1" applyFill="1" applyAlignment="1">
      <alignment vertical="center"/>
    </xf>
    <xf numFmtId="176" fontId="46" fillId="13" borderId="0" xfId="0" applyNumberFormat="1" applyFont="1" applyFill="1" applyAlignment="1">
      <alignment vertical="center"/>
    </xf>
    <xf numFmtId="174" fontId="44" fillId="13" borderId="0" xfId="0" applyNumberFormat="1" applyFont="1" applyFill="1" applyAlignment="1">
      <alignment horizontal="right" vertical="center"/>
    </xf>
    <xf numFmtId="174" fontId="46" fillId="13" borderId="0" xfId="0" applyNumberFormat="1" applyFont="1" applyFill="1" applyAlignment="1">
      <alignment horizontal="right" vertical="center"/>
    </xf>
    <xf numFmtId="176" fontId="44" fillId="13" borderId="0" xfId="0" applyNumberFormat="1" applyFont="1" applyFill="1" applyAlignment="1">
      <alignment vertical="center"/>
    </xf>
    <xf numFmtId="174" fontId="5" fillId="14" borderId="0" xfId="0" applyNumberFormat="1" applyFont="1" applyFill="1" applyAlignment="1">
      <alignment horizontal="right" vertical="center"/>
    </xf>
    <xf numFmtId="174" fontId="5" fillId="2" borderId="0" xfId="0" applyNumberFormat="1" applyFont="1" applyFill="1" applyAlignment="1">
      <alignment horizontal="right" vertical="center"/>
    </xf>
    <xf numFmtId="168" fontId="5" fillId="2" borderId="0" xfId="0" applyNumberFormat="1" applyFont="1" applyFill="1" applyAlignment="1">
      <alignment vertical="center"/>
    </xf>
    <xf numFmtId="9" fontId="5" fillId="14" borderId="0" xfId="0" applyNumberFormat="1" applyFont="1" applyFill="1" applyAlignment="1">
      <alignment vertical="center"/>
    </xf>
    <xf numFmtId="0" fontId="45" fillId="15" borderId="0" xfId="0" applyFont="1" applyFill="1"/>
    <xf numFmtId="0" fontId="45" fillId="16" borderId="0" xfId="0" applyFont="1" applyFill="1"/>
    <xf numFmtId="168" fontId="47" fillId="16" borderId="0" xfId="0" applyNumberFormat="1" applyFont="1" applyFill="1" applyAlignment="1">
      <alignment vertical="center"/>
    </xf>
    <xf numFmtId="0" fontId="7" fillId="0" borderId="0" xfId="4" applyFont="1">
      <alignment vertical="top"/>
    </xf>
    <xf numFmtId="0" fontId="20" fillId="0" borderId="0" xfId="3"/>
    <xf numFmtId="0" fontId="34" fillId="0" borderId="0" xfId="0" applyFont="1" applyAlignment="1">
      <alignment vertical="center"/>
    </xf>
    <xf numFmtId="10" fontId="28" fillId="0" borderId="12" xfId="0" applyNumberFormat="1" applyFont="1" applyBorder="1" applyAlignment="1">
      <alignment horizontal="right" vertical="top" wrapText="1"/>
    </xf>
    <xf numFmtId="10" fontId="37" fillId="2" borderId="12" xfId="2" applyNumberFormat="1" applyFont="1" applyFill="1" applyBorder="1"/>
    <xf numFmtId="10" fontId="32" fillId="0" borderId="0" xfId="0" applyNumberFormat="1" applyFont="1" applyBorder="1" applyAlignment="1">
      <alignment vertical="center"/>
    </xf>
    <xf numFmtId="10" fontId="41" fillId="0" borderId="19" xfId="0" applyNumberFormat="1" applyFont="1" applyBorder="1"/>
    <xf numFmtId="0" fontId="4" fillId="0" borderId="0" xfId="0" applyFont="1"/>
    <xf numFmtId="43" fontId="0" fillId="0" borderId="12" xfId="0" applyNumberFormat="1" applyBorder="1"/>
    <xf numFmtId="0" fontId="102" fillId="12" borderId="0" xfId="0" applyFont="1" applyFill="1" applyAlignment="1">
      <alignment vertical="center"/>
    </xf>
    <xf numFmtId="0" fontId="102" fillId="12" borderId="0" xfId="0" applyFont="1" applyFill="1" applyBorder="1" applyAlignment="1">
      <alignment horizontal="centerContinuous" vertical="center"/>
    </xf>
    <xf numFmtId="10" fontId="103" fillId="0" borderId="0" xfId="0" applyNumberFormat="1" applyFont="1" applyAlignment="1">
      <alignment vertical="center"/>
    </xf>
    <xf numFmtId="14" fontId="0" fillId="0" borderId="0" xfId="0" applyNumberFormat="1"/>
    <xf numFmtId="0" fontId="104" fillId="0" borderId="0" xfId="0" applyFont="1" applyAlignment="1">
      <alignment vertical="center"/>
    </xf>
    <xf numFmtId="215" fontId="24" fillId="0" borderId="0" xfId="0" applyNumberFormat="1" applyFont="1" applyAlignment="1">
      <alignment horizontal="right" vertical="center"/>
    </xf>
    <xf numFmtId="215" fontId="34" fillId="0" borderId="0" xfId="0" applyNumberFormat="1" applyFont="1" applyAlignment="1">
      <alignment vertical="center"/>
    </xf>
    <xf numFmtId="0" fontId="7" fillId="43" borderId="0" xfId="2" applyFont="1" applyFill="1"/>
    <xf numFmtId="10" fontId="37" fillId="2" borderId="0" xfId="2" applyNumberFormat="1" applyFont="1" applyFill="1" applyBorder="1"/>
    <xf numFmtId="215" fontId="8" fillId="2" borderId="0" xfId="2" applyNumberFormat="1" applyFont="1" applyFill="1"/>
    <xf numFmtId="0" fontId="108" fillId="0" borderId="0" xfId="0" applyFont="1"/>
    <xf numFmtId="0" fontId="0" fillId="0" borderId="0" xfId="0" applyAlignment="1">
      <alignment vertical="center"/>
    </xf>
    <xf numFmtId="0" fontId="4" fillId="0" borderId="0" xfId="0" applyFont="1" applyAlignment="1">
      <alignment vertical="center"/>
    </xf>
    <xf numFmtId="2" fontId="4" fillId="2" borderId="12" xfId="0" applyNumberFormat="1" applyFont="1" applyFill="1" applyBorder="1" applyAlignment="1">
      <alignment vertical="center"/>
    </xf>
    <xf numFmtId="10" fontId="4" fillId="2" borderId="12" xfId="0" applyNumberFormat="1" applyFont="1" applyFill="1" applyBorder="1" applyAlignment="1">
      <alignment vertical="center"/>
    </xf>
    <xf numFmtId="0" fontId="36" fillId="0" borderId="12" xfId="0" applyFont="1" applyBorder="1" applyAlignment="1">
      <alignment vertical="center"/>
    </xf>
    <xf numFmtId="2" fontId="36" fillId="9" borderId="12" xfId="0" applyNumberFormat="1" applyFont="1" applyFill="1" applyBorder="1" applyAlignment="1">
      <alignment vertical="center"/>
    </xf>
    <xf numFmtId="2" fontId="4" fillId="0" borderId="12" xfId="0" applyNumberFormat="1" applyFont="1" applyBorder="1" applyAlignment="1">
      <alignment vertical="center"/>
    </xf>
    <xf numFmtId="0" fontId="36" fillId="17" borderId="12"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2" fillId="2" borderId="12" xfId="0" applyFont="1" applyFill="1" applyBorder="1" applyAlignment="1">
      <alignment vertical="center"/>
    </xf>
    <xf numFmtId="0" fontId="2" fillId="17" borderId="12" xfId="0" applyFont="1" applyFill="1" applyBorder="1" applyAlignment="1">
      <alignment horizontal="center" vertical="center" wrapText="1"/>
    </xf>
    <xf numFmtId="0" fontId="2" fillId="9" borderId="12" xfId="0" applyFont="1" applyFill="1" applyBorder="1" applyAlignment="1">
      <alignment vertical="center"/>
    </xf>
    <xf numFmtId="2" fontId="4" fillId="9" borderId="12" xfId="0" applyNumberFormat="1" applyFont="1" applyFill="1" applyBorder="1" applyAlignment="1">
      <alignment vertical="center"/>
    </xf>
    <xf numFmtId="10" fontId="4" fillId="9" borderId="12" xfId="0" applyNumberFormat="1" applyFont="1" applyFill="1" applyBorder="1" applyAlignment="1">
      <alignment vertical="center"/>
    </xf>
    <xf numFmtId="2" fontId="2" fillId="9" borderId="12" xfId="0" applyNumberFormat="1" applyFont="1" applyFill="1" applyBorder="1" applyAlignment="1">
      <alignment vertical="center"/>
    </xf>
    <xf numFmtId="10" fontId="2" fillId="9" borderId="12" xfId="0" applyNumberFormat="1" applyFont="1" applyFill="1" applyBorder="1" applyAlignment="1">
      <alignment vertical="center"/>
    </xf>
    <xf numFmtId="10" fontId="4" fillId="4" borderId="12" xfId="0" applyNumberFormat="1" applyFont="1" applyFill="1" applyBorder="1" applyAlignment="1">
      <alignment vertical="center"/>
    </xf>
    <xf numFmtId="0" fontId="0" fillId="0" borderId="12" xfId="0" applyBorder="1" applyAlignment="1">
      <alignment vertical="center"/>
    </xf>
    <xf numFmtId="0" fontId="0" fillId="0" borderId="12" xfId="0" applyBorder="1" applyAlignment="1">
      <alignment vertical="center" wrapText="1"/>
    </xf>
    <xf numFmtId="0" fontId="20" fillId="2" borderId="15" xfId="3" applyFill="1" applyBorder="1"/>
    <xf numFmtId="0" fontId="109" fillId="0" borderId="0" xfId="0" applyFont="1"/>
    <xf numFmtId="0" fontId="110" fillId="0" borderId="0" xfId="0" applyFont="1"/>
    <xf numFmtId="0" fontId="111" fillId="0" borderId="0" xfId="0" applyFont="1"/>
    <xf numFmtId="0" fontId="105" fillId="0" borderId="0" xfId="0" applyFont="1"/>
    <xf numFmtId="3" fontId="109" fillId="0" borderId="0" xfId="0" applyNumberFormat="1" applyFont="1"/>
    <xf numFmtId="3" fontId="110" fillId="0" borderId="0" xfId="0" applyNumberFormat="1" applyFont="1"/>
    <xf numFmtId="3" fontId="112" fillId="0" borderId="0" xfId="0" applyNumberFormat="1" applyFont="1"/>
    <xf numFmtId="3" fontId="113" fillId="0" borderId="0" xfId="0" applyNumberFormat="1" applyFont="1"/>
    <xf numFmtId="3" fontId="114" fillId="0" borderId="0" xfId="0" applyNumberFormat="1" applyFont="1"/>
    <xf numFmtId="3" fontId="0" fillId="0" borderId="0" xfId="0" applyNumberFormat="1"/>
    <xf numFmtId="3" fontId="105" fillId="0" borderId="0" xfId="0" applyNumberFormat="1" applyFont="1"/>
    <xf numFmtId="3" fontId="115" fillId="0" borderId="0" xfId="0" applyNumberFormat="1" applyFont="1"/>
    <xf numFmtId="3" fontId="117" fillId="0" borderId="0" xfId="0" applyNumberFormat="1" applyFont="1"/>
    <xf numFmtId="0" fontId="109" fillId="0" borderId="0" xfId="0" applyFont="1" applyAlignment="1">
      <alignment wrapText="1"/>
    </xf>
    <xf numFmtId="0" fontId="118" fillId="0" borderId="0" xfId="0" applyFont="1"/>
    <xf numFmtId="3" fontId="118" fillId="0" borderId="0" xfId="0" applyNumberFormat="1" applyFont="1"/>
    <xf numFmtId="0" fontId="114" fillId="0" borderId="0" xfId="0" applyFont="1"/>
    <xf numFmtId="3" fontId="119" fillId="0" borderId="0" xfId="0" applyNumberFormat="1" applyFont="1"/>
    <xf numFmtId="0" fontId="120" fillId="0" borderId="0" xfId="0" applyFont="1"/>
    <xf numFmtId="216" fontId="109" fillId="0" borderId="0" xfId="0" applyNumberFormat="1" applyFont="1"/>
    <xf numFmtId="3" fontId="121" fillId="0" borderId="0" xfId="0" applyNumberFormat="1" applyFont="1"/>
    <xf numFmtId="3" fontId="112" fillId="2" borderId="0" xfId="0" applyNumberFormat="1" applyFont="1" applyFill="1"/>
    <xf numFmtId="3" fontId="110" fillId="2" borderId="0" xfId="0" applyNumberFormat="1" applyFont="1" applyFill="1"/>
    <xf numFmtId="10" fontId="28" fillId="2" borderId="0" xfId="0" applyNumberFormat="1" applyFont="1" applyFill="1" applyAlignment="1">
      <alignment vertical="center"/>
    </xf>
    <xf numFmtId="43" fontId="0" fillId="0" borderId="0" xfId="0" applyNumberFormat="1" applyBorder="1"/>
    <xf numFmtId="221" fontId="34" fillId="0" borderId="0" xfId="0" applyNumberFormat="1" applyFont="1" applyAlignment="1">
      <alignment vertical="center"/>
    </xf>
    <xf numFmtId="222" fontId="34" fillId="0" borderId="0" xfId="0" applyNumberFormat="1" applyFont="1" applyAlignment="1">
      <alignment vertical="center"/>
    </xf>
    <xf numFmtId="223" fontId="33" fillId="8" borderId="12" xfId="0" applyNumberFormat="1" applyFont="1" applyFill="1" applyBorder="1"/>
    <xf numFmtId="3" fontId="120" fillId="2" borderId="0" xfId="0" applyNumberFormat="1" applyFont="1" applyFill="1"/>
    <xf numFmtId="3" fontId="123" fillId="2" borderId="0" xfId="0" applyNumberFormat="1" applyFont="1" applyFill="1"/>
    <xf numFmtId="0" fontId="0" fillId="2" borderId="0" xfId="0" applyFont="1" applyFill="1"/>
    <xf numFmtId="0" fontId="41" fillId="0" borderId="0" xfId="0" applyFont="1" applyAlignment="1">
      <alignment vertical="center"/>
    </xf>
    <xf numFmtId="0" fontId="0" fillId="0" borderId="0" xfId="0" applyFont="1" applyAlignment="1">
      <alignment vertical="center"/>
    </xf>
    <xf numFmtId="3" fontId="124" fillId="0" borderId="0" xfId="0" applyNumberFormat="1" applyFont="1"/>
    <xf numFmtId="10" fontId="28" fillId="0" borderId="0" xfId="0" applyNumberFormat="1" applyFont="1" applyBorder="1" applyAlignment="1">
      <alignment horizontal="right" vertical="top" wrapText="1"/>
    </xf>
    <xf numFmtId="10" fontId="27" fillId="0" borderId="0" xfId="0" applyNumberFormat="1" applyFont="1" applyAlignment="1">
      <alignment vertical="center"/>
    </xf>
    <xf numFmtId="0" fontId="34" fillId="4" borderId="0" xfId="0" applyFont="1" applyFill="1" applyAlignment="1">
      <alignment vertical="center"/>
    </xf>
    <xf numFmtId="224" fontId="24" fillId="0" borderId="0" xfId="0" applyNumberFormat="1" applyFont="1" applyAlignment="1">
      <alignment horizontal="right" vertical="center"/>
    </xf>
    <xf numFmtId="224" fontId="34" fillId="0" borderId="0" xfId="0" applyNumberFormat="1" applyFont="1" applyAlignment="1">
      <alignment vertical="center"/>
    </xf>
    <xf numFmtId="224" fontId="122" fillId="0" borderId="0" xfId="0" applyNumberFormat="1" applyFont="1" applyAlignment="1">
      <alignment horizontal="right" vertical="center"/>
    </xf>
    <xf numFmtId="0" fontId="9" fillId="0" borderId="0" xfId="0" applyFont="1" applyBorder="1" applyAlignment="1">
      <alignment vertical="center"/>
    </xf>
    <xf numFmtId="0" fontId="12" fillId="0" borderId="0" xfId="0" applyFont="1" applyBorder="1"/>
    <xf numFmtId="0" fontId="12" fillId="0" borderId="0" xfId="1" applyFont="1" applyFill="1" applyBorder="1" applyAlignment="1">
      <alignment horizontal="center" vertical="center"/>
    </xf>
    <xf numFmtId="0" fontId="12" fillId="0" borderId="0" xfId="1" applyNumberFormat="1" applyFont="1" applyBorder="1" applyAlignment="1">
      <alignment horizontal="center" vertical="center"/>
    </xf>
    <xf numFmtId="0" fontId="9" fillId="3" borderId="0" xfId="0" applyFont="1" applyFill="1" applyBorder="1" applyAlignment="1">
      <alignment vertical="center"/>
    </xf>
    <xf numFmtId="215" fontId="34" fillId="0" borderId="0" xfId="0" applyNumberFormat="1" applyFont="1" applyBorder="1" applyAlignment="1">
      <alignment vertical="center"/>
    </xf>
    <xf numFmtId="0" fontId="9" fillId="0" borderId="0" xfId="0" applyFont="1" applyFill="1" applyBorder="1"/>
    <xf numFmtId="10" fontId="32" fillId="0" borderId="12" xfId="0" applyNumberFormat="1" applyFont="1" applyBorder="1" applyAlignment="1">
      <alignment vertical="center"/>
    </xf>
    <xf numFmtId="10" fontId="28" fillId="2" borderId="0" xfId="0" applyNumberFormat="1" applyFont="1" applyFill="1" applyAlignment="1">
      <alignment horizontal="right" vertical="center"/>
    </xf>
    <xf numFmtId="10" fontId="16" fillId="2" borderId="0" xfId="0" applyNumberFormat="1" applyFont="1" applyFill="1" applyAlignment="1">
      <alignment vertical="center"/>
    </xf>
    <xf numFmtId="224" fontId="34" fillId="0" borderId="0" xfId="0" applyNumberFormat="1" applyFont="1" applyAlignment="1">
      <alignment horizontal="right" vertical="center"/>
    </xf>
    <xf numFmtId="224" fontId="34" fillId="0" borderId="12" xfId="0" applyNumberFormat="1" applyFont="1" applyBorder="1" applyAlignment="1">
      <alignment vertical="center"/>
    </xf>
    <xf numFmtId="10" fontId="125" fillId="2" borderId="12" xfId="2" applyNumberFormat="1" applyFont="1" applyFill="1" applyBorder="1"/>
    <xf numFmtId="224" fontId="24" fillId="0" borderId="12" xfId="0" applyNumberFormat="1" applyFont="1" applyBorder="1" applyAlignment="1">
      <alignment horizontal="right" vertical="center"/>
    </xf>
    <xf numFmtId="0" fontId="2" fillId="0" borderId="0" xfId="1352" applyAlignment="1">
      <alignment wrapText="1"/>
    </xf>
    <xf numFmtId="0" fontId="2" fillId="0" borderId="0" xfId="1352"/>
    <xf numFmtId="0" fontId="2" fillId="0" borderId="0" xfId="1352" applyAlignment="1">
      <alignment horizontal="left" wrapText="1"/>
    </xf>
    <xf numFmtId="0" fontId="34" fillId="46" borderId="0" xfId="1352" applyFont="1" applyFill="1" applyAlignment="1">
      <alignment horizontal="left" wrapText="1"/>
    </xf>
    <xf numFmtId="0" fontId="34" fillId="0" borderId="0" xfId="1352" applyFont="1" applyAlignment="1">
      <alignment horizontal="left" wrapText="1"/>
    </xf>
    <xf numFmtId="1" fontId="34" fillId="0" borderId="0" xfId="1352" applyNumberFormat="1" applyFont="1" applyAlignment="1">
      <alignment horizontal="left" wrapText="1"/>
    </xf>
    <xf numFmtId="0" fontId="34" fillId="47" borderId="0" xfId="1352" applyFont="1" applyFill="1" applyAlignment="1">
      <alignment horizontal="left" wrapText="1"/>
    </xf>
    <xf numFmtId="1" fontId="34" fillId="47" borderId="0" xfId="1352" applyNumberFormat="1" applyFont="1" applyFill="1" applyAlignment="1">
      <alignment horizontal="left" wrapText="1"/>
    </xf>
    <xf numFmtId="0" fontId="126" fillId="0" borderId="0" xfId="1352" applyFont="1" applyAlignment="1">
      <alignment horizontal="left" wrapText="1"/>
    </xf>
    <xf numFmtId="217" fontId="34" fillId="47" borderId="0" xfId="1352" applyNumberFormat="1" applyFont="1" applyFill="1" applyAlignment="1">
      <alignment horizontal="left" wrapText="1"/>
    </xf>
    <xf numFmtId="2" fontId="34" fillId="47" borderId="0" xfId="1352" applyNumberFormat="1" applyFont="1" applyFill="1" applyAlignment="1">
      <alignment horizontal="left" wrapText="1"/>
    </xf>
    <xf numFmtId="0" fontId="20" fillId="0" borderId="0" xfId="3" applyAlignment="1">
      <alignment wrapText="1"/>
    </xf>
    <xf numFmtId="0" fontId="128" fillId="43" borderId="0" xfId="1353" applyFont="1" applyFill="1" applyBorder="1" applyAlignment="1">
      <alignment vertical="center" wrapText="1"/>
    </xf>
    <xf numFmtId="49" fontId="129" fillId="43" borderId="0" xfId="2" applyNumberFormat="1" applyFont="1" applyFill="1" applyBorder="1" applyAlignment="1">
      <alignment vertical="top"/>
    </xf>
    <xf numFmtId="0" fontId="130" fillId="43" borderId="0" xfId="2" applyFont="1" applyFill="1" applyBorder="1"/>
    <xf numFmtId="0" fontId="7" fillId="43" borderId="0" xfId="2" applyFont="1" applyFill="1" applyBorder="1"/>
    <xf numFmtId="0" fontId="131" fillId="48" borderId="0" xfId="2" applyFont="1" applyFill="1" applyBorder="1" applyAlignment="1">
      <alignment horizontal="justify" wrapText="1"/>
    </xf>
    <xf numFmtId="0" fontId="133" fillId="48" borderId="0" xfId="2" applyFont="1" applyFill="1" applyBorder="1" applyAlignment="1">
      <alignment vertical="top" wrapText="1"/>
    </xf>
    <xf numFmtId="0" fontId="131" fillId="43" borderId="0" xfId="2" applyFont="1" applyFill="1" applyBorder="1" applyAlignment="1">
      <alignment vertical="center"/>
    </xf>
    <xf numFmtId="225" fontId="22" fillId="49" borderId="0" xfId="2" applyNumberFormat="1" applyFont="1" applyFill="1" applyAlignment="1">
      <alignment horizontal="right" vertical="center" wrapText="1"/>
    </xf>
    <xf numFmtId="226" fontId="22" fillId="0" borderId="0" xfId="1354" applyNumberFormat="1" applyFont="1" applyFill="1" applyAlignment="1">
      <alignment horizontal="right" vertical="center" wrapText="1"/>
    </xf>
    <xf numFmtId="0" fontId="7" fillId="43" borderId="0" xfId="2" applyFont="1" applyFill="1" applyAlignment="1">
      <alignment vertical="center"/>
    </xf>
    <xf numFmtId="0" fontId="134" fillId="43" borderId="0" xfId="2" applyFont="1" applyFill="1" applyBorder="1" applyAlignment="1">
      <alignment horizontal="left" vertical="center" indent="1"/>
    </xf>
    <xf numFmtId="225" fontId="7" fillId="49" borderId="0" xfId="2" applyNumberFormat="1" applyFont="1" applyFill="1" applyAlignment="1">
      <alignment horizontal="right" vertical="center" wrapText="1"/>
    </xf>
    <xf numFmtId="225" fontId="7" fillId="0" borderId="0" xfId="2" applyNumberFormat="1" applyFont="1" applyFill="1" applyAlignment="1">
      <alignment horizontal="right" vertical="center" wrapText="1"/>
    </xf>
    <xf numFmtId="225" fontId="22" fillId="0" borderId="0" xfId="2" applyNumberFormat="1" applyFont="1" applyFill="1" applyAlignment="1">
      <alignment horizontal="right" vertical="center" wrapText="1"/>
    </xf>
    <xf numFmtId="227" fontId="35" fillId="49" borderId="0" xfId="752" applyNumberFormat="1" applyFont="1" applyFill="1" applyBorder="1" applyAlignment="1">
      <alignment horizontal="right"/>
    </xf>
    <xf numFmtId="0" fontId="131" fillId="43" borderId="0" xfId="2" applyFont="1" applyFill="1" applyBorder="1" applyAlignment="1">
      <alignment vertical="top"/>
    </xf>
    <xf numFmtId="225" fontId="134" fillId="0" borderId="0" xfId="2" applyNumberFormat="1" applyFont="1" applyFill="1" applyBorder="1" applyAlignment="1">
      <alignment horizontal="right" vertical="center"/>
    </xf>
    <xf numFmtId="0" fontId="131" fillId="43" borderId="0" xfId="2" applyFont="1" applyFill="1" applyBorder="1" applyAlignment="1">
      <alignment vertical="center" wrapText="1"/>
    </xf>
    <xf numFmtId="225" fontId="135" fillId="49" borderId="0" xfId="2" applyNumberFormat="1" applyFont="1" applyFill="1" applyBorder="1" applyAlignment="1">
      <alignment horizontal="right" vertical="center"/>
    </xf>
    <xf numFmtId="228" fontId="135" fillId="49" borderId="0" xfId="2" applyNumberFormat="1" applyFont="1" applyFill="1" applyBorder="1" applyAlignment="1">
      <alignment horizontal="right" vertical="center"/>
    </xf>
    <xf numFmtId="228" fontId="7" fillId="49" borderId="0" xfId="2" applyNumberFormat="1" applyFont="1" applyFill="1" applyAlignment="1">
      <alignment horizontal="right" vertical="center" wrapText="1"/>
    </xf>
    <xf numFmtId="229" fontId="7" fillId="43" borderId="0" xfId="2" applyNumberFormat="1" applyFont="1" applyFill="1" applyAlignment="1">
      <alignment vertical="center"/>
    </xf>
    <xf numFmtId="230" fontId="7" fillId="49" borderId="0" xfId="2" applyNumberFormat="1" applyFont="1" applyFill="1" applyAlignment="1">
      <alignment horizontal="right" vertical="center" wrapText="1"/>
    </xf>
    <xf numFmtId="231" fontId="7" fillId="0" borderId="0" xfId="2" applyNumberFormat="1" applyFont="1" applyFill="1" applyAlignment="1">
      <alignment horizontal="right" vertical="center" wrapText="1"/>
    </xf>
    <xf numFmtId="0" fontId="131" fillId="50" borderId="0" xfId="2" applyFont="1" applyFill="1" applyBorder="1" applyAlignment="1">
      <alignment vertical="center" wrapText="1"/>
    </xf>
    <xf numFmtId="232" fontId="22" fillId="50" borderId="0" xfId="2" applyNumberFormat="1" applyFont="1" applyFill="1" applyBorder="1" applyAlignment="1">
      <alignment horizontal="right" vertical="center"/>
    </xf>
    <xf numFmtId="2" fontId="7" fillId="43" borderId="0" xfId="2" applyNumberFormat="1" applyFont="1" applyFill="1" applyAlignment="1">
      <alignment vertical="center"/>
    </xf>
    <xf numFmtId="0" fontId="131" fillId="50" borderId="0" xfId="2" applyFont="1" applyFill="1" applyBorder="1" applyAlignment="1">
      <alignment vertical="center"/>
    </xf>
    <xf numFmtId="233" fontId="7" fillId="43" borderId="0" xfId="2" applyNumberFormat="1" applyFont="1" applyFill="1"/>
    <xf numFmtId="0" fontId="7" fillId="2" borderId="0" xfId="2" applyFont="1" applyFill="1"/>
    <xf numFmtId="0" fontId="7" fillId="2" borderId="0" xfId="2" applyFont="1" applyFill="1" applyAlignment="1">
      <alignment vertical="center"/>
    </xf>
    <xf numFmtId="2" fontId="7" fillId="43" borderId="0" xfId="2" applyNumberFormat="1" applyFont="1" applyFill="1"/>
    <xf numFmtId="0" fontId="136" fillId="43" borderId="0" xfId="2" applyFont="1" applyFill="1"/>
    <xf numFmtId="10" fontId="110" fillId="0" borderId="0" xfId="0" applyNumberFormat="1" applyFont="1"/>
    <xf numFmtId="10" fontId="110" fillId="0" borderId="12" xfId="0" applyNumberFormat="1" applyFont="1" applyBorder="1"/>
    <xf numFmtId="239" fontId="5" fillId="14" borderId="0" xfId="0" applyNumberFormat="1" applyFont="1" applyFill="1" applyBorder="1"/>
    <xf numFmtId="240" fontId="34" fillId="0" borderId="0" xfId="0" applyNumberFormat="1" applyFont="1" applyAlignment="1">
      <alignment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29" fillId="2" borderId="17" xfId="3" applyFont="1" applyFill="1" applyBorder="1" applyAlignment="1">
      <alignment horizontal="left" vertical="top" wrapText="1"/>
    </xf>
    <xf numFmtId="0" fontId="29" fillId="2" borderId="18" xfId="3" applyFont="1" applyFill="1" applyBorder="1" applyAlignment="1">
      <alignment horizontal="left" vertical="top" wrapText="1"/>
    </xf>
    <xf numFmtId="0" fontId="72" fillId="0" borderId="0" xfId="1353" quotePrefix="1" applyFont="1" applyFill="1" applyAlignment="1">
      <alignment horizontal="left" vertical="top" wrapText="1"/>
    </xf>
    <xf numFmtId="0" fontId="128" fillId="43" borderId="0" xfId="1353" applyFont="1" applyFill="1" applyBorder="1" applyAlignment="1">
      <alignment horizontal="left" vertical="center" wrapText="1"/>
    </xf>
    <xf numFmtId="17" fontId="22" fillId="48" borderId="0" xfId="1353" quotePrefix="1" applyNumberFormat="1" applyFont="1" applyFill="1" applyBorder="1" applyAlignment="1">
      <alignment horizontal="right" vertical="center" wrapText="1"/>
    </xf>
    <xf numFmtId="0" fontId="72" fillId="2" borderId="0" xfId="2" applyFont="1" applyFill="1" applyAlignment="1">
      <alignment horizontal="left" vertical="center" wrapText="1"/>
    </xf>
    <xf numFmtId="0" fontId="116" fillId="0" borderId="0" xfId="1353" quotePrefix="1" applyFont="1" applyFill="1" applyAlignment="1">
      <alignment horizontal="left" vertical="top" wrapText="1"/>
    </xf>
    <xf numFmtId="0" fontId="34" fillId="0" borderId="0" xfId="1352" applyFont="1" applyAlignment="1">
      <alignment wrapText="1"/>
    </xf>
    <xf numFmtId="0" fontId="126" fillId="0" borderId="0" xfId="1352" applyFont="1" applyAlignment="1">
      <alignment horizontal="left" wrapText="1"/>
    </xf>
    <xf numFmtId="0" fontId="2" fillId="0" borderId="0" xfId="1352" applyAlignment="1">
      <alignment horizontal="left" wrapText="1"/>
    </xf>
    <xf numFmtId="0" fontId="126" fillId="46" borderId="0" xfId="1352" applyFont="1" applyFill="1" applyAlignment="1">
      <alignment wrapText="1"/>
    </xf>
    <xf numFmtId="0" fontId="105" fillId="0" borderId="0" xfId="1352" applyFont="1" applyAlignment="1">
      <alignment horizontal="left" wrapText="1"/>
    </xf>
  </cellXfs>
  <cellStyles count="1416">
    <cellStyle name=" 1" xfId="82"/>
    <cellStyle name="_%(SignOnly)" xfId="83"/>
    <cellStyle name="_%(SignOnly) 2" xfId="84"/>
    <cellStyle name="_%(SignSpaceOnly)" xfId="85"/>
    <cellStyle name="_%(SignSpaceOnly) 2" xfId="86"/>
    <cellStyle name="_Column1" xfId="1355"/>
    <cellStyle name="_Column1 2" xfId="1356"/>
    <cellStyle name="_Column2" xfId="1357"/>
    <cellStyle name="_Column3" xfId="1358"/>
    <cellStyle name="_Column4" xfId="1359"/>
    <cellStyle name="_Column5" xfId="1360"/>
    <cellStyle name="_Column6" xfId="1361"/>
    <cellStyle name="_Column7" xfId="1362"/>
    <cellStyle name="_Comma" xfId="87"/>
    <cellStyle name="_Comma 2" xfId="88"/>
    <cellStyle name="_Currency" xfId="89"/>
    <cellStyle name="_Currency 2" xfId="90"/>
    <cellStyle name="_CurrencySpace" xfId="91"/>
    <cellStyle name="_CurrencySpace 2" xfId="92"/>
    <cellStyle name="_Data" xfId="1363"/>
    <cellStyle name="_Data 2" xfId="1364"/>
    <cellStyle name="_Euro" xfId="93"/>
    <cellStyle name="_Euro 2" xfId="94"/>
    <cellStyle name="_Header" xfId="1365"/>
    <cellStyle name="_Heading" xfId="95"/>
    <cellStyle name="_Highlight" xfId="96"/>
    <cellStyle name="_Highlight 2" xfId="97"/>
    <cellStyle name="_Multiple" xfId="98"/>
    <cellStyle name="_Multiple 2" xfId="99"/>
    <cellStyle name="_MultipleSpace" xfId="100"/>
    <cellStyle name="_MultipleSpace 2" xfId="101"/>
    <cellStyle name="_Percent" xfId="102"/>
    <cellStyle name="_Percent 2" xfId="103"/>
    <cellStyle name="_PercentSpace" xfId="104"/>
    <cellStyle name="_PercentSpace 2" xfId="105"/>
    <cellStyle name="_Row1" xfId="1366"/>
    <cellStyle name="_Row1 2" xfId="1367"/>
    <cellStyle name="_Row2" xfId="1368"/>
    <cellStyle name="_Row3" xfId="1369"/>
    <cellStyle name="_Row4" xfId="1370"/>
    <cellStyle name="_Row5" xfId="1371"/>
    <cellStyle name="_Row6" xfId="1372"/>
    <cellStyle name="_Row7" xfId="1373"/>
    <cellStyle name="_SubHeading" xfId="106"/>
    <cellStyle name="_Table" xfId="107"/>
    <cellStyle name="_TableHead" xfId="108"/>
    <cellStyle name="_TableRowHead" xfId="109"/>
    <cellStyle name="_TableSuperHead" xfId="110"/>
    <cellStyle name="%" xfId="111"/>
    <cellStyle name="% 2" xfId="1374"/>
    <cellStyle name="% 2 2" xfId="1375"/>
    <cellStyle name="$" xfId="112"/>
    <cellStyle name="$ 2" xfId="113"/>
    <cellStyle name="$_5B" xfId="114"/>
    <cellStyle name="$_5B (2)" xfId="115"/>
    <cellStyle name="$_6A" xfId="116"/>
    <cellStyle name="$_6B" xfId="117"/>
    <cellStyle name="$_FY12 Q2 Press Tables" xfId="118"/>
    <cellStyle name="$_Index" xfId="119"/>
    <cellStyle name="20% - Accent1 2" xfId="120"/>
    <cellStyle name="20% - Accent1 3" xfId="121"/>
    <cellStyle name="20% - Accent1 4" xfId="122"/>
    <cellStyle name="20% - Accent2 2" xfId="123"/>
    <cellStyle name="20% - Accent2 3" xfId="124"/>
    <cellStyle name="20% - Accent2 4" xfId="125"/>
    <cellStyle name="20% - Accent3 2" xfId="126"/>
    <cellStyle name="20% - Accent3 3" xfId="127"/>
    <cellStyle name="20% - Accent3 4" xfId="128"/>
    <cellStyle name="20% - Accent4 2" xfId="129"/>
    <cellStyle name="20% - Accent4 2 2" xfId="130"/>
    <cellStyle name="20% - Accent4 2 2 2" xfId="131"/>
    <cellStyle name="20% - Accent4 2 2 2 2" xfId="132"/>
    <cellStyle name="20% - Accent4 2 2 3" xfId="133"/>
    <cellStyle name="20% - Accent4 2 2 4" xfId="134"/>
    <cellStyle name="20% - Accent4 2 3" xfId="135"/>
    <cellStyle name="20% - Accent4 2 3 2" xfId="136"/>
    <cellStyle name="20% - Accent4 2 4" xfId="137"/>
    <cellStyle name="20% - Accent4 2 5" xfId="138"/>
    <cellStyle name="20% - Accent4 2 6" xfId="139"/>
    <cellStyle name="20% - Accent4 3" xfId="140"/>
    <cellStyle name="20% - Accent4 4" xfId="141"/>
    <cellStyle name="20% - Accent5 2" xfId="142"/>
    <cellStyle name="20% - Accent5 3" xfId="143"/>
    <cellStyle name="20% - Accent5 4" xfId="144"/>
    <cellStyle name="20% - Accent6 2" xfId="145"/>
    <cellStyle name="20% - Accent6 3" xfId="146"/>
    <cellStyle name="20% - Accent6 4" xfId="147"/>
    <cellStyle name="40% - Accent1 2" xfId="148"/>
    <cellStyle name="40% - Accent1 3" xfId="149"/>
    <cellStyle name="40% - Accent1 4" xfId="150"/>
    <cellStyle name="40% - Accent2 2" xfId="151"/>
    <cellStyle name="40% - Accent2 3" xfId="152"/>
    <cellStyle name="40% - Accent2 4" xfId="153"/>
    <cellStyle name="40% - Accent3 2" xfId="154"/>
    <cellStyle name="40% - Accent3 3" xfId="155"/>
    <cellStyle name="40% - Accent3 4" xfId="156"/>
    <cellStyle name="40% - Accent4 2" xfId="157"/>
    <cellStyle name="40% - Accent4 3" xfId="158"/>
    <cellStyle name="40% - Accent4 4" xfId="159"/>
    <cellStyle name="40% - Accent5 2" xfId="160"/>
    <cellStyle name="40% - Accent5 3" xfId="161"/>
    <cellStyle name="40% - Accent5 4" xfId="162"/>
    <cellStyle name="40% - Accent6 2" xfId="163"/>
    <cellStyle name="40% - Accent6 3" xfId="164"/>
    <cellStyle name="40% - Accent6 4" xfId="165"/>
    <cellStyle name="60% - Accent1 2" xfId="166"/>
    <cellStyle name="60% - Accent1 3" xfId="167"/>
    <cellStyle name="60% - Accent2 2" xfId="168"/>
    <cellStyle name="60% - Accent2 3" xfId="169"/>
    <cellStyle name="60% - Accent3 2" xfId="170"/>
    <cellStyle name="60% - Accent3 3" xfId="171"/>
    <cellStyle name="60% - Accent4 2" xfId="172"/>
    <cellStyle name="60% - Accent4 3" xfId="173"/>
    <cellStyle name="60% - Accent5 2" xfId="174"/>
    <cellStyle name="60% - Accent5 3" xfId="175"/>
    <cellStyle name="60% - Accent6 2" xfId="176"/>
    <cellStyle name="60% - Accent6 3" xfId="177"/>
    <cellStyle name="Гиперссылка" xfId="3" builtinId="8"/>
    <cellStyle name="Денежный 2" xfId="178"/>
    <cellStyle name="Заголовок 1" xfId="1" builtinId="16"/>
    <cellStyle name="Обычный" xfId="0" builtinId="0"/>
    <cellStyle name="Обычный 2" xfId="2"/>
    <cellStyle name="Обычный 3" xfId="4"/>
    <cellStyle name="Обычный 4" xfId="1352"/>
    <cellStyle name="Просмотренная гиперссылка" xfId="5" builtinId="9" hidden="1"/>
    <cellStyle name="Просмотренная гиперссылка" xfId="6" builtinId="9" hidden="1"/>
    <cellStyle name="Просмотренная гиперссылка" xfId="7" builtinId="9" hidden="1"/>
    <cellStyle name="Просмотренная гиперссылка" xfId="8" builtinId="9" hidden="1"/>
    <cellStyle name="Просмотренная гиперссылка" xfId="9" builtinId="9" hidden="1"/>
    <cellStyle name="Просмотренная гиперссылка" xfId="10" builtinId="9" hidden="1"/>
    <cellStyle name="Просмотренная гиперссылка" xfId="11" builtinId="9" hidden="1"/>
    <cellStyle name="Просмотренная гиперссылка" xfId="12" builtinId="9" hidden="1"/>
    <cellStyle name="Просмотренная гиперссылка" xfId="13" builtinId="9" hidden="1"/>
    <cellStyle name="Просмотренная гиперссылка" xfId="14" builtinId="9" hidden="1"/>
    <cellStyle name="Просмотренная гиперссылка" xfId="15" builtinId="9" hidden="1"/>
    <cellStyle name="Просмотренная гиперссылка" xfId="16" builtinId="9" hidden="1"/>
    <cellStyle name="Просмотренная гиперссылка" xfId="17" builtinId="9" hidden="1"/>
    <cellStyle name="Просмотренная гиперссылка" xfId="18" builtinId="9" hidden="1"/>
    <cellStyle name="Просмотренная гиперссылка" xfId="19" builtinId="9" hidden="1"/>
    <cellStyle name="Просмотренная гиперссылка" xfId="20" builtinId="9" hidden="1"/>
    <cellStyle name="Просмотренная гиперссылка" xfId="21" builtinId="9" hidden="1"/>
    <cellStyle name="Просмотренная гиперссылка" xfId="22" builtinId="9" hidden="1"/>
    <cellStyle name="Просмотренная гиперссылка" xfId="23" builtinId="9" hidden="1"/>
    <cellStyle name="Просмотренная гиперссылка" xfId="24" builtinId="9" hidden="1"/>
    <cellStyle name="Просмотренная гиперссылка" xfId="25" builtinId="9" hidden="1"/>
    <cellStyle name="Просмотренная гиперссылка" xfId="26" builtinId="9" hidden="1"/>
    <cellStyle name="Просмотренная гиперссылка" xfId="27" builtinId="9" hidden="1"/>
    <cellStyle name="Просмотренная гиперссылка" xfId="28" builtinId="9" hidden="1"/>
    <cellStyle name="Просмотренная гиперссылка" xfId="29" builtinId="9" hidden="1"/>
    <cellStyle name="Просмотренная гиперссылка" xfId="30" builtinId="9" hidden="1"/>
    <cellStyle name="Просмотренная гиперссылка" xfId="31" builtinId="9" hidden="1"/>
    <cellStyle name="Просмотренная гиперссылка" xfId="32" builtinId="9" hidden="1"/>
    <cellStyle name="Просмотренная гиперссылка" xfId="33" builtinId="9" hidden="1"/>
    <cellStyle name="Просмотренная гиперссылка" xfId="35" builtinId="9" hidden="1"/>
    <cellStyle name="Просмотренная гиперссылка" xfId="36" builtinId="9" hidden="1"/>
    <cellStyle name="Просмотренная гиперссылка" xfId="37" builtinId="9" hidden="1"/>
    <cellStyle name="Просмотренная гиперссылка" xfId="38" builtinId="9" hidden="1"/>
    <cellStyle name="Просмотренная гиперссылка" xfId="39" builtinId="9" hidden="1"/>
    <cellStyle name="Просмотренная гиперссылка" xfId="40" builtinId="9" hidden="1"/>
    <cellStyle name="Просмотренная гиперссылка" xfId="41" builtinId="9" hidden="1"/>
    <cellStyle name="Просмотренная гиперссылка" xfId="42" builtinId="9" hidden="1"/>
    <cellStyle name="Просмотренная гиперссылка" xfId="43" builtinId="9" hidden="1"/>
    <cellStyle name="Просмотренная гиперссылка" xfId="44" builtinId="9" hidden="1"/>
    <cellStyle name="Просмотренная гиперссылка" xfId="45" builtinId="9" hidden="1"/>
    <cellStyle name="Просмотренная гиперссылка" xfId="46" builtinId="9" hidden="1"/>
    <cellStyle name="Просмотренная гиперссылка" xfId="47" builtinId="9" hidden="1"/>
    <cellStyle name="Просмотренная гиперссылка" xfId="48" builtinId="9" hidden="1"/>
    <cellStyle name="Просмотренная гиперссылка" xfId="49" builtinId="9" hidden="1"/>
    <cellStyle name="Просмотренная гиперссылка" xfId="50" builtinId="9" hidden="1"/>
    <cellStyle name="Просмотренная гиперссылка" xfId="51" builtinId="9" hidden="1"/>
    <cellStyle name="Просмотренная гиперссылка" xfId="52" builtinId="9" hidden="1"/>
    <cellStyle name="Просмотренная гиперссылка" xfId="53" builtinId="9" hidden="1"/>
    <cellStyle name="Просмотренная гиперссылка" xfId="54" builtinId="9" hidden="1"/>
    <cellStyle name="Просмотренная гиперссылка" xfId="55" builtinId="9" hidden="1"/>
    <cellStyle name="Просмотренная гиперссылка" xfId="56" builtinId="9" hidden="1"/>
    <cellStyle name="Просмотренная гиперссылка" xfId="57" builtinId="9" hidden="1"/>
    <cellStyle name="Просмотренная гиперссылка" xfId="58" builtinId="9" hidden="1"/>
    <cellStyle name="Просмотренная гиперссылка" xfId="59" builtinId="9" hidden="1"/>
    <cellStyle name="Просмотренная гиперссылка" xfId="60" builtinId="9" hidden="1"/>
    <cellStyle name="Просмотренная гиперссылка" xfId="61" builtinId="9" hidden="1"/>
    <cellStyle name="Просмотренная гиперссылка" xfId="62" builtinId="9" hidden="1"/>
    <cellStyle name="Просмотренная гиперссылка" xfId="63" builtinId="9" hidden="1"/>
    <cellStyle name="Просмотренная гиперссылка" xfId="64" builtinId="9" hidden="1"/>
    <cellStyle name="Просмотренная гиперссылка" xfId="65" builtinId="9" hidden="1"/>
    <cellStyle name="Просмотренная гиперссылка" xfId="66" builtinId="9" hidden="1"/>
    <cellStyle name="Просмотренная гиперссылка" xfId="67" builtinId="9" hidden="1"/>
    <cellStyle name="Просмотренная гиперссылка" xfId="68" builtinId="9" hidden="1"/>
    <cellStyle name="Просмотренная гиперссылка" xfId="69" builtinId="9" hidden="1"/>
    <cellStyle name="Просмотренная гиперссылка" xfId="70" builtinId="9" hidden="1"/>
    <cellStyle name="Просмотренная гиперссылка" xfId="71" builtinId="9" hidden="1"/>
    <cellStyle name="Просмотренная гиперссылка" xfId="72" builtinId="9" hidden="1"/>
    <cellStyle name="Просмотренная гиперссылка" xfId="73" builtinId="9" hidden="1"/>
    <cellStyle name="Просмотренная гиперссылка" xfId="74" builtinId="9" hidden="1"/>
    <cellStyle name="Просмотренная гиперссылка" xfId="75" builtinId="9" hidden="1"/>
    <cellStyle name="Просмотренная гиперссылка" xfId="76" builtinId="9" hidden="1"/>
    <cellStyle name="Просмотренная гиперссылка" xfId="77" builtinId="9" hidden="1"/>
    <cellStyle name="Просмотренная гиперссылка" xfId="78" builtinId="9" hidden="1"/>
    <cellStyle name="Просмотренная гиперссылка" xfId="79" builtinId="9" hidden="1"/>
    <cellStyle name="Просмотренная гиперссылка" xfId="80" builtinId="9" hidden="1"/>
    <cellStyle name="Просмотренная гиперссылка" xfId="81" builtinId="9" hidden="1"/>
    <cellStyle name="Просмотренная гиперссылка" xfId="1239" builtinId="9" hidden="1"/>
    <cellStyle name="Просмотренная гиперссылка" xfId="1240" builtinId="9" hidden="1"/>
    <cellStyle name="Просмотренная гиперссылка" xfId="1241" builtinId="9" hidden="1"/>
    <cellStyle name="Просмотренная гиперссылка" xfId="1242" builtinId="9" hidden="1"/>
    <cellStyle name="Просмотренная гиперссылка" xfId="1243" builtinId="9" hidden="1"/>
    <cellStyle name="Просмотренная гиперссылка" xfId="1247" builtinId="9" hidden="1"/>
    <cellStyle name="Просмотренная гиперссылка" xfId="1248" builtinId="9" hidden="1"/>
    <cellStyle name="Просмотренная гиперссылка" xfId="1249" builtinId="9" hidden="1"/>
    <cellStyle name="Просмотренная гиперссылка" xfId="1250" builtinId="9" hidden="1"/>
    <cellStyle name="Просмотренная гиперссылка" xfId="1251" builtinId="9" hidden="1"/>
    <cellStyle name="Просмотренная гиперссылка" xfId="1252" builtinId="9" hidden="1"/>
    <cellStyle name="Просмотренная гиперссылка" xfId="1253" builtinId="9" hidden="1"/>
    <cellStyle name="Просмотренная гиперссылка" xfId="1254" builtinId="9" hidden="1"/>
    <cellStyle name="Просмотренная гиперссылка" xfId="1255" builtinId="9" hidden="1"/>
    <cellStyle name="Просмотренная гиперссылка" xfId="1256" builtinId="9" hidden="1"/>
    <cellStyle name="Просмотренная гиперссылка" xfId="1257" builtinId="9" hidden="1"/>
    <cellStyle name="Просмотренная гиперссылка" xfId="1258" builtinId="9" hidden="1"/>
    <cellStyle name="Просмотренная гиперссылка" xfId="1259" builtinId="9" hidden="1"/>
    <cellStyle name="Просмотренная гиперссылка" xfId="1260" builtinId="9" hidden="1"/>
    <cellStyle name="Просмотренная гиперссылка" xfId="1261" builtinId="9" hidden="1"/>
    <cellStyle name="Просмотренная гиперссылка" xfId="1262" builtinId="9" hidden="1"/>
    <cellStyle name="Просмотренная гиперссылка" xfId="1263" builtinId="9" hidden="1"/>
    <cellStyle name="Просмотренная гиперссылка" xfId="1264" builtinId="9" hidden="1"/>
    <cellStyle name="Просмотренная гиперссылка" xfId="1265" builtinId="9" hidden="1"/>
    <cellStyle name="Просмотренная гиперссылка" xfId="1266" builtinId="9" hidden="1"/>
    <cellStyle name="Просмотренная гиперссылка" xfId="1267" builtinId="9" hidden="1"/>
    <cellStyle name="Просмотренная гиперссылка" xfId="1268" builtinId="9" hidden="1"/>
    <cellStyle name="Просмотренная гиперссылка" xfId="1269" builtinId="9" hidden="1"/>
    <cellStyle name="Просмотренная гиперссылка" xfId="1270" builtinId="9" hidden="1"/>
    <cellStyle name="Просмотренная гиперссылка" xfId="1271" builtinId="9" hidden="1"/>
    <cellStyle name="Просмотренная гиперссылка" xfId="1272" builtinId="9" hidden="1"/>
    <cellStyle name="Просмотренная гиперссылка" xfId="1273" builtinId="9" hidden="1"/>
    <cellStyle name="Просмотренная гиперссылка" xfId="1274" builtinId="9" hidden="1"/>
    <cellStyle name="Просмотренная гиперссылка" xfId="1275" builtinId="9" hidden="1"/>
    <cellStyle name="Просмотренная гиперссылка" xfId="1276" builtinId="9" hidden="1"/>
    <cellStyle name="Просмотренная гиперссылка" xfId="1277" builtinId="9" hidden="1"/>
    <cellStyle name="Просмотренная гиперссылка" xfId="1278" builtinId="9" hidden="1"/>
    <cellStyle name="Просмотренная гиперссылка" xfId="1279" builtinId="9" hidden="1"/>
    <cellStyle name="Просмотренная гиперссылка" xfId="1280" builtinId="9" hidden="1"/>
    <cellStyle name="Просмотренная гиперссылка" xfId="1281" builtinId="9" hidden="1"/>
    <cellStyle name="Просмотренная гиперссылка" xfId="1282" builtinId="9" hidden="1"/>
    <cellStyle name="Просмотренная гиперссылка" xfId="1283" builtinId="9" hidden="1"/>
    <cellStyle name="Просмотренная гиперссылка" xfId="1284" builtinId="9" hidden="1"/>
    <cellStyle name="Просмотренная гиперссылка" xfId="1285" builtinId="9" hidden="1"/>
    <cellStyle name="Просмотренная гиперссылка" xfId="1286" builtinId="9" hidden="1"/>
    <cellStyle name="Просмотренная гиперссылка" xfId="1287" builtinId="9" hidden="1"/>
    <cellStyle name="Просмотренная гиперссылка" xfId="1288" builtinId="9" hidden="1"/>
    <cellStyle name="Просмотренная гиперссылка" xfId="1289" builtinId="9" hidden="1"/>
    <cellStyle name="Просмотренная гиперссылка" xfId="1290" builtinId="9" hidden="1"/>
    <cellStyle name="Просмотренная гиперссылка" xfId="1291" builtinId="9" hidden="1"/>
    <cellStyle name="Просмотренная гиперссылка" xfId="1292" builtinId="9" hidden="1"/>
    <cellStyle name="Просмотренная гиперссылка" xfId="1293" builtinId="9" hidden="1"/>
    <cellStyle name="Просмотренная гиперссылка" xfId="1294" builtinId="9" hidden="1"/>
    <cellStyle name="Просмотренная гиперссылка" xfId="1295" builtinId="9" hidden="1"/>
    <cellStyle name="Просмотренная гиперссылка" xfId="1296" builtinId="9" hidden="1"/>
    <cellStyle name="Просмотренная гиперссылка" xfId="1297" builtinId="9" hidden="1"/>
    <cellStyle name="Просмотренная гиперссылка" xfId="1298" builtinId="9" hidden="1"/>
    <cellStyle name="Просмотренная гиперссылка" xfId="1299" builtinId="9" hidden="1"/>
    <cellStyle name="Просмотренная гиперссылка" xfId="1300" builtinId="9" hidden="1"/>
    <cellStyle name="Просмотренная гиперссылка" xfId="1301" builtinId="9" hidden="1"/>
    <cellStyle name="Просмотренная гиперссылка" xfId="1302" builtinId="9" hidden="1"/>
    <cellStyle name="Просмотренная гиперссылка" xfId="1303" builtinId="9" hidden="1"/>
    <cellStyle name="Просмотренная гиперссылка" xfId="1304" builtinId="9" hidden="1"/>
    <cellStyle name="Просмотренная гиперссылка" xfId="1305" builtinId="9" hidden="1"/>
    <cellStyle name="Просмотренная гиперссылка" xfId="1306" builtinId="9" hidden="1"/>
    <cellStyle name="Просмотренная гиперссылка" xfId="1307" builtinId="9" hidden="1"/>
    <cellStyle name="Просмотренная гиперссылка" xfId="1308" builtinId="9" hidden="1"/>
    <cellStyle name="Просмотренная гиперссылка" xfId="1309" builtinId="9" hidden="1"/>
    <cellStyle name="Просмотренная гиперссылка" xfId="1310" builtinId="9" hidden="1"/>
    <cellStyle name="Просмотренная гиперссылка" xfId="1311" builtinId="9" hidden="1"/>
    <cellStyle name="Просмотренная гиперссылка" xfId="1312" builtinId="9" hidden="1"/>
    <cellStyle name="Просмотренная гиперссылка" xfId="1313" builtinId="9" hidden="1"/>
    <cellStyle name="Просмотренная гиперссылка" xfId="1314" builtinId="9" hidden="1"/>
    <cellStyle name="Просмотренная гиперссылка" xfId="1315" builtinId="9" hidden="1"/>
    <cellStyle name="Просмотренная гиперссылка" xfId="1316" builtinId="9" hidden="1"/>
    <cellStyle name="Просмотренная гиперссылка" xfId="1317" builtinId="9" hidden="1"/>
    <cellStyle name="Просмотренная гиперссылка" xfId="1318" builtinId="9" hidden="1"/>
    <cellStyle name="Просмотренная гиперссылка" xfId="1319" builtinId="9" hidden="1"/>
    <cellStyle name="Просмотренная гиперссылка" xfId="1320" builtinId="9" hidden="1"/>
    <cellStyle name="Просмотренная гиперссылка" xfId="1321" builtinId="9" hidden="1"/>
    <cellStyle name="Просмотренная гиперссылка" xfId="1322" builtinId="9" hidden="1"/>
    <cellStyle name="Просмотренная гиперссылка" xfId="1323" builtinId="9" hidden="1"/>
    <cellStyle name="Просмотренная гиперссылка" xfId="1324" builtinId="9" hidden="1"/>
    <cellStyle name="Просмотренная гиперссылка" xfId="1325" builtinId="9" hidden="1"/>
    <cellStyle name="Просмотренная гиперссылка" xfId="1326" builtinId="9" hidden="1"/>
    <cellStyle name="Просмотренная гиперссылка" xfId="1327" builtinId="9" hidden="1"/>
    <cellStyle name="Просмотренная гиперссылка" xfId="1328" builtinId="9" hidden="1"/>
    <cellStyle name="Просмотренная гиперссылка" xfId="1329" builtinId="9" hidden="1"/>
    <cellStyle name="Просмотренная гиперссылка" xfId="1330" builtinId="9" hidden="1"/>
    <cellStyle name="Просмотренная гиперссылка" xfId="1331" builtinId="9" hidden="1"/>
    <cellStyle name="Просмотренная гиперссылка" xfId="1332" builtinId="9" hidden="1"/>
    <cellStyle name="Просмотренная гиперссылка" xfId="1333" builtinId="9" hidden="1"/>
    <cellStyle name="Просмотренная гиперссылка" xfId="1334" builtinId="9" hidden="1"/>
    <cellStyle name="Просмотренная гиперссылка" xfId="1335" builtinId="9" hidden="1"/>
    <cellStyle name="Просмотренная гиперссылка" xfId="1336" builtinId="9" hidden="1"/>
    <cellStyle name="Просмотренная гиперссылка" xfId="1337" builtinId="9" hidden="1"/>
    <cellStyle name="Просмотренная гиперссылка" xfId="1338" builtinId="9" hidden="1"/>
    <cellStyle name="Просмотренная гиперссылка" xfId="1339" builtinId="9" hidden="1"/>
    <cellStyle name="Просмотренная гиперссылка" xfId="1340" builtinId="9" hidden="1"/>
    <cellStyle name="Просмотренная гиперссылка" xfId="1341" builtinId="9" hidden="1"/>
    <cellStyle name="Просмотренная гиперссылка" xfId="1342" builtinId="9" hidden="1"/>
    <cellStyle name="Просмотренная гиперссылка" xfId="1343" builtinId="9" hidden="1"/>
    <cellStyle name="Просмотренная гиперссылка" xfId="1344" builtinId="9" hidden="1"/>
    <cellStyle name="Просмотренная гиперссылка" xfId="1345" builtinId="9" hidden="1"/>
    <cellStyle name="Просмотренная гиперссылка" xfId="1346" builtinId="9" hidden="1"/>
    <cellStyle name="Просмотренная гиперссылка" xfId="1347" builtinId="9" hidden="1"/>
    <cellStyle name="Просмотренная гиперссылка" xfId="1348" builtinId="9" hidden="1"/>
    <cellStyle name="Просмотренная гиперссылка" xfId="1349" builtinId="9" hidden="1"/>
    <cellStyle name="Просмотренная гиперссылка" xfId="1350" builtinId="9" hidden="1"/>
    <cellStyle name="Просмотренная гиперссылка" xfId="1351" builtinId="9" hidden="1"/>
    <cellStyle name="Просмотренная гиперссылка" xfId="1411" builtinId="9" hidden="1"/>
    <cellStyle name="Просмотренная гиперссылка" xfId="1412" builtinId="9" hidden="1"/>
    <cellStyle name="Просмотренная гиперссылка" xfId="1413" builtinId="9" hidden="1"/>
    <cellStyle name="Просмотренная гиперссылка" xfId="1414" builtinId="9" hidden="1"/>
    <cellStyle name="Просмотренная гиперссылка" xfId="1415" builtinId="9" hidden="1"/>
    <cellStyle name="Процентный" xfId="34" builtinId="5"/>
    <cellStyle name="Процентный 2" xfId="179"/>
    <cellStyle name="Процентный 3" xfId="1246"/>
    <cellStyle name="Финансовый 2" xfId="180"/>
    <cellStyle name="Финансовый 3" xfId="181"/>
    <cellStyle name="Финансовый 4" xfId="1245"/>
    <cellStyle name="Финансовый 5" xfId="1354"/>
    <cellStyle name="Accent1 2" xfId="182"/>
    <cellStyle name="Accent1 3" xfId="183"/>
    <cellStyle name="Accent2 2" xfId="184"/>
    <cellStyle name="Accent2 3" xfId="185"/>
    <cellStyle name="Accent3 2" xfId="186"/>
    <cellStyle name="Accent3 3" xfId="187"/>
    <cellStyle name="Accent4 2" xfId="188"/>
    <cellStyle name="Accent4 3" xfId="189"/>
    <cellStyle name="Accent5 2" xfId="190"/>
    <cellStyle name="Accent5 3" xfId="191"/>
    <cellStyle name="Accent6 2" xfId="192"/>
    <cellStyle name="Accent6 3" xfId="193"/>
    <cellStyle name="AFE" xfId="194"/>
    <cellStyle name="Bad 2" xfId="195"/>
    <cellStyle name="Bad 3" xfId="196"/>
    <cellStyle name="Balance Sheet" xfId="197"/>
    <cellStyle name="BalanceSheet" xfId="198"/>
    <cellStyle name="Besuchter Hyperlink" xfId="1376"/>
    <cellStyle name="Calc Currency (0)" xfId="199"/>
    <cellStyle name="Calc Currency (0) 2" xfId="200"/>
    <cellStyle name="Calc Currency (0) 2 2" xfId="201"/>
    <cellStyle name="Calc Currency (0) 2 2 2" xfId="202"/>
    <cellStyle name="Calc Currency (0) 2 3" xfId="203"/>
    <cellStyle name="Calc Currency (0) 3" xfId="204"/>
    <cellStyle name="Calc Currency (0) 3 2" xfId="205"/>
    <cellStyle name="Calc Currency (0) 3 2 2" xfId="206"/>
    <cellStyle name="Calc Currency (0) 3 3" xfId="207"/>
    <cellStyle name="Calc Currency (0) 4" xfId="208"/>
    <cellStyle name="Calc Currency (0) 4 2" xfId="209"/>
    <cellStyle name="Calc Currency (0) 5" xfId="210"/>
    <cellStyle name="Calc Currency (0) 5 2" xfId="211"/>
    <cellStyle name="Calc Currency (0) 6" xfId="212"/>
    <cellStyle name="Calc Currency (0) 6 2" xfId="213"/>
    <cellStyle name="Calc Currency (0) 7" xfId="214"/>
    <cellStyle name="Calc Currency (0) 7 2" xfId="215"/>
    <cellStyle name="Calc Currency (0) 8" xfId="216"/>
    <cellStyle name="Calc Currency (0) 8 2" xfId="217"/>
    <cellStyle name="Calc Currency (2)" xfId="218"/>
    <cellStyle name="Calc Currency (2) 2" xfId="219"/>
    <cellStyle name="Calc Currency (2) 3" xfId="220"/>
    <cellStyle name="Calc Currency (2) 3 2" xfId="221"/>
    <cellStyle name="Calc Percent (0)" xfId="222"/>
    <cellStyle name="Calc Percent (0) 2" xfId="223"/>
    <cellStyle name="Calc Percent (0) 3" xfId="224"/>
    <cellStyle name="Calc Percent (0) 3 2" xfId="225"/>
    <cellStyle name="Calc Percent (1)" xfId="226"/>
    <cellStyle name="Calc Percent (1) 2" xfId="227"/>
    <cellStyle name="Calc Percent (1) 3" xfId="228"/>
    <cellStyle name="Calc Percent (1) 3 2" xfId="229"/>
    <cellStyle name="Calc Percent (2)" xfId="230"/>
    <cellStyle name="Calc Percent (2) 2" xfId="231"/>
    <cellStyle name="Calc Percent (2) 3" xfId="232"/>
    <cellStyle name="Calc Percent (2) 3 2" xfId="233"/>
    <cellStyle name="Calc Units (0)" xfId="234"/>
    <cellStyle name="Calc Units (0) 2" xfId="235"/>
    <cellStyle name="Calc Units (0) 3" xfId="236"/>
    <cellStyle name="Calc Units (0) 3 2" xfId="237"/>
    <cellStyle name="Calc Units (1)" xfId="238"/>
    <cellStyle name="Calc Units (1) 2" xfId="239"/>
    <cellStyle name="Calc Units (1) 3" xfId="240"/>
    <cellStyle name="Calc Units (1) 3 2" xfId="241"/>
    <cellStyle name="Calc Units (2)" xfId="242"/>
    <cellStyle name="Calc Units (2) 2" xfId="243"/>
    <cellStyle name="Calc Units (2) 3" xfId="244"/>
    <cellStyle name="Calc Units (2) 3 2" xfId="245"/>
    <cellStyle name="Calculation 2" xfId="246"/>
    <cellStyle name="Calculation 3" xfId="247"/>
    <cellStyle name="CashFlow" xfId="248"/>
    <cellStyle name="Check Cell 2" xfId="249"/>
    <cellStyle name="Check Cell 3" xfId="250"/>
    <cellStyle name="Comma  - Style1" xfId="251"/>
    <cellStyle name="Comma [00]" xfId="252"/>
    <cellStyle name="Comma [00] 2" xfId="253"/>
    <cellStyle name="Comma [00] 3" xfId="254"/>
    <cellStyle name="Comma [00] 3 2" xfId="255"/>
    <cellStyle name="Comma 10" xfId="256"/>
    <cellStyle name="Comma 10 2" xfId="257"/>
    <cellStyle name="Comma 10 3" xfId="258"/>
    <cellStyle name="Comma 11" xfId="259"/>
    <cellStyle name="Comma 11 2" xfId="260"/>
    <cellStyle name="Comma 11 2 2" xfId="261"/>
    <cellStyle name="Comma 11 2 3" xfId="262"/>
    <cellStyle name="Comma 11 3" xfId="263"/>
    <cellStyle name="Comma 11 3 2" xfId="264"/>
    <cellStyle name="Comma 11 3 3" xfId="265"/>
    <cellStyle name="Comma 12" xfId="266"/>
    <cellStyle name="Comma 12 2" xfId="267"/>
    <cellStyle name="Comma 12 3" xfId="268"/>
    <cellStyle name="Comma 13" xfId="269"/>
    <cellStyle name="Comma 13 2" xfId="270"/>
    <cellStyle name="Comma 13 2 2" xfId="271"/>
    <cellStyle name="Comma 13 2 3" xfId="272"/>
    <cellStyle name="Comma 13 3" xfId="273"/>
    <cellStyle name="Comma 14" xfId="274"/>
    <cellStyle name="Comma 14 2" xfId="275"/>
    <cellStyle name="Comma 14 3" xfId="276"/>
    <cellStyle name="Comma 15" xfId="277"/>
    <cellStyle name="Comma 16" xfId="278"/>
    <cellStyle name="Comma 17" xfId="279"/>
    <cellStyle name="Comma 18" xfId="280"/>
    <cellStyle name="Comma 19" xfId="281"/>
    <cellStyle name="Comma 2" xfId="282"/>
    <cellStyle name="Comma 2 2" xfId="283"/>
    <cellStyle name="Comma 2 2 2" xfId="284"/>
    <cellStyle name="Comma 2 2 3" xfId="285"/>
    <cellStyle name="Comma 2 2 3 2" xfId="286"/>
    <cellStyle name="Comma 2 2 3 2 2" xfId="287"/>
    <cellStyle name="Comma 2 2 3 3" xfId="288"/>
    <cellStyle name="Comma 2 2 3 4" xfId="289"/>
    <cellStyle name="Comma 2 3" xfId="290"/>
    <cellStyle name="Comma 2 4" xfId="291"/>
    <cellStyle name="Comma 2 5" xfId="292"/>
    <cellStyle name="Comma 2 5 2" xfId="293"/>
    <cellStyle name="Comma 2 6" xfId="294"/>
    <cellStyle name="Comma 2 7" xfId="295"/>
    <cellStyle name="Comma 20" xfId="296"/>
    <cellStyle name="Comma 21" xfId="297"/>
    <cellStyle name="Comma 22" xfId="298"/>
    <cellStyle name="Comma 23" xfId="299"/>
    <cellStyle name="Comma 24" xfId="300"/>
    <cellStyle name="Comma 25" xfId="301"/>
    <cellStyle name="Comma 26" xfId="302"/>
    <cellStyle name="Comma 27" xfId="303"/>
    <cellStyle name="Comma 28" xfId="304"/>
    <cellStyle name="Comma 29" xfId="305"/>
    <cellStyle name="Comma 3" xfId="306"/>
    <cellStyle name="Comma 3 2" xfId="307"/>
    <cellStyle name="Comma 3 2 2" xfId="308"/>
    <cellStyle name="Comma 3 2 3" xfId="309"/>
    <cellStyle name="Comma 3 2 4" xfId="310"/>
    <cellStyle name="Comma 3 3" xfId="311"/>
    <cellStyle name="Comma 3 3 2" xfId="312"/>
    <cellStyle name="Comma 3 3 3" xfId="313"/>
    <cellStyle name="Comma 3 4" xfId="314"/>
    <cellStyle name="Comma 30" xfId="315"/>
    <cellStyle name="Comma 31" xfId="316"/>
    <cellStyle name="Comma 32" xfId="317"/>
    <cellStyle name="Comma 33" xfId="318"/>
    <cellStyle name="Comma 34" xfId="319"/>
    <cellStyle name="Comma 35" xfId="320"/>
    <cellStyle name="Comma 36" xfId="321"/>
    <cellStyle name="Comma 37" xfId="322"/>
    <cellStyle name="Comma 38" xfId="323"/>
    <cellStyle name="Comma 39" xfId="324"/>
    <cellStyle name="Comma 4" xfId="325"/>
    <cellStyle name="Comma 4 2" xfId="326"/>
    <cellStyle name="Comma 4 2 2" xfId="327"/>
    <cellStyle name="Comma 4 2 3" xfId="328"/>
    <cellStyle name="Comma 4 3" xfId="329"/>
    <cellStyle name="Comma 4 3 2" xfId="330"/>
    <cellStyle name="Comma 4 3 3" xfId="331"/>
    <cellStyle name="Comma 4 4" xfId="332"/>
    <cellStyle name="Comma 40" xfId="333"/>
    <cellStyle name="Comma 41" xfId="334"/>
    <cellStyle name="Comma 42" xfId="335"/>
    <cellStyle name="Comma 43" xfId="336"/>
    <cellStyle name="Comma 44" xfId="337"/>
    <cellStyle name="Comma 45" xfId="338"/>
    <cellStyle name="Comma 46" xfId="339"/>
    <cellStyle name="Comma 47" xfId="340"/>
    <cellStyle name="Comma 48" xfId="341"/>
    <cellStyle name="Comma 49" xfId="342"/>
    <cellStyle name="Comma 5" xfId="343"/>
    <cellStyle name="Comma 5 2" xfId="344"/>
    <cellStyle name="Comma 5 3" xfId="345"/>
    <cellStyle name="Comma 50" xfId="346"/>
    <cellStyle name="Comma 51" xfId="347"/>
    <cellStyle name="Comma 52" xfId="348"/>
    <cellStyle name="Comma 53" xfId="349"/>
    <cellStyle name="Comma 54" xfId="350"/>
    <cellStyle name="Comma 55" xfId="351"/>
    <cellStyle name="Comma 56" xfId="352"/>
    <cellStyle name="Comma 57" xfId="353"/>
    <cellStyle name="Comma 58" xfId="354"/>
    <cellStyle name="Comma 59" xfId="355"/>
    <cellStyle name="Comma 6" xfId="356"/>
    <cellStyle name="Comma 6 2" xfId="357"/>
    <cellStyle name="Comma 6 3" xfId="358"/>
    <cellStyle name="Comma 60" xfId="359"/>
    <cellStyle name="Comma 61" xfId="360"/>
    <cellStyle name="Comma 62" xfId="361"/>
    <cellStyle name="Comma 63" xfId="362"/>
    <cellStyle name="Comma 64" xfId="363"/>
    <cellStyle name="Comma 65" xfId="364"/>
    <cellStyle name="Comma 66" xfId="365"/>
    <cellStyle name="Comma 67" xfId="366"/>
    <cellStyle name="Comma 68" xfId="367"/>
    <cellStyle name="Comma 69" xfId="368"/>
    <cellStyle name="Comma 7" xfId="369"/>
    <cellStyle name="Comma 7 2" xfId="370"/>
    <cellStyle name="Comma 7 3" xfId="371"/>
    <cellStyle name="Comma 70" xfId="372"/>
    <cellStyle name="Comma 71" xfId="373"/>
    <cellStyle name="Comma 72" xfId="374"/>
    <cellStyle name="Comma 73" xfId="375"/>
    <cellStyle name="Comma 74" xfId="376"/>
    <cellStyle name="Comma 75" xfId="377"/>
    <cellStyle name="Comma 76" xfId="378"/>
    <cellStyle name="Comma 77" xfId="379"/>
    <cellStyle name="Comma 78" xfId="380"/>
    <cellStyle name="Comma 79" xfId="381"/>
    <cellStyle name="Comma 8" xfId="382"/>
    <cellStyle name="Comma 8 2" xfId="383"/>
    <cellStyle name="Comma 8 2 2" xfId="384"/>
    <cellStyle name="Comma 8 2 3" xfId="385"/>
    <cellStyle name="Comma 8 3" xfId="386"/>
    <cellStyle name="Comma 8 3 2" xfId="387"/>
    <cellStyle name="Comma 8 3 3" xfId="388"/>
    <cellStyle name="Comma 80" xfId="389"/>
    <cellStyle name="Comma 81" xfId="390"/>
    <cellStyle name="Comma 82" xfId="391"/>
    <cellStyle name="Comma 83" xfId="392"/>
    <cellStyle name="Comma 84" xfId="393"/>
    <cellStyle name="Comma 85" xfId="394"/>
    <cellStyle name="Comma 9" xfId="395"/>
    <cellStyle name="Comma 9 2" xfId="396"/>
    <cellStyle name="Comma 9 2 2" xfId="397"/>
    <cellStyle name="Comma 9 2 3" xfId="398"/>
    <cellStyle name="Comma 9 3" xfId="399"/>
    <cellStyle name="Comma 9 3 2" xfId="400"/>
    <cellStyle name="Comma 9 3 3" xfId="401"/>
    <cellStyle name="Comma_forecast Q4 cout de restructuring CT  LT" xfId="1377"/>
    <cellStyle name="Commentaire 2" xfId="1378"/>
    <cellStyle name="Commentaire 2 2" xfId="1379"/>
    <cellStyle name="Copied" xfId="402"/>
    <cellStyle name="Curren - Style3" xfId="403"/>
    <cellStyle name="Curren - Style4" xfId="404"/>
    <cellStyle name="Currency [00]" xfId="405"/>
    <cellStyle name="Currency [00] 2" xfId="406"/>
    <cellStyle name="Currency [00] 3" xfId="407"/>
    <cellStyle name="Currency [00] 3 2" xfId="408"/>
    <cellStyle name="Currency 10" xfId="409"/>
    <cellStyle name="Currency 11" xfId="410"/>
    <cellStyle name="Currency 12" xfId="411"/>
    <cellStyle name="Currency 13" xfId="412"/>
    <cellStyle name="Currency 14" xfId="413"/>
    <cellStyle name="Currency 15" xfId="414"/>
    <cellStyle name="Currency 16" xfId="415"/>
    <cellStyle name="Currency 17" xfId="416"/>
    <cellStyle name="Currency 18" xfId="417"/>
    <cellStyle name="Currency 19" xfId="418"/>
    <cellStyle name="Currency 2" xfId="419"/>
    <cellStyle name="Currency 2 2" xfId="420"/>
    <cellStyle name="Currency 2 3" xfId="421"/>
    <cellStyle name="Currency 2 3 2" xfId="422"/>
    <cellStyle name="Currency 2 3 3" xfId="423"/>
    <cellStyle name="Currency 2 4" xfId="424"/>
    <cellStyle name="Currency 2 4 2" xfId="425"/>
    <cellStyle name="Currency 2 4 3" xfId="426"/>
    <cellStyle name="Currency 20" xfId="427"/>
    <cellStyle name="Currency 21" xfId="428"/>
    <cellStyle name="Currency 22" xfId="429"/>
    <cellStyle name="Currency 23" xfId="430"/>
    <cellStyle name="Currency 24" xfId="431"/>
    <cellStyle name="Currency 25" xfId="432"/>
    <cellStyle name="Currency 26" xfId="433"/>
    <cellStyle name="Currency 27" xfId="434"/>
    <cellStyle name="Currency 28" xfId="435"/>
    <cellStyle name="Currency 29" xfId="436"/>
    <cellStyle name="Currency 3" xfId="437"/>
    <cellStyle name="Currency 3 2" xfId="438"/>
    <cellStyle name="Currency 30" xfId="439"/>
    <cellStyle name="Currency 31" xfId="440"/>
    <cellStyle name="Currency 32" xfId="441"/>
    <cellStyle name="Currency 33" xfId="442"/>
    <cellStyle name="Currency 34" xfId="443"/>
    <cellStyle name="Currency 35" xfId="444"/>
    <cellStyle name="Currency 36" xfId="445"/>
    <cellStyle name="Currency 37" xfId="446"/>
    <cellStyle name="Currency 38" xfId="447"/>
    <cellStyle name="Currency 39" xfId="448"/>
    <cellStyle name="Currency 4" xfId="449"/>
    <cellStyle name="Currency 4 2" xfId="450"/>
    <cellStyle name="Currency 4 2 2" xfId="451"/>
    <cellStyle name="Currency 4 2 3" xfId="452"/>
    <cellStyle name="Currency 4 3" xfId="453"/>
    <cellStyle name="Currency 4 3 2" xfId="454"/>
    <cellStyle name="Currency 4 3 3" xfId="455"/>
    <cellStyle name="Currency 40" xfId="456"/>
    <cellStyle name="Currency 41" xfId="457"/>
    <cellStyle name="Currency 42" xfId="458"/>
    <cellStyle name="Currency 43" xfId="459"/>
    <cellStyle name="Currency 44" xfId="460"/>
    <cellStyle name="Currency 45" xfId="461"/>
    <cellStyle name="Currency 46" xfId="462"/>
    <cellStyle name="Currency 47" xfId="463"/>
    <cellStyle name="Currency 48" xfId="464"/>
    <cellStyle name="Currency 49" xfId="465"/>
    <cellStyle name="Currency 5" xfId="466"/>
    <cellStyle name="Currency 50" xfId="467"/>
    <cellStyle name="Currency 51" xfId="468"/>
    <cellStyle name="Currency 52" xfId="469"/>
    <cellStyle name="Currency 53" xfId="470"/>
    <cellStyle name="Currency 54" xfId="471"/>
    <cellStyle name="Currency 55" xfId="472"/>
    <cellStyle name="Currency 56" xfId="473"/>
    <cellStyle name="Currency 57" xfId="474"/>
    <cellStyle name="Currency 58" xfId="475"/>
    <cellStyle name="Currency 59" xfId="476"/>
    <cellStyle name="Currency 6" xfId="477"/>
    <cellStyle name="Currency 60" xfId="478"/>
    <cellStyle name="Currency 61" xfId="479"/>
    <cellStyle name="Currency 62" xfId="480"/>
    <cellStyle name="Currency 63" xfId="481"/>
    <cellStyle name="Currency 64" xfId="482"/>
    <cellStyle name="Currency 65" xfId="483"/>
    <cellStyle name="Currency 66" xfId="484"/>
    <cellStyle name="Currency 67" xfId="485"/>
    <cellStyle name="Currency 68" xfId="486"/>
    <cellStyle name="Currency 69" xfId="487"/>
    <cellStyle name="Currency 7" xfId="488"/>
    <cellStyle name="Currency 70" xfId="489"/>
    <cellStyle name="Currency 71" xfId="490"/>
    <cellStyle name="Currency 72" xfId="491"/>
    <cellStyle name="Currency 73" xfId="492"/>
    <cellStyle name="Currency 74" xfId="493"/>
    <cellStyle name="Currency 75" xfId="494"/>
    <cellStyle name="Currency 76" xfId="495"/>
    <cellStyle name="Currency 77" xfId="496"/>
    <cellStyle name="Currency 78" xfId="497"/>
    <cellStyle name="Currency 79" xfId="498"/>
    <cellStyle name="Currency 8" xfId="499"/>
    <cellStyle name="Currency 9" xfId="500"/>
    <cellStyle name="Date Short" xfId="501"/>
    <cellStyle name="Dates" xfId="502"/>
    <cellStyle name="DateYear" xfId="503"/>
    <cellStyle name="Dezimal [0]_Abbreviations" xfId="1380"/>
    <cellStyle name="Dezimal_Abbreviations" xfId="1381"/>
    <cellStyle name="Dollar" xfId="504"/>
    <cellStyle name="Dollars" xfId="505"/>
    <cellStyle name="EA.com Performance Report" xfId="506"/>
    <cellStyle name="EA.com Performance Report 2" xfId="507"/>
    <cellStyle name="Enter Currency (0)" xfId="508"/>
    <cellStyle name="Enter Currency (0) 2" xfId="509"/>
    <cellStyle name="Enter Currency (0) 3" xfId="510"/>
    <cellStyle name="Enter Currency (0) 3 2" xfId="511"/>
    <cellStyle name="Enter Currency (2)" xfId="512"/>
    <cellStyle name="Enter Currency (2) 2" xfId="513"/>
    <cellStyle name="Enter Currency (2) 3" xfId="514"/>
    <cellStyle name="Enter Currency (2) 3 2" xfId="515"/>
    <cellStyle name="Enter Units (0)" xfId="516"/>
    <cellStyle name="Enter Units (0) 2" xfId="517"/>
    <cellStyle name="Enter Units (0) 3" xfId="518"/>
    <cellStyle name="Enter Units (0) 3 2" xfId="519"/>
    <cellStyle name="Enter Units (1)" xfId="520"/>
    <cellStyle name="Enter Units (1) 2" xfId="521"/>
    <cellStyle name="Enter Units (1) 3" xfId="522"/>
    <cellStyle name="Enter Units (1) 3 2" xfId="523"/>
    <cellStyle name="Enter Units (2)" xfId="524"/>
    <cellStyle name="Enter Units (2) 2" xfId="525"/>
    <cellStyle name="Enter Units (2) 3" xfId="526"/>
    <cellStyle name="Enter Units (2) 3 2" xfId="527"/>
    <cellStyle name="Entered" xfId="528"/>
    <cellStyle name="EPS" xfId="529"/>
    <cellStyle name="EPSActual" xfId="530"/>
    <cellStyle name="EPSActual 2" xfId="531"/>
    <cellStyle name="EPSEstimate" xfId="532"/>
    <cellStyle name="EPSEstimate 2" xfId="533"/>
    <cellStyle name="Euro" xfId="534"/>
    <cellStyle name="Euro 2" xfId="535"/>
    <cellStyle name="Euro 2 2" xfId="536"/>
    <cellStyle name="Euro 2 2 2" xfId="537"/>
    <cellStyle name="Euro 2 2 3" xfId="538"/>
    <cellStyle name="Euro 2 3" xfId="539"/>
    <cellStyle name="Euro 2 3 2" xfId="540"/>
    <cellStyle name="Euro 2 3 3" xfId="541"/>
    <cellStyle name="Euro 3" xfId="542"/>
    <cellStyle name="Euro 4" xfId="543"/>
    <cellStyle name="Explanatory Text 2" xfId="544"/>
    <cellStyle name="Explanatory Text 3" xfId="545"/>
    <cellStyle name="General" xfId="546"/>
    <cellStyle name="Good 2" xfId="547"/>
    <cellStyle name="Good 3" xfId="548"/>
    <cellStyle name="Grey" xfId="549"/>
    <cellStyle name="GrowthRate" xfId="550"/>
    <cellStyle name="GrowthSeq" xfId="551"/>
    <cellStyle name="Header1" xfId="552"/>
    <cellStyle name="Header2" xfId="553"/>
    <cellStyle name="Heading" xfId="554"/>
    <cellStyle name="Heading 1 2" xfId="555"/>
    <cellStyle name="Heading 1 3" xfId="556"/>
    <cellStyle name="Heading 2 2" xfId="557"/>
    <cellStyle name="Heading 2 3" xfId="558"/>
    <cellStyle name="Heading 3 2" xfId="559"/>
    <cellStyle name="Heading 3 3" xfId="560"/>
    <cellStyle name="Heading 4 2" xfId="561"/>
    <cellStyle name="Heading 4 3" xfId="562"/>
    <cellStyle name="Heading 5" xfId="563"/>
    <cellStyle name="Heading 6" xfId="564"/>
    <cellStyle name="Hyperlink 2" xfId="565"/>
    <cellStyle name="IncomeStatement" xfId="566"/>
    <cellStyle name="Input [yellow]" xfId="567"/>
    <cellStyle name="Input 2" xfId="568"/>
    <cellStyle name="Input 3" xfId="569"/>
    <cellStyle name="Input 4" xfId="570"/>
    <cellStyle name="Input 5" xfId="571"/>
    <cellStyle name="Input 6" xfId="572"/>
    <cellStyle name="kirmish" xfId="573"/>
    <cellStyle name="kirmish 2" xfId="574"/>
    <cellStyle name="kirmish 3" xfId="575"/>
    <cellStyle name="kirmish 3 2" xfId="576"/>
    <cellStyle name="KPMG Heading 1" xfId="1382"/>
    <cellStyle name="KPMG Heading 1 2" xfId="1383"/>
    <cellStyle name="KPMG Heading 2" xfId="1384"/>
    <cellStyle name="KPMG Heading 2 2" xfId="1385"/>
    <cellStyle name="KPMG Heading 3" xfId="1386"/>
    <cellStyle name="KPMG Heading 3 2" xfId="1387"/>
    <cellStyle name="KPMG Heading 4" xfId="1388"/>
    <cellStyle name="KPMG Heading 4 2" xfId="1389"/>
    <cellStyle name="KPMG Normal" xfId="1390"/>
    <cellStyle name="KPMG Normal Text" xfId="1391"/>
    <cellStyle name="Link Currency (0)" xfId="577"/>
    <cellStyle name="Link Currency (0) 2" xfId="578"/>
    <cellStyle name="Link Currency (0) 3" xfId="579"/>
    <cellStyle name="Link Currency (0) 3 2" xfId="580"/>
    <cellStyle name="Link Currency (2)" xfId="581"/>
    <cellStyle name="Link Currency (2) 2" xfId="582"/>
    <cellStyle name="Link Currency (2) 3" xfId="583"/>
    <cellStyle name="Link Currency (2) 3 2" xfId="584"/>
    <cellStyle name="Link Units (0)" xfId="585"/>
    <cellStyle name="Link Units (0) 2" xfId="586"/>
    <cellStyle name="Link Units (0) 3" xfId="587"/>
    <cellStyle name="Link Units (0) 3 2" xfId="588"/>
    <cellStyle name="Link Units (1)" xfId="589"/>
    <cellStyle name="Link Units (1) 2" xfId="590"/>
    <cellStyle name="Link Units (1) 3" xfId="591"/>
    <cellStyle name="Link Units (1) 3 2" xfId="592"/>
    <cellStyle name="Link Units (2)" xfId="593"/>
    <cellStyle name="Link Units (2) 2" xfId="594"/>
    <cellStyle name="Link Units (2) 3" xfId="595"/>
    <cellStyle name="Link Units (2) 3 2" xfId="596"/>
    <cellStyle name="Linked Cell 2" xfId="597"/>
    <cellStyle name="Linked Cell 3" xfId="598"/>
    <cellStyle name="Margin" xfId="599"/>
    <cellStyle name="Margins" xfId="600"/>
    <cellStyle name="Microsoft Excel found an error in the formula you entered. Do you want to accept the correction proposed below?_x000a__x000a_|_x000a__x000a_• To accept the correction, click Yes._x000a_• To close this message and correct the formula yourself, click No." xfId="1353"/>
    <cellStyle name="Milliers [0]_AR1194" xfId="601"/>
    <cellStyle name="Milliers_AR1194" xfId="602"/>
    <cellStyle name="Monétaire [0]_AR1194" xfId="603"/>
    <cellStyle name="Monétaire 2" xfId="1392"/>
    <cellStyle name="Monétaire_AR1194" xfId="604"/>
    <cellStyle name="Multiple" xfId="605"/>
    <cellStyle name="Neutral 2" xfId="606"/>
    <cellStyle name="Neutral 3" xfId="607"/>
    <cellStyle name="Non défini" xfId="1393"/>
    <cellStyle name="Normal - Style1" xfId="608"/>
    <cellStyle name="Normal - Style1 2" xfId="609"/>
    <cellStyle name="Normal - Style1 2 2" xfId="610"/>
    <cellStyle name="Normal - Style1 3" xfId="611"/>
    <cellStyle name="Normal - Style5" xfId="612"/>
    <cellStyle name="Normal 10" xfId="613"/>
    <cellStyle name="Normal 10 2" xfId="614"/>
    <cellStyle name="Normal 10 2 2" xfId="615"/>
    <cellStyle name="Normal 10 2 2 2" xfId="616"/>
    <cellStyle name="Normal 10 2 2 2 2" xfId="617"/>
    <cellStyle name="Normal 10 2 2 3" xfId="618"/>
    <cellStyle name="Normal 10 2 2 4" xfId="619"/>
    <cellStyle name="Normal 10 2 3" xfId="620"/>
    <cellStyle name="Normal 10 2 3 2" xfId="621"/>
    <cellStyle name="Normal 10 2 4" xfId="622"/>
    <cellStyle name="Normal 10 2 5" xfId="623"/>
    <cellStyle name="Normal 10 3" xfId="624"/>
    <cellStyle name="Normal 10 3 2" xfId="625"/>
    <cellStyle name="Normal 10 4" xfId="626"/>
    <cellStyle name="Normal 10 5" xfId="627"/>
    <cellStyle name="Normal 11" xfId="628"/>
    <cellStyle name="Normal 11 10" xfId="629"/>
    <cellStyle name="Normal 11 11" xfId="630"/>
    <cellStyle name="Normal 11 12" xfId="631"/>
    <cellStyle name="Normal 11 13" xfId="632"/>
    <cellStyle name="Normal 11 14" xfId="633"/>
    <cellStyle name="Normal 11 15" xfId="634"/>
    <cellStyle name="Normal 11 16" xfId="635"/>
    <cellStyle name="Normal 11 17" xfId="636"/>
    <cellStyle name="Normal 11 18" xfId="637"/>
    <cellStyle name="Normal 11 2" xfId="638"/>
    <cellStyle name="Normal 11 2 2" xfId="639"/>
    <cellStyle name="Normal 11 2 3" xfId="640"/>
    <cellStyle name="Normal 11 3" xfId="641"/>
    <cellStyle name="Normal 11 4" xfId="642"/>
    <cellStyle name="Normal 11 4 2" xfId="643"/>
    <cellStyle name="Normal 11 5" xfId="644"/>
    <cellStyle name="Normal 11 6" xfId="645"/>
    <cellStyle name="Normal 11 7" xfId="646"/>
    <cellStyle name="Normal 11 8" xfId="647"/>
    <cellStyle name="Normal 11 9" xfId="648"/>
    <cellStyle name="Normal 117 10" xfId="649"/>
    <cellStyle name="Normal 117 11" xfId="650"/>
    <cellStyle name="Normal 117 12" xfId="651"/>
    <cellStyle name="Normal 117 13" xfId="652"/>
    <cellStyle name="Normal 117 14" xfId="653"/>
    <cellStyle name="Normal 117 15" xfId="654"/>
    <cellStyle name="Normal 117 16" xfId="655"/>
    <cellStyle name="Normal 117 17" xfId="656"/>
    <cellStyle name="Normal 117 2" xfId="657"/>
    <cellStyle name="Normal 117 3" xfId="658"/>
    <cellStyle name="Normal 117 4" xfId="659"/>
    <cellStyle name="Normal 117 5" xfId="660"/>
    <cellStyle name="Normal 117 6" xfId="661"/>
    <cellStyle name="Normal 117 7" xfId="662"/>
    <cellStyle name="Normal 117 8" xfId="663"/>
    <cellStyle name="Normal 117 9" xfId="664"/>
    <cellStyle name="Normal 12" xfId="665"/>
    <cellStyle name="Normal 12 2" xfId="666"/>
    <cellStyle name="Normal 12 2 2" xfId="667"/>
    <cellStyle name="Normal 12 3" xfId="668"/>
    <cellStyle name="Normal 12 4" xfId="669"/>
    <cellStyle name="Normal 12 5" xfId="670"/>
    <cellStyle name="Normal 121 10" xfId="671"/>
    <cellStyle name="Normal 121 11" xfId="672"/>
    <cellStyle name="Normal 121 12" xfId="673"/>
    <cellStyle name="Normal 121 13" xfId="674"/>
    <cellStyle name="Normal 121 14" xfId="675"/>
    <cellStyle name="Normal 121 15" xfId="676"/>
    <cellStyle name="Normal 121 16" xfId="677"/>
    <cellStyle name="Normal 121 17" xfId="678"/>
    <cellStyle name="Normal 121 2" xfId="679"/>
    <cellStyle name="Normal 121 3" xfId="680"/>
    <cellStyle name="Normal 121 4" xfId="681"/>
    <cellStyle name="Normal 121 5" xfId="682"/>
    <cellStyle name="Normal 121 6" xfId="683"/>
    <cellStyle name="Normal 121 7" xfId="684"/>
    <cellStyle name="Normal 121 8" xfId="685"/>
    <cellStyle name="Normal 121 9" xfId="686"/>
    <cellStyle name="Normal 13" xfId="687"/>
    <cellStyle name="Normal 13 2" xfId="688"/>
    <cellStyle name="Normal 13 2 2" xfId="689"/>
    <cellStyle name="Normal 13 3" xfId="690"/>
    <cellStyle name="Normal 13 3 2" xfId="691"/>
    <cellStyle name="Normal 13 3 3" xfId="692"/>
    <cellStyle name="Normal 13 4" xfId="693"/>
    <cellStyle name="Normal 14" xfId="694"/>
    <cellStyle name="Normal 14 2" xfId="695"/>
    <cellStyle name="Normal 14 2 2" xfId="696"/>
    <cellStyle name="Normal 14 2 3" xfId="697"/>
    <cellStyle name="Normal 14 3" xfId="698"/>
    <cellStyle name="Normal 14 3 2" xfId="699"/>
    <cellStyle name="Normal 14 3 3" xfId="700"/>
    <cellStyle name="Normal 14 4" xfId="701"/>
    <cellStyle name="Normal 14 5" xfId="702"/>
    <cellStyle name="Normal 15" xfId="703"/>
    <cellStyle name="Normal 15 2" xfId="704"/>
    <cellStyle name="Normal 16" xfId="705"/>
    <cellStyle name="Normal 17" xfId="706"/>
    <cellStyle name="Normal 18" xfId="707"/>
    <cellStyle name="Normal 19" xfId="708"/>
    <cellStyle name="Normal 19 10" xfId="709"/>
    <cellStyle name="Normal 19 11" xfId="710"/>
    <cellStyle name="Normal 19 12" xfId="711"/>
    <cellStyle name="Normal 19 13" xfId="712"/>
    <cellStyle name="Normal 19 14" xfId="713"/>
    <cellStyle name="Normal 19 15" xfId="714"/>
    <cellStyle name="Normal 19 16" xfId="715"/>
    <cellStyle name="Normal 19 17" xfId="716"/>
    <cellStyle name="Normal 19 2" xfId="717"/>
    <cellStyle name="Normal 19 3" xfId="718"/>
    <cellStyle name="Normal 19 4" xfId="719"/>
    <cellStyle name="Normal 19 5" xfId="720"/>
    <cellStyle name="Normal 19 6" xfId="721"/>
    <cellStyle name="Normal 19 7" xfId="722"/>
    <cellStyle name="Normal 19 8" xfId="723"/>
    <cellStyle name="Normal 19 9" xfId="724"/>
    <cellStyle name="Normal 2" xfId="725"/>
    <cellStyle name="Normal 2 2" xfId="726"/>
    <cellStyle name="Normal 2 2 2" xfId="727"/>
    <cellStyle name="Normal 2 2 2 2" xfId="728"/>
    <cellStyle name="Normal 2 2 3" xfId="729"/>
    <cellStyle name="Normal 2 3" xfId="730"/>
    <cellStyle name="Normal 2 3 2" xfId="731"/>
    <cellStyle name="Normal 2 3 2 2" xfId="732"/>
    <cellStyle name="Normal 2 3 3" xfId="733"/>
    <cellStyle name="Normal 2 3 4" xfId="1244"/>
    <cellStyle name="Normal 2 4" xfId="734"/>
    <cellStyle name="Normal 20" xfId="735"/>
    <cellStyle name="Normal 20 2" xfId="736"/>
    <cellStyle name="Normal 21" xfId="737"/>
    <cellStyle name="Normal 21 2" xfId="738"/>
    <cellStyle name="Normal 22" xfId="739"/>
    <cellStyle name="Normal 23" xfId="740"/>
    <cellStyle name="Normal 24" xfId="741"/>
    <cellStyle name="Normal 25" xfId="742"/>
    <cellStyle name="Normal 26" xfId="743"/>
    <cellStyle name="Normal 27" xfId="744"/>
    <cellStyle name="Normal 28" xfId="745"/>
    <cellStyle name="Normal 29" xfId="746"/>
    <cellStyle name="Normal 3" xfId="747"/>
    <cellStyle name="Normal 3 2" xfId="748"/>
    <cellStyle name="Normal 3 2 2" xfId="749"/>
    <cellStyle name="Normal 3 2 2 2" xfId="750"/>
    <cellStyle name="Normal 3 2 3" xfId="751"/>
    <cellStyle name="Normal 3 3" xfId="752"/>
    <cellStyle name="Normal 3 3 2" xfId="753"/>
    <cellStyle name="Normal 3 3 2 2" xfId="754"/>
    <cellStyle name="Normal 3 3 3" xfId="755"/>
    <cellStyle name="Normal 3 3 4" xfId="756"/>
    <cellStyle name="Normal 3 3 5" xfId="757"/>
    <cellStyle name="Normal 3 4" xfId="758"/>
    <cellStyle name="Normal 3 4 11" xfId="759"/>
    <cellStyle name="Normal 3 4 2" xfId="760"/>
    <cellStyle name="Normal 3 4 2 2" xfId="761"/>
    <cellStyle name="Normal 3 4 3" xfId="762"/>
    <cellStyle name="Normal 3 4 4" xfId="763"/>
    <cellStyle name="Normal 3 5" xfId="764"/>
    <cellStyle name="Normal 3 5 2" xfId="765"/>
    <cellStyle name="Normal 3 6" xfId="766"/>
    <cellStyle name="Normal 3 7" xfId="767"/>
    <cellStyle name="Normal 30" xfId="768"/>
    <cellStyle name="Normal 31" xfId="769"/>
    <cellStyle name="Normal 32" xfId="770"/>
    <cellStyle name="Normal 32 10" xfId="771"/>
    <cellStyle name="Normal 32 11" xfId="772"/>
    <cellStyle name="Normal 32 12" xfId="773"/>
    <cellStyle name="Normal 32 13" xfId="774"/>
    <cellStyle name="Normal 32 14" xfId="775"/>
    <cellStyle name="Normal 32 15" xfId="776"/>
    <cellStyle name="Normal 32 16" xfId="777"/>
    <cellStyle name="Normal 32 17" xfId="778"/>
    <cellStyle name="Normal 32 2" xfId="779"/>
    <cellStyle name="Normal 32 3" xfId="780"/>
    <cellStyle name="Normal 32 4" xfId="781"/>
    <cellStyle name="Normal 32 5" xfId="782"/>
    <cellStyle name="Normal 32 6" xfId="783"/>
    <cellStyle name="Normal 32 7" xfId="784"/>
    <cellStyle name="Normal 32 8" xfId="785"/>
    <cellStyle name="Normal 32 9" xfId="786"/>
    <cellStyle name="Normal 33" xfId="787"/>
    <cellStyle name="Normal 33 2" xfId="788"/>
    <cellStyle name="Normal 34" xfId="789"/>
    <cellStyle name="Normal 34 10" xfId="790"/>
    <cellStyle name="Normal 34 11" xfId="791"/>
    <cellStyle name="Normal 34 12" xfId="792"/>
    <cellStyle name="Normal 34 13" xfId="793"/>
    <cellStyle name="Normal 34 14" xfId="794"/>
    <cellStyle name="Normal 34 15" xfId="795"/>
    <cellStyle name="Normal 34 16" xfId="796"/>
    <cellStyle name="Normal 34 17" xfId="797"/>
    <cellStyle name="Normal 34 2" xfId="798"/>
    <cellStyle name="Normal 34 3" xfId="799"/>
    <cellStyle name="Normal 34 4" xfId="800"/>
    <cellStyle name="Normal 34 5" xfId="801"/>
    <cellStyle name="Normal 34 6" xfId="802"/>
    <cellStyle name="Normal 34 7" xfId="803"/>
    <cellStyle name="Normal 34 8" xfId="804"/>
    <cellStyle name="Normal 34 9" xfId="805"/>
    <cellStyle name="Normal 35" xfId="806"/>
    <cellStyle name="Normal 35 2" xfId="807"/>
    <cellStyle name="Normal 36" xfId="808"/>
    <cellStyle name="Normal 36 2" xfId="809"/>
    <cellStyle name="Normal 37" xfId="810"/>
    <cellStyle name="Normal 37 2" xfId="811"/>
    <cellStyle name="Normal 38" xfId="812"/>
    <cellStyle name="Normal 38 2" xfId="813"/>
    <cellStyle name="Normal 38 3" xfId="814"/>
    <cellStyle name="Normal 39" xfId="815"/>
    <cellStyle name="Normal 4" xfId="816"/>
    <cellStyle name="Normal 4 10" xfId="817"/>
    <cellStyle name="Normal 4 11" xfId="818"/>
    <cellStyle name="Normal 4 12" xfId="819"/>
    <cellStyle name="Normal 4 13" xfId="820"/>
    <cellStyle name="Normal 4 14" xfId="821"/>
    <cellStyle name="Normal 4 15" xfId="822"/>
    <cellStyle name="Normal 4 16" xfId="823"/>
    <cellStyle name="Normal 4 17" xfId="824"/>
    <cellStyle name="Normal 4 18" xfId="825"/>
    <cellStyle name="Normal 4 2" xfId="826"/>
    <cellStyle name="Normal 4 2 2" xfId="827"/>
    <cellStyle name="Normal 4 2 2 2" xfId="828"/>
    <cellStyle name="Normal 4 2 3" xfId="829"/>
    <cellStyle name="Normal 4 2 4" xfId="830"/>
    <cellStyle name="Normal 4 2 5" xfId="831"/>
    <cellStyle name="Normal 4 2 6" xfId="832"/>
    <cellStyle name="Normal 4 3" xfId="833"/>
    <cellStyle name="Normal 4 3 2" xfId="834"/>
    <cellStyle name="Normal 4 3 3" xfId="835"/>
    <cellStyle name="Normal 4 4" xfId="836"/>
    <cellStyle name="Normal 4 5" xfId="837"/>
    <cellStyle name="Normal 4 6" xfId="838"/>
    <cellStyle name="Normal 4 7" xfId="839"/>
    <cellStyle name="Normal 4 8" xfId="840"/>
    <cellStyle name="Normal 4 9" xfId="841"/>
    <cellStyle name="Normal 40" xfId="842"/>
    <cellStyle name="Normal 40 2" xfId="843"/>
    <cellStyle name="Normal 41" xfId="844"/>
    <cellStyle name="Normal 41 2" xfId="845"/>
    <cellStyle name="Normal 42" xfId="846"/>
    <cellStyle name="Normal 43" xfId="847"/>
    <cellStyle name="Normal 44" xfId="848"/>
    <cellStyle name="Normal 45" xfId="849"/>
    <cellStyle name="Normal 46" xfId="850"/>
    <cellStyle name="Normal 47" xfId="851"/>
    <cellStyle name="Normal 5" xfId="852"/>
    <cellStyle name="Normal 5 2" xfId="853"/>
    <cellStyle name="Normal 5 3" xfId="854"/>
    <cellStyle name="Normal 5 4" xfId="855"/>
    <cellStyle name="Normal 5_Stock Option Exchange Two Pager (2-23-09)" xfId="856"/>
    <cellStyle name="Normal 6" xfId="857"/>
    <cellStyle name="Normal 6 2" xfId="858"/>
    <cellStyle name="Normal 6 2 2" xfId="859"/>
    <cellStyle name="Normal 6 2 3" xfId="860"/>
    <cellStyle name="Normal 6 2 4" xfId="861"/>
    <cellStyle name="Normal 6 3" xfId="862"/>
    <cellStyle name="Normal 6 3 2" xfId="863"/>
    <cellStyle name="Normal 6 3 3" xfId="864"/>
    <cellStyle name="Normal 6 4" xfId="865"/>
    <cellStyle name="Normal 7" xfId="866"/>
    <cellStyle name="Normal 7 2" xfId="867"/>
    <cellStyle name="Normal 7 2 2" xfId="868"/>
    <cellStyle name="Normal 7 2 3" xfId="869"/>
    <cellStyle name="Normal 7 3" xfId="870"/>
    <cellStyle name="Normal 7 3 2" xfId="871"/>
    <cellStyle name="Normal 7 3 3" xfId="872"/>
    <cellStyle name="Normal 7 4" xfId="873"/>
    <cellStyle name="Normal 8" xfId="874"/>
    <cellStyle name="Normal 8 2" xfId="875"/>
    <cellStyle name="Normal 8 2 2" xfId="876"/>
    <cellStyle name="Normal 8 2 3" xfId="877"/>
    <cellStyle name="Normal 8 3" xfId="878"/>
    <cellStyle name="Normal 8 3 2" xfId="879"/>
    <cellStyle name="Normal 8 3 3" xfId="880"/>
    <cellStyle name="Normal 8 4" xfId="881"/>
    <cellStyle name="Normal 9" xfId="882"/>
    <cellStyle name="Normal 9 10" xfId="883"/>
    <cellStyle name="Normal 9 11" xfId="884"/>
    <cellStyle name="Normal 9 12" xfId="885"/>
    <cellStyle name="Normal 9 13" xfId="886"/>
    <cellStyle name="Normal 9 14" xfId="887"/>
    <cellStyle name="Normal 9 15" xfId="888"/>
    <cellStyle name="Normal 9 16" xfId="889"/>
    <cellStyle name="Normal 9 17" xfId="890"/>
    <cellStyle name="Normal 9 18" xfId="891"/>
    <cellStyle name="Normal 9 2" xfId="892"/>
    <cellStyle name="Normal 9 2 2" xfId="893"/>
    <cellStyle name="Normal 9 2 3" xfId="894"/>
    <cellStyle name="Normal 9 3" xfId="895"/>
    <cellStyle name="Normal 9 3 2" xfId="896"/>
    <cellStyle name="Normal 9 4" xfId="897"/>
    <cellStyle name="Normal 9 4 2" xfId="898"/>
    <cellStyle name="Normal 9 5" xfId="899"/>
    <cellStyle name="Normal 9 6" xfId="900"/>
    <cellStyle name="Normal 9 7" xfId="901"/>
    <cellStyle name="Normal 9 8" xfId="902"/>
    <cellStyle name="Normal 9 9" xfId="903"/>
    <cellStyle name="Normal_Annexe 6 EN" xfId="1394"/>
    <cellStyle name="Note 2" xfId="904"/>
    <cellStyle name="Note 3" xfId="905"/>
    <cellStyle name="Note 4" xfId="906"/>
    <cellStyle name="Original L2" xfId="907"/>
    <cellStyle name="Output 2" xfId="908"/>
    <cellStyle name="Output 3" xfId="909"/>
    <cellStyle name="Output Amounts" xfId="910"/>
    <cellStyle name="Output Column Headings" xfId="911"/>
    <cellStyle name="Output Line Items" xfId="912"/>
    <cellStyle name="Output Report Heading" xfId="913"/>
    <cellStyle name="Output Report Title" xfId="914"/>
    <cellStyle name="Percent (0)" xfId="915"/>
    <cellStyle name="Percent [0]" xfId="916"/>
    <cellStyle name="Percent [0] 2" xfId="917"/>
    <cellStyle name="Percent [0] 3" xfId="918"/>
    <cellStyle name="Percent [0] 3 2" xfId="919"/>
    <cellStyle name="Percent [00]" xfId="920"/>
    <cellStyle name="Percent [00] 2" xfId="921"/>
    <cellStyle name="Percent [00] 2 2" xfId="922"/>
    <cellStyle name="Percent [00] 2 2 2" xfId="923"/>
    <cellStyle name="Percent [00] 2 3" xfId="924"/>
    <cellStyle name="Percent [00] 3" xfId="925"/>
    <cellStyle name="Percent [00] 3 2" xfId="926"/>
    <cellStyle name="Percent [00] 3 2 2" xfId="927"/>
    <cellStyle name="Percent [00] 3 3" xfId="928"/>
    <cellStyle name="Percent [00] 4" xfId="929"/>
    <cellStyle name="Percent [00] 4 2" xfId="930"/>
    <cellStyle name="Percent [00] 5" xfId="931"/>
    <cellStyle name="Percent [00] 5 2" xfId="932"/>
    <cellStyle name="Percent [00] 6" xfId="933"/>
    <cellStyle name="Percent [00] 6 2" xfId="934"/>
    <cellStyle name="Percent [00] 7" xfId="935"/>
    <cellStyle name="Percent [00] 7 2" xfId="936"/>
    <cellStyle name="Percent [00] 8" xfId="937"/>
    <cellStyle name="Percent [00] 8 2" xfId="938"/>
    <cellStyle name="Percent [2]" xfId="939"/>
    <cellStyle name="Percent [2] 2" xfId="940"/>
    <cellStyle name="Percent [2] 2 2" xfId="941"/>
    <cellStyle name="Percent [2] 3" xfId="942"/>
    <cellStyle name="Percent 10" xfId="943"/>
    <cellStyle name="Percent 10 2" xfId="944"/>
    <cellStyle name="Percent 10 2 2" xfId="945"/>
    <cellStyle name="Percent 10 2 3" xfId="946"/>
    <cellStyle name="Percent 10 3" xfId="947"/>
    <cellStyle name="Percent 10 3 2" xfId="948"/>
    <cellStyle name="Percent 10 3 3" xfId="949"/>
    <cellStyle name="Percent 100" xfId="950"/>
    <cellStyle name="Percent 101" xfId="951"/>
    <cellStyle name="Percent 102" xfId="952"/>
    <cellStyle name="Percent 103" xfId="953"/>
    <cellStyle name="Percent 104" xfId="954"/>
    <cellStyle name="Percent 105" xfId="955"/>
    <cellStyle name="Percent 106" xfId="956"/>
    <cellStyle name="Percent 107" xfId="957"/>
    <cellStyle name="Percent 108" xfId="958"/>
    <cellStyle name="Percent 109" xfId="959"/>
    <cellStyle name="Percent 11" xfId="960"/>
    <cellStyle name="Percent 11 2" xfId="961"/>
    <cellStyle name="Percent 11 2 2" xfId="962"/>
    <cellStyle name="Percent 11 2 3" xfId="963"/>
    <cellStyle name="Percent 11 3" xfId="964"/>
    <cellStyle name="Percent 11 3 2" xfId="965"/>
    <cellStyle name="Percent 11 3 3" xfId="966"/>
    <cellStyle name="Percent 110" xfId="967"/>
    <cellStyle name="Percent 111" xfId="968"/>
    <cellStyle name="Percent 112" xfId="969"/>
    <cellStyle name="Percent 113" xfId="970"/>
    <cellStyle name="Percent 114" xfId="971"/>
    <cellStyle name="Percent 115" xfId="972"/>
    <cellStyle name="Percent 116" xfId="973"/>
    <cellStyle name="Percent 117" xfId="974"/>
    <cellStyle name="Percent 118" xfId="975"/>
    <cellStyle name="Percent 119" xfId="976"/>
    <cellStyle name="Percent 12" xfId="977"/>
    <cellStyle name="Percent 12 2" xfId="978"/>
    <cellStyle name="Percent 12 2 2" xfId="979"/>
    <cellStyle name="Percent 12 2 3" xfId="980"/>
    <cellStyle name="Percent 12 3" xfId="981"/>
    <cellStyle name="Percent 12 3 2" xfId="982"/>
    <cellStyle name="Percent 12 3 3" xfId="983"/>
    <cellStyle name="Percent 120" xfId="984"/>
    <cellStyle name="Percent 121" xfId="985"/>
    <cellStyle name="Percent 122" xfId="986"/>
    <cellStyle name="Percent 123" xfId="987"/>
    <cellStyle name="Percent 124" xfId="988"/>
    <cellStyle name="Percent 125" xfId="989"/>
    <cellStyle name="Percent 126" xfId="990"/>
    <cellStyle name="Percent 127" xfId="991"/>
    <cellStyle name="Percent 128" xfId="992"/>
    <cellStyle name="Percent 129" xfId="993"/>
    <cellStyle name="Percent 13" xfId="994"/>
    <cellStyle name="Percent 13 2" xfId="995"/>
    <cellStyle name="Percent 13 2 2" xfId="996"/>
    <cellStyle name="Percent 13 2 3" xfId="997"/>
    <cellStyle name="Percent 13 3" xfId="998"/>
    <cellStyle name="Percent 130" xfId="999"/>
    <cellStyle name="Percent 131" xfId="1000"/>
    <cellStyle name="Percent 132" xfId="1001"/>
    <cellStyle name="Percent 133" xfId="1002"/>
    <cellStyle name="Percent 134" xfId="1003"/>
    <cellStyle name="Percent 135" xfId="1004"/>
    <cellStyle name="Percent 14" xfId="1005"/>
    <cellStyle name="Percent 15" xfId="1006"/>
    <cellStyle name="Percent 16" xfId="1007"/>
    <cellStyle name="Percent 17" xfId="1008"/>
    <cellStyle name="Percent 18" xfId="1009"/>
    <cellStyle name="Percent 19" xfId="1010"/>
    <cellStyle name="Percent 2" xfId="1011"/>
    <cellStyle name="Percent 2 2" xfId="1012"/>
    <cellStyle name="Percent 2 2 2" xfId="1013"/>
    <cellStyle name="Percent 2 2 3" xfId="1014"/>
    <cellStyle name="Percent 2 3" xfId="1015"/>
    <cellStyle name="Percent 2 3 2" xfId="1016"/>
    <cellStyle name="Percent 2 3 3" xfId="1017"/>
    <cellStyle name="Percent 2 4" xfId="1018"/>
    <cellStyle name="Percent 2 4 2" xfId="1019"/>
    <cellStyle name="Percent 2 4 3" xfId="1020"/>
    <cellStyle name="Percent 20" xfId="1021"/>
    <cellStyle name="Percent 21" xfId="1022"/>
    <cellStyle name="Percent 22" xfId="1023"/>
    <cellStyle name="Percent 23" xfId="1024"/>
    <cellStyle name="Percent 24" xfId="1025"/>
    <cellStyle name="Percent 25" xfId="1026"/>
    <cellStyle name="Percent 26" xfId="1027"/>
    <cellStyle name="Percent 27" xfId="1028"/>
    <cellStyle name="Percent 27 2" xfId="1029"/>
    <cellStyle name="Percent 27 3" xfId="1030"/>
    <cellStyle name="Percent 28" xfId="1031"/>
    <cellStyle name="Percent 28 2" xfId="1032"/>
    <cellStyle name="Percent 28 3" xfId="1033"/>
    <cellStyle name="Percent 29" xfId="1034"/>
    <cellStyle name="Percent 29 2" xfId="1035"/>
    <cellStyle name="Percent 29 3" xfId="1036"/>
    <cellStyle name="Percent 3" xfId="1037"/>
    <cellStyle name="Percent 3 2" xfId="1038"/>
    <cellStyle name="Percent 3 2 2" xfId="1039"/>
    <cellStyle name="Percent 30" xfId="1040"/>
    <cellStyle name="Percent 30 2" xfId="1041"/>
    <cellStyle name="Percent 30 3" xfId="1042"/>
    <cellStyle name="Percent 31" xfId="1043"/>
    <cellStyle name="Percent 31 2" xfId="1044"/>
    <cellStyle name="Percent 31 3" xfId="1045"/>
    <cellStyle name="Percent 32" xfId="1046"/>
    <cellStyle name="Percent 32 2" xfId="1047"/>
    <cellStyle name="Percent 32 3" xfId="1048"/>
    <cellStyle name="Percent 33" xfId="1049"/>
    <cellStyle name="Percent 33 2" xfId="1050"/>
    <cellStyle name="Percent 33 3" xfId="1051"/>
    <cellStyle name="Percent 34" xfId="1052"/>
    <cellStyle name="Percent 35" xfId="1053"/>
    <cellStyle name="Percent 36" xfId="1054"/>
    <cellStyle name="Percent 37" xfId="1055"/>
    <cellStyle name="Percent 38" xfId="1056"/>
    <cellStyle name="Percent 39" xfId="1057"/>
    <cellStyle name="Percent 4" xfId="1058"/>
    <cellStyle name="Percent 4 2" xfId="1059"/>
    <cellStyle name="Percent 4 3" xfId="1060"/>
    <cellStyle name="Percent 40" xfId="1061"/>
    <cellStyle name="Percent 41" xfId="1062"/>
    <cellStyle name="Percent 42" xfId="1063"/>
    <cellStyle name="Percent 43" xfId="1064"/>
    <cellStyle name="Percent 44" xfId="1065"/>
    <cellStyle name="Percent 45" xfId="1066"/>
    <cellStyle name="Percent 46" xfId="1067"/>
    <cellStyle name="Percent 47" xfId="1068"/>
    <cellStyle name="Percent 48" xfId="1069"/>
    <cellStyle name="Percent 49" xfId="1070"/>
    <cellStyle name="Percent 5" xfId="1071"/>
    <cellStyle name="Percent 5 2" xfId="1072"/>
    <cellStyle name="Percent 5 2 2" xfId="1073"/>
    <cellStyle name="Percent 5 2 3" xfId="1074"/>
    <cellStyle name="Percent 5 3" xfId="1075"/>
    <cellStyle name="Percent 5 3 2" xfId="1076"/>
    <cellStyle name="Percent 5 3 3" xfId="1077"/>
    <cellStyle name="Percent 5 4" xfId="1078"/>
    <cellStyle name="Percent 50" xfId="1079"/>
    <cellStyle name="Percent 51" xfId="1080"/>
    <cellStyle name="Percent 52" xfId="1081"/>
    <cellStyle name="Percent 53" xfId="1082"/>
    <cellStyle name="Percent 54" xfId="1083"/>
    <cellStyle name="Percent 55" xfId="1084"/>
    <cellStyle name="Percent 56" xfId="1085"/>
    <cellStyle name="Percent 57" xfId="1086"/>
    <cellStyle name="Percent 58" xfId="1087"/>
    <cellStyle name="Percent 59" xfId="1088"/>
    <cellStyle name="Percent 6" xfId="1089"/>
    <cellStyle name="Percent 6 2" xfId="1090"/>
    <cellStyle name="Percent 6 3" xfId="1091"/>
    <cellStyle name="Percent 60" xfId="1092"/>
    <cellStyle name="Percent 61" xfId="1093"/>
    <cellStyle name="Percent 62" xfId="1094"/>
    <cellStyle name="Percent 63" xfId="1095"/>
    <cellStyle name="Percent 64" xfId="1096"/>
    <cellStyle name="Percent 65" xfId="1097"/>
    <cellStyle name="Percent 66" xfId="1098"/>
    <cellStyle name="Percent 67" xfId="1099"/>
    <cellStyle name="Percent 68" xfId="1100"/>
    <cellStyle name="Percent 69" xfId="1101"/>
    <cellStyle name="Percent 7" xfId="1102"/>
    <cellStyle name="Percent 7 2" xfId="1103"/>
    <cellStyle name="Percent 7 2 2" xfId="1104"/>
    <cellStyle name="Percent 7 2 3" xfId="1105"/>
    <cellStyle name="Percent 7 3" xfId="1106"/>
    <cellStyle name="Percent 7 3 2" xfId="1107"/>
    <cellStyle name="Percent 7 3 3" xfId="1108"/>
    <cellStyle name="Percent 70" xfId="1109"/>
    <cellStyle name="Percent 71" xfId="1110"/>
    <cellStyle name="Percent 72" xfId="1111"/>
    <cellStyle name="Percent 73" xfId="1112"/>
    <cellStyle name="Percent 74" xfId="1113"/>
    <cellStyle name="Percent 75" xfId="1114"/>
    <cellStyle name="Percent 76" xfId="1115"/>
    <cellStyle name="Percent 77" xfId="1116"/>
    <cellStyle name="Percent 78" xfId="1117"/>
    <cellStyle name="Percent 79" xfId="1118"/>
    <cellStyle name="Percent 8" xfId="1119"/>
    <cellStyle name="Percent 8 2" xfId="1120"/>
    <cellStyle name="Percent 8 2 2" xfId="1121"/>
    <cellStyle name="Percent 8 2 3" xfId="1122"/>
    <cellStyle name="Percent 8 3" xfId="1123"/>
    <cellStyle name="Percent 8 3 2" xfId="1124"/>
    <cellStyle name="Percent 8 3 3" xfId="1125"/>
    <cellStyle name="Percent 80" xfId="1126"/>
    <cellStyle name="Percent 81" xfId="1127"/>
    <cellStyle name="Percent 82" xfId="1128"/>
    <cellStyle name="Percent 83" xfId="1129"/>
    <cellStyle name="Percent 84" xfId="1130"/>
    <cellStyle name="Percent 85" xfId="1131"/>
    <cellStyle name="Percent 86" xfId="1132"/>
    <cellStyle name="Percent 87" xfId="1133"/>
    <cellStyle name="Percent 88" xfId="1134"/>
    <cellStyle name="Percent 89" xfId="1135"/>
    <cellStyle name="Percent 9" xfId="1136"/>
    <cellStyle name="Percent 9 2" xfId="1137"/>
    <cellStyle name="Percent 9 3" xfId="1138"/>
    <cellStyle name="Percent 90" xfId="1139"/>
    <cellStyle name="Percent 91" xfId="1140"/>
    <cellStyle name="Percent 92" xfId="1141"/>
    <cellStyle name="Percent 93" xfId="1142"/>
    <cellStyle name="Percent 94" xfId="1143"/>
    <cellStyle name="Percent 95" xfId="1144"/>
    <cellStyle name="Percent 96" xfId="1145"/>
    <cellStyle name="Percent 97" xfId="1146"/>
    <cellStyle name="Percent 98" xfId="1147"/>
    <cellStyle name="Percent 99" xfId="1148"/>
    <cellStyle name="PERCENTAGE" xfId="1149"/>
    <cellStyle name="PerShare" xfId="1150"/>
    <cellStyle name="Phone" xfId="1151"/>
    <cellStyle name="PillarData" xfId="1152"/>
    <cellStyle name="PillarData 2" xfId="1153"/>
    <cellStyle name="PillarHeading" xfId="1154"/>
    <cellStyle name="PillarHeading 2" xfId="1155"/>
    <cellStyle name="PillarText" xfId="1156"/>
    <cellStyle name="PillarText 2" xfId="1157"/>
    <cellStyle name="PillarTotal" xfId="1158"/>
    <cellStyle name="PillarTotal 2" xfId="1159"/>
    <cellStyle name="Pourcentage 2" xfId="1395"/>
    <cellStyle name="Pourcentage 2 2" xfId="1396"/>
    <cellStyle name="Pourcentage 3" xfId="1397"/>
    <cellStyle name="Pourcentage 3 2" xfId="1398"/>
    <cellStyle name="PrePop Currency (0)" xfId="1160"/>
    <cellStyle name="PrePop Currency (0) 2" xfId="1161"/>
    <cellStyle name="PrePop Currency (0) 3" xfId="1162"/>
    <cellStyle name="PrePop Currency (0) 3 2" xfId="1163"/>
    <cellStyle name="PrePop Currency (2)" xfId="1164"/>
    <cellStyle name="PrePop Currency (2) 2" xfId="1165"/>
    <cellStyle name="PrePop Currency (2) 3" xfId="1166"/>
    <cellStyle name="PrePop Currency (2) 3 2" xfId="1167"/>
    <cellStyle name="PrePop Units (0)" xfId="1168"/>
    <cellStyle name="PrePop Units (0) 2" xfId="1169"/>
    <cellStyle name="PrePop Units (0) 3" xfId="1170"/>
    <cellStyle name="PrePop Units (0) 3 2" xfId="1171"/>
    <cellStyle name="PrePop Units (1)" xfId="1172"/>
    <cellStyle name="PrePop Units (1) 2" xfId="1173"/>
    <cellStyle name="PrePop Units (1) 3" xfId="1174"/>
    <cellStyle name="PrePop Units (1) 3 2" xfId="1175"/>
    <cellStyle name="PrePop Units (2)" xfId="1176"/>
    <cellStyle name="PrePop Units (2) 2" xfId="1177"/>
    <cellStyle name="PrePop Units (2) 3" xfId="1178"/>
    <cellStyle name="PrePop Units (2) 3 2" xfId="1179"/>
    <cellStyle name="Presentation" xfId="1180"/>
    <cellStyle name="PSChar" xfId="1181"/>
    <cellStyle name="PSDate" xfId="1182"/>
    <cellStyle name="PSDec" xfId="1183"/>
    <cellStyle name="PSHeading" xfId="1184"/>
    <cellStyle name="PSInt" xfId="1185"/>
    <cellStyle name="PSSpacer" xfId="1186"/>
    <cellStyle name="Report" xfId="1187"/>
    <cellStyle name="RevList" xfId="1188"/>
    <cellStyle name="SAPBEXaggData" xfId="1399"/>
    <cellStyle name="SAPBEXaggItem" xfId="1400"/>
    <cellStyle name="SAPBEXchaText" xfId="1401"/>
    <cellStyle name="SAPBEXfilterDrill" xfId="1402"/>
    <cellStyle name="SAPBEXfilterItem" xfId="1403"/>
    <cellStyle name="SAPBEXheaderItem" xfId="1404"/>
    <cellStyle name="SAPBEXheaderText" xfId="1405"/>
    <cellStyle name="SAPBEXstdData" xfId="1406"/>
    <cellStyle name="SAPBEXstdItem" xfId="1407"/>
    <cellStyle name="SAPBEXtitle" xfId="1408"/>
    <cellStyle name="Shares" xfId="1189"/>
    <cellStyle name="Standard_FINAL provision CEI NLI IT3 Sept 05" xfId="1190"/>
    <cellStyle name="Style 1" xfId="1191"/>
    <cellStyle name="Style 1 2" xfId="1192"/>
    <cellStyle name="Style 1 3" xfId="1193"/>
    <cellStyle name="Style 1 4" xfId="1194"/>
    <cellStyle name="Subtotal" xfId="1195"/>
    <cellStyle name="Text Indent A" xfId="1196"/>
    <cellStyle name="Text Indent B" xfId="1197"/>
    <cellStyle name="Text Indent B 2" xfId="1198"/>
    <cellStyle name="Text Indent B 3" xfId="1199"/>
    <cellStyle name="Text Indent B 3 2" xfId="1200"/>
    <cellStyle name="Text Indent C" xfId="1201"/>
    <cellStyle name="Text Indent C 2" xfId="1202"/>
    <cellStyle name="Text Indent C 2 2" xfId="1203"/>
    <cellStyle name="Text Indent C 3" xfId="1204"/>
    <cellStyle name="Text Indent C 4" xfId="1205"/>
    <cellStyle name="Text Indent C 4 2" xfId="1206"/>
    <cellStyle name="Text Indent C 5" xfId="1207"/>
    <cellStyle name="Text Indent C 5 2" xfId="1208"/>
    <cellStyle name="Text Indent C 6" xfId="1209"/>
    <cellStyle name="Text Indent C 6 2" xfId="1210"/>
    <cellStyle name="Text Indent C 7" xfId="1211"/>
    <cellStyle name="Text Indent C 7 2" xfId="1212"/>
    <cellStyle name="Text Indent C 8" xfId="1213"/>
    <cellStyle name="Text Indent C 8 2" xfId="1214"/>
    <cellStyle name="Tickmark" xfId="1215"/>
    <cellStyle name="Title 2" xfId="1216"/>
    <cellStyle name="Title 3" xfId="1217"/>
    <cellStyle name="TitleSub" xfId="1218"/>
    <cellStyle name="Total 2" xfId="1219"/>
    <cellStyle name="Total 3" xfId="1220"/>
    <cellStyle name="v" xfId="1221"/>
    <cellStyle name="Währung [0]_Abbreviations" xfId="1409"/>
    <cellStyle name="Währung_Abbreviations" xfId="1410"/>
    <cellStyle name="Warning Text 2" xfId="1222"/>
    <cellStyle name="Warning Text 3" xfId="1223"/>
    <cellStyle name="x" xfId="1224"/>
    <cellStyle name="x 2" xfId="1225"/>
    <cellStyle name="x_5B" xfId="1226"/>
    <cellStyle name="x_5B (2)" xfId="1227"/>
    <cellStyle name="x_6A" xfId="1228"/>
    <cellStyle name="x_6B" xfId="1229"/>
    <cellStyle name="x_FY12 Q2 Press Tables" xfId="1230"/>
    <cellStyle name="x_Index" xfId="1231"/>
    <cellStyle name="パーセント_PLDT" xfId="1232"/>
    <cellStyle name="一般_Bank fee" xfId="1233"/>
    <cellStyle name="千分位_Bank fee" xfId="1234"/>
    <cellStyle name="桁区切り [0.00]_ME Inventory Template - Dec" xfId="1235"/>
    <cellStyle name="桁区切り_IT Forecast MayD7xls" xfId="1236"/>
    <cellStyle name="標準_IT Forecast MayD7xls" xfId="1237"/>
    <cellStyle name="通貨 [0.00]_PLDT" xfId="12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5.xml"/><Relationship Id="rId21" Type="http://schemas.openxmlformats.org/officeDocument/2006/relationships/externalLink" Target="externalLinks/externalLink6.xml"/><Relationship Id="rId22" Type="http://schemas.openxmlformats.org/officeDocument/2006/relationships/externalLink" Target="externalLinks/externalLink7.xml"/><Relationship Id="rId23" Type="http://schemas.openxmlformats.org/officeDocument/2006/relationships/externalLink" Target="externalLinks/externalLink8.xml"/><Relationship Id="rId24" Type="http://schemas.openxmlformats.org/officeDocument/2006/relationships/externalLink" Target="externalLinks/externalLink9.xml"/><Relationship Id="rId25" Type="http://schemas.openxmlformats.org/officeDocument/2006/relationships/externalLink" Target="externalLinks/externalLink10.xml"/><Relationship Id="rId26" Type="http://schemas.openxmlformats.org/officeDocument/2006/relationships/externalLink" Target="externalLinks/externalLink11.xml"/><Relationship Id="rId27" Type="http://schemas.openxmlformats.org/officeDocument/2006/relationships/externalLink" Target="externalLinks/externalLink12.xml"/><Relationship Id="rId28" Type="http://schemas.openxmlformats.org/officeDocument/2006/relationships/externalLink" Target="externalLinks/externalLink13.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externalLink" Target="externalLinks/externalLink1.xml"/><Relationship Id="rId17" Type="http://schemas.openxmlformats.org/officeDocument/2006/relationships/externalLink" Target="externalLinks/externalLink2.xml"/><Relationship Id="rId18" Type="http://schemas.openxmlformats.org/officeDocument/2006/relationships/externalLink" Target="externalLinks/externalLink3.xml"/><Relationship Id="rId1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ru-RU" sz="1600">
                <a:latin typeface="Arial"/>
                <a:cs typeface="Arial"/>
              </a:rPr>
              <a:t>Implied </a:t>
            </a:r>
            <a:r>
              <a:rPr lang="en-US" sz="1600">
                <a:latin typeface="Arial"/>
                <a:cs typeface="Arial"/>
              </a:rPr>
              <a:t>down</a:t>
            </a:r>
            <a:r>
              <a:rPr lang="ru-RU" sz="1600">
                <a:latin typeface="Arial"/>
                <a:cs typeface="Arial"/>
              </a:rPr>
              <a:t>side from current market price</a:t>
            </a:r>
            <a:r>
              <a:rPr lang="en-US" sz="1600">
                <a:latin typeface="Arial"/>
                <a:cs typeface="Arial"/>
              </a:rPr>
              <a:t> (Terminal EBITDA Multiple 11x)</a:t>
            </a:r>
            <a:endParaRPr lang="ru-RU" sz="1600">
              <a:latin typeface="Arial"/>
              <a:cs typeface="Arial"/>
            </a:endParaRPr>
          </a:p>
        </c:rich>
      </c:tx>
      <c:layout/>
      <c:overlay val="0"/>
    </c:title>
    <c:autoTitleDeleted val="0"/>
    <c:plotArea>
      <c:layout/>
      <c:barChart>
        <c:barDir val="bar"/>
        <c:grouping val="clustered"/>
        <c:varyColors val="0"/>
        <c:ser>
          <c:idx val="0"/>
          <c:order val="0"/>
          <c:tx>
            <c:strRef>
              <c:f>DCF!$L$111</c:f>
              <c:strCache>
                <c:ptCount val="1"/>
                <c:pt idx="0">
                  <c:v>Implied upside from current market price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DCF!$C$114:$C$116</c:f>
              <c:numCache>
                <c:formatCode>0.0%_);\(0.0%\);0.0%_);@_)</c:formatCode>
                <c:ptCount val="3"/>
                <c:pt idx="0">
                  <c:v>0.0510127587903601</c:v>
                </c:pt>
                <c:pt idx="1">
                  <c:v>0.0610127587903601</c:v>
                </c:pt>
                <c:pt idx="2">
                  <c:v>0.0710127587903601</c:v>
                </c:pt>
              </c:numCache>
            </c:numRef>
          </c:cat>
          <c:val>
            <c:numRef>
              <c:f>DCF!$L$114:$L$116</c:f>
              <c:numCache>
                <c:formatCode>0%</c:formatCode>
                <c:ptCount val="3"/>
                <c:pt idx="0">
                  <c:v>0.130796929168576</c:v>
                </c:pt>
                <c:pt idx="1">
                  <c:v>0.0815141041886382</c:v>
                </c:pt>
                <c:pt idx="2">
                  <c:v>0.0348554270960286</c:v>
                </c:pt>
              </c:numCache>
            </c:numRef>
          </c:val>
        </c:ser>
        <c:dLbls>
          <c:dLblPos val="outEnd"/>
          <c:showLegendKey val="0"/>
          <c:showVal val="1"/>
          <c:showCatName val="0"/>
          <c:showSerName val="0"/>
          <c:showPercent val="0"/>
          <c:showBubbleSize val="0"/>
        </c:dLbls>
        <c:gapWidth val="150"/>
        <c:axId val="2091180888"/>
        <c:axId val="2082021128"/>
      </c:barChart>
      <c:catAx>
        <c:axId val="2091180888"/>
        <c:scaling>
          <c:orientation val="minMax"/>
        </c:scaling>
        <c:delete val="0"/>
        <c:axPos val="l"/>
        <c:numFmt formatCode="0.0%_);\(0.0%\);0.0%_);@_)" sourceLinked="1"/>
        <c:majorTickMark val="out"/>
        <c:minorTickMark val="none"/>
        <c:tickLblPos val="nextTo"/>
        <c:crossAx val="2082021128"/>
        <c:crosses val="autoZero"/>
        <c:auto val="1"/>
        <c:lblAlgn val="ctr"/>
        <c:lblOffset val="100"/>
        <c:noMultiLvlLbl val="0"/>
      </c:catAx>
      <c:valAx>
        <c:axId val="2082021128"/>
        <c:scaling>
          <c:orientation val="minMax"/>
        </c:scaling>
        <c:delete val="1"/>
        <c:axPos val="b"/>
        <c:numFmt formatCode="0%" sourceLinked="1"/>
        <c:majorTickMark val="out"/>
        <c:minorTickMark val="none"/>
        <c:tickLblPos val="nextTo"/>
        <c:crossAx val="2091180888"/>
        <c:crosses val="autoZero"/>
        <c:crossBetween val="between"/>
      </c:valAx>
    </c:plotArea>
    <c:plotVisOnly val="1"/>
    <c:dispBlanksAs val="gap"/>
    <c:showDLblsOverMax val="0"/>
  </c:chart>
  <c:spPr>
    <a:scene3d>
      <a:camera prst="orthographicFront"/>
      <a:lightRig rig="threePt" dir="t"/>
    </a:scene3d>
    <a:sp3d>
      <a:bevelT/>
    </a:sp3d>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ru-RU" sz="1600">
                <a:latin typeface="Arial"/>
                <a:cs typeface="Arial"/>
              </a:rPr>
              <a:t>Implied </a:t>
            </a:r>
            <a:r>
              <a:rPr lang="en-US" sz="1600">
                <a:latin typeface="Arial"/>
                <a:cs typeface="Arial"/>
              </a:rPr>
              <a:t>upside</a:t>
            </a:r>
            <a:r>
              <a:rPr lang="ru-RU" sz="1600">
                <a:latin typeface="Arial"/>
                <a:cs typeface="Arial"/>
              </a:rPr>
              <a:t> from current market price</a:t>
            </a:r>
            <a:r>
              <a:rPr lang="en-US" sz="1600">
                <a:latin typeface="Arial"/>
                <a:cs typeface="Arial"/>
              </a:rPr>
              <a:t> (Terminal EBITDA Multiple 14x)</a:t>
            </a:r>
            <a:endParaRPr lang="ru-RU" sz="1600">
              <a:latin typeface="Arial"/>
              <a:cs typeface="Arial"/>
            </a:endParaRPr>
          </a:p>
        </c:rich>
      </c:tx>
      <c:layout>
        <c:manualLayout>
          <c:xMode val="edge"/>
          <c:yMode val="edge"/>
          <c:x val="0.139818235337405"/>
          <c:y val="0.063063063063063"/>
        </c:manualLayout>
      </c:layout>
      <c:overlay val="0"/>
    </c:title>
    <c:autoTitleDeleted val="0"/>
    <c:plotArea>
      <c:layout/>
      <c:barChart>
        <c:barDir val="bar"/>
        <c:grouping val="clustered"/>
        <c:varyColors val="0"/>
        <c:ser>
          <c:idx val="0"/>
          <c:order val="0"/>
          <c:tx>
            <c:strRef>
              <c:f>DCF!$L$111</c:f>
              <c:strCache>
                <c:ptCount val="1"/>
                <c:pt idx="0">
                  <c:v>Implied upside from current market price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DCF!$M$106:$M$109</c:f>
              <c:numCache>
                <c:formatCode>"$"#\ ##0.0_);\("$"#\ ##0.0\);"$"#\ ##0.0_);@_)</c:formatCode>
                <c:ptCount val="4"/>
                <c:pt idx="0">
                  <c:v>66.27719742977102</c:v>
                </c:pt>
                <c:pt idx="1">
                  <c:v>63.35703383856694</c:v>
                </c:pt>
                <c:pt idx="2">
                  <c:v>60.59331408021128</c:v>
                </c:pt>
                <c:pt idx="3">
                  <c:v>57.97622651403123</c:v>
                </c:pt>
              </c:numCache>
            </c:numRef>
          </c:cat>
          <c:val>
            <c:numRef>
              <c:f>DCF!$M$114:$M$117</c:f>
              <c:numCache>
                <c:formatCode>0%</c:formatCode>
                <c:ptCount val="4"/>
                <c:pt idx="0">
                  <c:v>0.377904312469252</c:v>
                </c:pt>
                <c:pt idx="1">
                  <c:v>0.317194050697857</c:v>
                </c:pt>
                <c:pt idx="2">
                  <c:v>0.259736259463852</c:v>
                </c:pt>
                <c:pt idx="3">
                  <c:v>0.205326954553664</c:v>
                </c:pt>
              </c:numCache>
            </c:numRef>
          </c:val>
        </c:ser>
        <c:dLbls>
          <c:dLblPos val="outEnd"/>
          <c:showLegendKey val="0"/>
          <c:showVal val="1"/>
          <c:showCatName val="0"/>
          <c:showSerName val="0"/>
          <c:showPercent val="0"/>
          <c:showBubbleSize val="0"/>
        </c:dLbls>
        <c:gapWidth val="150"/>
        <c:axId val="2138467672"/>
        <c:axId val="2137514152"/>
      </c:barChart>
      <c:catAx>
        <c:axId val="2138467672"/>
        <c:scaling>
          <c:orientation val="minMax"/>
        </c:scaling>
        <c:delete val="0"/>
        <c:axPos val="l"/>
        <c:numFmt formatCode="&quot;$&quot;#\ ##0.0_);\(&quot;$&quot;#\ ##0.0\);&quot;$&quot;#\ ##0.0_);@_)" sourceLinked="1"/>
        <c:majorTickMark val="out"/>
        <c:minorTickMark val="none"/>
        <c:tickLblPos val="nextTo"/>
        <c:crossAx val="2137514152"/>
        <c:crosses val="autoZero"/>
        <c:auto val="1"/>
        <c:lblAlgn val="ctr"/>
        <c:lblOffset val="100"/>
        <c:noMultiLvlLbl val="0"/>
      </c:catAx>
      <c:valAx>
        <c:axId val="2137514152"/>
        <c:scaling>
          <c:orientation val="minMax"/>
        </c:scaling>
        <c:delete val="1"/>
        <c:axPos val="b"/>
        <c:numFmt formatCode="0%" sourceLinked="1"/>
        <c:majorTickMark val="out"/>
        <c:minorTickMark val="none"/>
        <c:tickLblPos val="nextTo"/>
        <c:crossAx val="2138467672"/>
        <c:crosses val="autoZero"/>
        <c:crossBetween val="between"/>
      </c:valAx>
    </c:plotArea>
    <c:plotVisOnly val="1"/>
    <c:dispBlanksAs val="gap"/>
    <c:showDLblsOverMax val="0"/>
  </c:chart>
  <c:spPr>
    <a:scene3d>
      <a:camera prst="orthographicFront"/>
      <a:lightRig rig="threePt" dir="t"/>
    </a:scene3d>
    <a:sp3d>
      <a:bevelT/>
    </a:sp3d>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a:pPr>
            <a:r>
              <a:rPr lang="ru-RU" sz="1600">
                <a:latin typeface="Arial"/>
                <a:cs typeface="Arial"/>
              </a:rPr>
              <a:t>Implied upside from current market price</a:t>
            </a:r>
            <a:r>
              <a:rPr lang="en-US" sz="1600">
                <a:latin typeface="Arial"/>
                <a:cs typeface="Arial"/>
              </a:rPr>
              <a:t> (Terminal EBITDA Multiple 17x)</a:t>
            </a:r>
            <a:endParaRPr lang="ru-RU" sz="1600">
              <a:latin typeface="Arial"/>
              <a:cs typeface="Arial"/>
            </a:endParaRPr>
          </a:p>
        </c:rich>
      </c:tx>
      <c:layout>
        <c:manualLayout>
          <c:xMode val="edge"/>
          <c:yMode val="edge"/>
          <c:x val="0.107721348208227"/>
          <c:y val="0.0359712230215827"/>
        </c:manualLayout>
      </c:layout>
      <c:overlay val="0"/>
    </c:title>
    <c:autoTitleDeleted val="0"/>
    <c:plotArea>
      <c:layout/>
      <c:barChart>
        <c:barDir val="bar"/>
        <c:grouping val="clustered"/>
        <c:varyColors val="0"/>
        <c:ser>
          <c:idx val="0"/>
          <c:order val="0"/>
          <c:tx>
            <c:strRef>
              <c:f>DCF!$L$111</c:f>
              <c:strCache>
                <c:ptCount val="1"/>
                <c:pt idx="0">
                  <c:v>Implied upside from current market price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DCF!$C$114:$C$116</c:f>
              <c:numCache>
                <c:formatCode>0.0%_);\(0.0%\);0.0%_);@_)</c:formatCode>
                <c:ptCount val="3"/>
                <c:pt idx="0">
                  <c:v>0.0510127587903601</c:v>
                </c:pt>
                <c:pt idx="1">
                  <c:v>0.0610127587903601</c:v>
                </c:pt>
                <c:pt idx="2">
                  <c:v>0.0710127587903601</c:v>
                </c:pt>
              </c:numCache>
            </c:numRef>
          </c:cat>
          <c:val>
            <c:numRef>
              <c:f>DCF!$N$114:$N$116</c:f>
              <c:numCache>
                <c:formatCode>0%</c:formatCode>
                <c:ptCount val="3"/>
                <c:pt idx="0">
                  <c:v>0.625011695769928</c:v>
                </c:pt>
                <c:pt idx="1">
                  <c:v>0.552873997207076</c:v>
                </c:pt>
                <c:pt idx="2">
                  <c:v>0.484617091831676</c:v>
                </c:pt>
              </c:numCache>
            </c:numRef>
          </c:val>
        </c:ser>
        <c:dLbls>
          <c:dLblPos val="outEnd"/>
          <c:showLegendKey val="0"/>
          <c:showVal val="1"/>
          <c:showCatName val="0"/>
          <c:showSerName val="0"/>
          <c:showPercent val="0"/>
          <c:showBubbleSize val="0"/>
        </c:dLbls>
        <c:gapWidth val="150"/>
        <c:axId val="2079560728"/>
        <c:axId val="2079568904"/>
      </c:barChart>
      <c:catAx>
        <c:axId val="2079560728"/>
        <c:scaling>
          <c:orientation val="minMax"/>
        </c:scaling>
        <c:delete val="0"/>
        <c:axPos val="l"/>
        <c:numFmt formatCode="0.0%_);\(0.0%\);0.0%_);@_)" sourceLinked="1"/>
        <c:majorTickMark val="out"/>
        <c:minorTickMark val="none"/>
        <c:tickLblPos val="nextTo"/>
        <c:crossAx val="2079568904"/>
        <c:crosses val="autoZero"/>
        <c:auto val="1"/>
        <c:lblAlgn val="ctr"/>
        <c:lblOffset val="100"/>
        <c:noMultiLvlLbl val="0"/>
      </c:catAx>
      <c:valAx>
        <c:axId val="2079568904"/>
        <c:scaling>
          <c:orientation val="minMax"/>
        </c:scaling>
        <c:delete val="1"/>
        <c:axPos val="b"/>
        <c:numFmt formatCode="0%" sourceLinked="1"/>
        <c:majorTickMark val="out"/>
        <c:minorTickMark val="none"/>
        <c:tickLblPos val="nextTo"/>
        <c:crossAx val="2079560728"/>
        <c:crosses val="autoZero"/>
        <c:crossBetween val="between"/>
      </c:valAx>
    </c:plotArea>
    <c:plotVisOnly val="1"/>
    <c:dispBlanksAs val="gap"/>
    <c:showDLblsOverMax val="0"/>
  </c:chart>
  <c:spPr>
    <a:scene3d>
      <a:camera prst="orthographicFront"/>
      <a:lightRig rig="threePt" dir="t"/>
    </a:scene3d>
    <a:sp3d>
      <a:bevelT/>
    </a:sp3d>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areaChart>
        <c:grouping val="standard"/>
        <c:varyColors val="0"/>
        <c:ser>
          <c:idx val="0"/>
          <c:order val="0"/>
          <c:tx>
            <c:strRef>
              <c:f>DCF!$B$36</c:f>
              <c:strCache>
                <c:ptCount val="1"/>
                <c:pt idx="0">
                  <c:v>Revenues - Group (Pharma+Vaccines)</c:v>
                </c:pt>
              </c:strCache>
            </c:strRef>
          </c:tx>
          <c:dLbls>
            <c:spPr>
              <a:noFill/>
              <a:ln>
                <a:noFill/>
              </a:ln>
              <a:effectLst/>
            </c:spPr>
            <c:txPr>
              <a:bodyPr anchor="t" anchorCtr="1"/>
              <a:lstStyle/>
              <a:p>
                <a:pPr>
                  <a:defRPr b="1" i="0" baseline="0">
                    <a:latin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DCF!$L$8:$P$8</c:f>
              <c:numCache>
                <c:formatCode>General</c:formatCode>
                <c:ptCount val="5"/>
                <c:pt idx="0">
                  <c:v>2017.0</c:v>
                </c:pt>
                <c:pt idx="1">
                  <c:v>2018.0</c:v>
                </c:pt>
                <c:pt idx="2">
                  <c:v>2019.0</c:v>
                </c:pt>
                <c:pt idx="3">
                  <c:v>2020.0</c:v>
                </c:pt>
                <c:pt idx="4">
                  <c:v>2021.0</c:v>
                </c:pt>
              </c:numCache>
            </c:numRef>
          </c:cat>
          <c:val>
            <c:numRef>
              <c:f>DCF!$L$36:$P$36</c:f>
              <c:numCache>
                <c:formatCode>_-* #\ ##0\ [$€-40C]_-;\-* #\ ##0\ [$€-40C]_-;_-* "-"\ [$€-40C]_-;_-@_-</c:formatCode>
                <c:ptCount val="5"/>
                <c:pt idx="0">
                  <c:v>36462.801661979</c:v>
                </c:pt>
                <c:pt idx="1">
                  <c:v>39407.57438808284</c:v>
                </c:pt>
                <c:pt idx="2">
                  <c:v>42727.36327243642</c:v>
                </c:pt>
                <c:pt idx="3">
                  <c:v>46524.558110355</c:v>
                </c:pt>
                <c:pt idx="4">
                  <c:v>50947.33779285946</c:v>
                </c:pt>
              </c:numCache>
            </c:numRef>
          </c:val>
        </c:ser>
        <c:ser>
          <c:idx val="1"/>
          <c:order val="1"/>
          <c:tx>
            <c:strRef>
              <c:f>DCF!$B$86</c:f>
              <c:strCache>
                <c:ptCount val="1"/>
                <c:pt idx="0">
                  <c:v>EBITDA</c:v>
                </c:pt>
              </c:strCache>
            </c:strRef>
          </c:tx>
          <c:dLbls>
            <c:spPr>
              <a:noFill/>
              <a:ln>
                <a:noFill/>
              </a:ln>
              <a:effectLst/>
            </c:spPr>
            <c:txPr>
              <a:bodyPr/>
              <a:lstStyle/>
              <a:p>
                <a:pPr>
                  <a:defRPr b="1" i="0">
                    <a:latin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DCF!$L$86:$P$86</c:f>
              <c:numCache>
                <c:formatCode>_-* #\ ##0\ [$€-40C]_-;\-* #\ ##0\ [$€-40C]_-;_-* "-"\ [$€-40C]_-;_-@_-</c:formatCode>
                <c:ptCount val="5"/>
                <c:pt idx="0">
                  <c:v>8220.715341569704</c:v>
                </c:pt>
                <c:pt idx="1">
                  <c:v>8883.851544760731</c:v>
                </c:pt>
                <c:pt idx="2">
                  <c:v>9631.33781112232</c:v>
                </c:pt>
                <c:pt idx="3">
                  <c:v>10486.18933841309</c:v>
                </c:pt>
                <c:pt idx="4">
                  <c:v>11481.71247839695</c:v>
                </c:pt>
              </c:numCache>
            </c:numRef>
          </c:val>
        </c:ser>
        <c:dLbls>
          <c:showLegendKey val="0"/>
          <c:showVal val="0"/>
          <c:showCatName val="0"/>
          <c:showSerName val="0"/>
          <c:showPercent val="0"/>
          <c:showBubbleSize val="0"/>
        </c:dLbls>
        <c:axId val="2079614312"/>
        <c:axId val="2079617352"/>
      </c:areaChart>
      <c:catAx>
        <c:axId val="2079614312"/>
        <c:scaling>
          <c:orientation val="minMax"/>
        </c:scaling>
        <c:delete val="0"/>
        <c:axPos val="b"/>
        <c:numFmt formatCode="General" sourceLinked="1"/>
        <c:majorTickMark val="out"/>
        <c:minorTickMark val="none"/>
        <c:tickLblPos val="nextTo"/>
        <c:crossAx val="2079617352"/>
        <c:crosses val="autoZero"/>
        <c:auto val="1"/>
        <c:lblAlgn val="ctr"/>
        <c:lblOffset val="100"/>
        <c:noMultiLvlLbl val="0"/>
      </c:catAx>
      <c:valAx>
        <c:axId val="2079617352"/>
        <c:scaling>
          <c:orientation val="minMax"/>
        </c:scaling>
        <c:delete val="0"/>
        <c:axPos val="l"/>
        <c:majorGridlines>
          <c:spPr>
            <a:ln>
              <a:noFill/>
            </a:ln>
          </c:spPr>
        </c:majorGridlines>
        <c:numFmt formatCode="_-* #\ ##0\ [$€-40C]_-;\-* #\ ##0\ [$€-40C]_-;_-* &quot;-&quot;\ [$€-40C]_-;_-@_-" sourceLinked="1"/>
        <c:majorTickMark val="out"/>
        <c:minorTickMark val="none"/>
        <c:tickLblPos val="nextTo"/>
        <c:txPr>
          <a:bodyPr/>
          <a:lstStyle/>
          <a:p>
            <a:pPr>
              <a:defRPr b="0" i="0">
                <a:latin typeface="Arial"/>
              </a:defRPr>
            </a:pPr>
            <a:endParaRPr lang="ru-RU"/>
          </a:p>
        </c:txPr>
        <c:crossAx val="2079614312"/>
        <c:crosses val="autoZero"/>
        <c:crossBetween val="midCat"/>
      </c:valAx>
      <c:dTable>
        <c:showHorzBorder val="1"/>
        <c:showVertBorder val="1"/>
        <c:showOutline val="1"/>
        <c:showKeys val="1"/>
        <c:txPr>
          <a:bodyPr/>
          <a:lstStyle/>
          <a:p>
            <a:pPr rtl="0">
              <a:defRPr b="1" i="0">
                <a:latin typeface="Arial"/>
              </a:defRPr>
            </a:pPr>
            <a:endParaRPr lang="ru-RU"/>
          </a:p>
        </c:txPr>
      </c:dTable>
      <c:spPr>
        <a:noFill/>
        <a:ln>
          <a:noFill/>
        </a:ln>
      </c:spPr>
    </c:plotArea>
    <c:plotVisOnly val="1"/>
    <c:dispBlanksAs val="gap"/>
    <c:showDLblsOverMax val="0"/>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172720</xdr:colOff>
      <xdr:row>0</xdr:row>
      <xdr:rowOff>146050</xdr:rowOff>
    </xdr:from>
    <xdr:to>
      <xdr:col>6</xdr:col>
      <xdr:colOff>193040</xdr:colOff>
      <xdr:row>16</xdr:row>
      <xdr:rowOff>39370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328507</xdr:colOff>
      <xdr:row>0</xdr:row>
      <xdr:rowOff>127000</xdr:rowOff>
    </xdr:from>
    <xdr:to>
      <xdr:col>11</xdr:col>
      <xdr:colOff>694265</xdr:colOff>
      <xdr:row>16</xdr:row>
      <xdr:rowOff>20320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868679</xdr:colOff>
      <xdr:row>0</xdr:row>
      <xdr:rowOff>146473</xdr:rowOff>
    </xdr:from>
    <xdr:to>
      <xdr:col>17</xdr:col>
      <xdr:colOff>695959</xdr:colOff>
      <xdr:row>16</xdr:row>
      <xdr:rowOff>44873</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482600</xdr:colOff>
      <xdr:row>17</xdr:row>
      <xdr:rowOff>158750</xdr:rowOff>
    </xdr:from>
    <xdr:to>
      <xdr:col>8</xdr:col>
      <xdr:colOff>762000</xdr:colOff>
      <xdr:row>47</xdr:row>
      <xdr:rowOff>63500</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215900</xdr:colOff>
      <xdr:row>38</xdr:row>
      <xdr:rowOff>165100</xdr:rowOff>
    </xdr:to>
    <xdr:pic>
      <xdr:nvPicPr>
        <xdr:cNvPr id="2" name="Изображение 1" descr="Screen Shot 2017-06-04 at 20.33.06.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355600"/>
          <a:ext cx="10121900" cy="6565900"/>
        </a:xfrm>
        <a:prstGeom prst="rect">
          <a:avLst/>
        </a:prstGeom>
      </xdr:spPr>
    </xdr:pic>
    <xdr:clientData/>
  </xdr:twoCellAnchor>
  <xdr:twoCellAnchor editAs="oneCell">
    <xdr:from>
      <xdr:col>1</xdr:col>
      <xdr:colOff>0</xdr:colOff>
      <xdr:row>42</xdr:row>
      <xdr:rowOff>0</xdr:rowOff>
    </xdr:from>
    <xdr:to>
      <xdr:col>7</xdr:col>
      <xdr:colOff>190500</xdr:colOff>
      <xdr:row>72</xdr:row>
      <xdr:rowOff>88900</xdr:rowOff>
    </xdr:to>
    <xdr:pic>
      <xdr:nvPicPr>
        <xdr:cNvPr id="3" name="Изображение 2" descr="Screen Shot 2017-06-05 at 14.36.19.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5500" y="7467600"/>
          <a:ext cx="5143500" cy="5422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711200</xdr:colOff>
      <xdr:row>33</xdr:row>
      <xdr:rowOff>152400</xdr:rowOff>
    </xdr:from>
    <xdr:to>
      <xdr:col>7</xdr:col>
      <xdr:colOff>584200</xdr:colOff>
      <xdr:row>64</xdr:row>
      <xdr:rowOff>76200</xdr:rowOff>
    </xdr:to>
    <xdr:pic>
      <xdr:nvPicPr>
        <xdr:cNvPr id="2" name="Изображение 1" descr="Screen Shot 2017-06-07 at 16.06.0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200" y="7658100"/>
          <a:ext cx="10274300" cy="6197600"/>
        </a:xfrm>
        <a:prstGeom prst="rect">
          <a:avLst/>
        </a:prstGeom>
      </xdr:spPr>
    </xdr:pic>
    <xdr:clientData/>
  </xdr:twoCellAnchor>
  <xdr:twoCellAnchor editAs="oneCell">
    <xdr:from>
      <xdr:col>13</xdr:col>
      <xdr:colOff>711200</xdr:colOff>
      <xdr:row>0</xdr:row>
      <xdr:rowOff>114300</xdr:rowOff>
    </xdr:from>
    <xdr:to>
      <xdr:col>26</xdr:col>
      <xdr:colOff>127000</xdr:colOff>
      <xdr:row>12</xdr:row>
      <xdr:rowOff>177800</xdr:rowOff>
    </xdr:to>
    <xdr:pic>
      <xdr:nvPicPr>
        <xdr:cNvPr id="3" name="Изображение 2" descr="Screen Shot 2017-06-07 at 18.52.47.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65500" y="114300"/>
          <a:ext cx="10147300" cy="2768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Seeking%20Alpha/Analyses/EA/ERTSmo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j/Desktop/Karla%20JOULAIN/MISSIONS/SANOFI/SANOFI%202003/05%20-%20IFC%20SANOFI%202003/SFAS/SFAS%20IFC%202002%20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Plan%20target%20model%2013jan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nsoph/2005.06/R-%20Brochures/R2-%20Brochure%20IFRS/Notes%20A%20Schaeffer/3-%20TFT/3.1%20-%20Notes%20aux%20Etats%20Financiers/2004.12/Hierarchie%20Acces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nsoph/2005.06/R-%20Brochures/R2-%20Brochure%20IFRS/Notes%20A%20Schaeffer/3-%20TFT/3.1%20-%20Notes%20aux%20Etats%20Financiers/2004.06/Hierarchie%20Acc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soph/2004.12/Palier%20Aventis/Goodwill%203rd%20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Seeking%20Alpha/Analyses/EA/AP%207-12-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esorerie/R&#233;sultat%20de%20Change/Position%20de%20change/2009/0809/Sous_Jacent/ENGA_HB.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xquotidien08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ork/Seeking%20Alpha/Analyses/EA/2016/October%20D7%20Estimate%20Pack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j/Desktop/Karla%20JOULAIN/MISSIONS/SANOFI/SANOFI%202003/05%20-%20IFC%20SANOFI%202003/SFAS/SFAS%20RD/SFAS_132_01-D&#233;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iasseExcel/RecepLiasseExcel/Re&#231;uExcel/conso/S40143.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PS%20IFRS%20juin%202005%20(dilu&#23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trComp"/>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ode d'emploi"/>
      <sheetName val="Hypothèses"/>
      <sheetName val="NPPC 2003"/>
      <sheetName val="SFAS 2002"/>
      <sheetName val="SFAS 2001"/>
      <sheetName val="Données Initiales"/>
      <sheetName val="Résultats Evaluation 2002"/>
      <sheetName val="SC 2002"/>
      <sheetName val="IC_PBO 2002"/>
      <sheetName val="IC_2002"/>
      <sheetName val="IC_Prest 2002"/>
      <sheetName val="PGA 2002"/>
      <sheetName val="TO 2002"/>
      <sheetName val="PSC 2002"/>
      <sheetName val="Transfert In_2002"/>
      <sheetName val="Transfert Out_2002"/>
      <sheetName val="Ventes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6">
          <cell r="A16" t="str">
            <v>Benefits Obligation @ 30/09/2001</v>
          </cell>
          <cell r="B16">
            <v>-7299910.3599778647</v>
          </cell>
          <cell r="C16">
            <v>-160913.44402148313</v>
          </cell>
          <cell r="D16">
            <v>-33203861.990953676</v>
          </cell>
          <cell r="E16">
            <v>-51930042.518030912</v>
          </cell>
          <cell r="F16">
            <v>-62456842.140567139</v>
          </cell>
          <cell r="G16">
            <v>-31615232.705802362</v>
          </cell>
          <cell r="H16">
            <v>-8354427.8054811517</v>
          </cell>
          <cell r="I16">
            <v>-78860.504575757252</v>
          </cell>
          <cell r="J16">
            <v>-172254.73620984302</v>
          </cell>
          <cell r="K16">
            <v>-58469.686275167427</v>
          </cell>
          <cell r="L16">
            <v>-16572.427765844408</v>
          </cell>
          <cell r="M16">
            <v>-2023103.4961133124</v>
          </cell>
          <cell r="N16">
            <v>-1444163.1082525228</v>
          </cell>
          <cell r="O16">
            <v>-198814654.924027</v>
          </cell>
        </row>
        <row r="18">
          <cell r="A18" t="str">
            <v>Ventes</v>
          </cell>
          <cell r="B18">
            <v>0</v>
          </cell>
          <cell r="C18">
            <v>0</v>
          </cell>
          <cell r="D18">
            <v>0</v>
          </cell>
          <cell r="E18">
            <v>0</v>
          </cell>
          <cell r="F18">
            <v>0</v>
          </cell>
          <cell r="G18">
            <v>0</v>
          </cell>
          <cell r="H18">
            <v>0</v>
          </cell>
          <cell r="I18">
            <v>0</v>
          </cell>
          <cell r="J18">
            <v>0</v>
          </cell>
          <cell r="K18">
            <v>0</v>
          </cell>
          <cell r="L18">
            <v>0</v>
          </cell>
          <cell r="M18">
            <v>0</v>
          </cell>
          <cell r="N18">
            <v>0</v>
          </cell>
          <cell r="O18">
            <v>0</v>
          </cell>
        </row>
        <row r="19">
          <cell r="A19" t="str">
            <v>Transferts IN de PBO</v>
          </cell>
          <cell r="B19">
            <v>0</v>
          </cell>
          <cell r="C19">
            <v>160913</v>
          </cell>
          <cell r="D19">
            <v>0</v>
          </cell>
          <cell r="E19">
            <v>0</v>
          </cell>
          <cell r="F19">
            <v>0</v>
          </cell>
          <cell r="G19">
            <v>0</v>
          </cell>
          <cell r="H19">
            <v>0</v>
          </cell>
          <cell r="I19">
            <v>0</v>
          </cell>
          <cell r="J19">
            <v>0</v>
          </cell>
          <cell r="K19">
            <v>0</v>
          </cell>
          <cell r="L19">
            <v>0</v>
          </cell>
          <cell r="M19">
            <v>0</v>
          </cell>
          <cell r="N19">
            <v>0</v>
          </cell>
          <cell r="O19">
            <v>160913</v>
          </cell>
        </row>
        <row r="20">
          <cell r="A20" t="str">
            <v>Transferts Out de PBO</v>
          </cell>
          <cell r="B20">
            <v>-160913</v>
          </cell>
          <cell r="C20">
            <v>0</v>
          </cell>
          <cell r="D20">
            <v>0</v>
          </cell>
          <cell r="E20">
            <v>0</v>
          </cell>
          <cell r="F20">
            <v>0</v>
          </cell>
          <cell r="G20">
            <v>0</v>
          </cell>
          <cell r="H20">
            <v>0</v>
          </cell>
          <cell r="I20">
            <v>0</v>
          </cell>
          <cell r="J20">
            <v>0</v>
          </cell>
          <cell r="K20">
            <v>0</v>
          </cell>
          <cell r="L20">
            <v>0</v>
          </cell>
          <cell r="M20">
            <v>0</v>
          </cell>
          <cell r="N20">
            <v>0</v>
          </cell>
          <cell r="O20">
            <v>-160913</v>
          </cell>
        </row>
        <row r="23">
          <cell r="A23" t="str">
            <v>New Benefits Obligation @ 30/09/2001</v>
          </cell>
          <cell r="B23">
            <v>-7460823.3599778647</v>
          </cell>
          <cell r="C23">
            <v>-0.44402148312656209</v>
          </cell>
          <cell r="D23">
            <v>-33203861.990953676</v>
          </cell>
          <cell r="E23">
            <v>-51930042.518030912</v>
          </cell>
          <cell r="F23">
            <v>-62456842.140567139</v>
          </cell>
          <cell r="G23">
            <v>-31615232.705802362</v>
          </cell>
          <cell r="H23">
            <v>-8354427.8054811517</v>
          </cell>
          <cell r="I23">
            <v>-78860.504575757252</v>
          </cell>
          <cell r="J23">
            <v>-172254.73620984302</v>
          </cell>
          <cell r="K23">
            <v>-58469.686275167427</v>
          </cell>
          <cell r="L23">
            <v>-16572.427765844408</v>
          </cell>
          <cell r="M23">
            <v>-2023103.4961133124</v>
          </cell>
          <cell r="N23">
            <v>-1444163.1082525228</v>
          </cell>
          <cell r="O23">
            <v>-198814654.924027</v>
          </cell>
        </row>
        <row r="28">
          <cell r="A28" t="str">
            <v>Unrecognized actuarial loss (gain) @ 30/09/2001</v>
          </cell>
          <cell r="B28">
            <v>-118484.64897920036</v>
          </cell>
          <cell r="C28">
            <v>18869.938771202931</v>
          </cell>
          <cell r="D28">
            <v>-514346.60491824802</v>
          </cell>
          <cell r="E28">
            <v>2585622.1513286224</v>
          </cell>
          <cell r="F28">
            <v>5913872.2775459215</v>
          </cell>
          <cell r="G28">
            <v>3756563.5081134611</v>
          </cell>
          <cell r="H28">
            <v>2007466.7135043889</v>
          </cell>
          <cell r="I28">
            <v>47149.450416080537</v>
          </cell>
          <cell r="J28">
            <v>31699.262271703254</v>
          </cell>
          <cell r="K28">
            <v>-6473.5993043624339</v>
          </cell>
          <cell r="L28">
            <v>-14308.155643446278</v>
          </cell>
          <cell r="M28">
            <v>271153.48646300758</v>
          </cell>
          <cell r="N28">
            <v>547536.38512919063</v>
          </cell>
          <cell r="O28">
            <v>14526320.164698323</v>
          </cell>
        </row>
        <row r="30">
          <cell r="A30" t="str">
            <v>Ventes</v>
          </cell>
          <cell r="B30">
            <v>0</v>
          </cell>
          <cell r="C30">
            <v>0</v>
          </cell>
          <cell r="D30">
            <v>0</v>
          </cell>
          <cell r="E30">
            <v>0</v>
          </cell>
          <cell r="F30">
            <v>0</v>
          </cell>
          <cell r="G30">
            <v>0</v>
          </cell>
          <cell r="H30">
            <v>0</v>
          </cell>
          <cell r="I30">
            <v>0</v>
          </cell>
          <cell r="J30">
            <v>0</v>
          </cell>
          <cell r="K30">
            <v>0</v>
          </cell>
          <cell r="L30">
            <v>0</v>
          </cell>
          <cell r="M30">
            <v>0</v>
          </cell>
          <cell r="N30">
            <v>0</v>
          </cell>
          <cell r="O30">
            <v>0</v>
          </cell>
        </row>
        <row r="31">
          <cell r="A31" t="str">
            <v>Transferts IN de PGA</v>
          </cell>
          <cell r="B31">
            <v>0</v>
          </cell>
          <cell r="C31">
            <v>-18870</v>
          </cell>
          <cell r="D31">
            <v>0</v>
          </cell>
          <cell r="E31">
            <v>0</v>
          </cell>
          <cell r="F31">
            <v>0</v>
          </cell>
          <cell r="G31">
            <v>0</v>
          </cell>
          <cell r="H31">
            <v>0</v>
          </cell>
          <cell r="I31">
            <v>0</v>
          </cell>
          <cell r="J31">
            <v>0</v>
          </cell>
          <cell r="K31">
            <v>0</v>
          </cell>
          <cell r="L31">
            <v>0</v>
          </cell>
          <cell r="M31">
            <v>0</v>
          </cell>
          <cell r="N31">
            <v>0</v>
          </cell>
          <cell r="O31">
            <v>-18870</v>
          </cell>
        </row>
        <row r="32">
          <cell r="A32" t="str">
            <v>Transferts Out de PGA</v>
          </cell>
          <cell r="B32">
            <v>18870</v>
          </cell>
          <cell r="C32">
            <v>0</v>
          </cell>
          <cell r="D32">
            <v>0</v>
          </cell>
          <cell r="E32">
            <v>0</v>
          </cell>
          <cell r="F32">
            <v>0</v>
          </cell>
          <cell r="G32">
            <v>0</v>
          </cell>
          <cell r="H32">
            <v>0</v>
          </cell>
          <cell r="I32">
            <v>0</v>
          </cell>
          <cell r="J32">
            <v>0</v>
          </cell>
          <cell r="K32">
            <v>0</v>
          </cell>
          <cell r="L32">
            <v>0</v>
          </cell>
          <cell r="M32">
            <v>0</v>
          </cell>
          <cell r="N32">
            <v>0</v>
          </cell>
          <cell r="O32">
            <v>18870</v>
          </cell>
        </row>
        <row r="34">
          <cell r="A34" t="str">
            <v>New Unrecognized actuarial loss (gain) @ 30/09/2001</v>
          </cell>
          <cell r="B34">
            <v>-99614.648979200356</v>
          </cell>
          <cell r="C34">
            <v>-6.1228797068906715E-2</v>
          </cell>
          <cell r="D34">
            <v>-514346.60491824802</v>
          </cell>
          <cell r="E34">
            <v>2585622.1513286224</v>
          </cell>
          <cell r="F34">
            <v>5913872.2775459215</v>
          </cell>
          <cell r="G34">
            <v>3756563.5081134611</v>
          </cell>
          <cell r="H34">
            <v>2007466.7135043889</v>
          </cell>
          <cell r="I34">
            <v>47149.450416080537</v>
          </cell>
          <cell r="J34">
            <v>31699.262271703254</v>
          </cell>
          <cell r="K34">
            <v>-6473.5993043624339</v>
          </cell>
          <cell r="L34">
            <v>-14308.155643446278</v>
          </cell>
          <cell r="M34">
            <v>271153.48646300758</v>
          </cell>
          <cell r="N34">
            <v>547536.38512919063</v>
          </cell>
          <cell r="O34">
            <v>14526320.164698323</v>
          </cell>
        </row>
        <row r="37">
          <cell r="A37" t="str">
            <v>Base d'amortissement</v>
          </cell>
          <cell r="B37">
            <v>-746082.33599778649</v>
          </cell>
          <cell r="C37">
            <v>-4.4402148312656209E-2</v>
          </cell>
          <cell r="D37">
            <v>-3320386.1990953679</v>
          </cell>
          <cell r="E37">
            <v>-5193004.2518030917</v>
          </cell>
          <cell r="F37">
            <v>-6245684.2140567144</v>
          </cell>
          <cell r="G37">
            <v>-3161523.2705802363</v>
          </cell>
          <cell r="H37">
            <v>-835442.78054811526</v>
          </cell>
          <cell r="I37">
            <v>-7886.0504575757259</v>
          </cell>
          <cell r="J37">
            <v>-17225.473620984303</v>
          </cell>
          <cell r="K37">
            <v>-5846.9686275167433</v>
          </cell>
          <cell r="L37">
            <v>-1657.2427765844409</v>
          </cell>
          <cell r="M37">
            <v>-202310.34961133124</v>
          </cell>
          <cell r="N37">
            <v>-144416.31082525229</v>
          </cell>
          <cell r="O37">
            <v>-19881465.492402699</v>
          </cell>
        </row>
        <row r="39">
          <cell r="A39" t="str">
            <v>Partie des P(G)A excédent le corridor</v>
          </cell>
          <cell r="B39">
            <v>0</v>
          </cell>
          <cell r="C39">
            <v>-1.6826648756250506E-2</v>
          </cell>
          <cell r="D39">
            <v>0</v>
          </cell>
          <cell r="E39">
            <v>0</v>
          </cell>
          <cell r="F39">
            <v>0</v>
          </cell>
          <cell r="G39">
            <v>595040.23753322475</v>
          </cell>
          <cell r="H39">
            <v>1172023.9329562737</v>
          </cell>
          <cell r="I39">
            <v>39263.399958504815</v>
          </cell>
          <cell r="J39">
            <v>14473.788650718951</v>
          </cell>
          <cell r="K39">
            <v>-626.63067684569069</v>
          </cell>
          <cell r="L39">
            <v>-12650.912866861838</v>
          </cell>
          <cell r="M39">
            <v>68843.136851676332</v>
          </cell>
          <cell r="N39">
            <v>403120.07430393831</v>
          </cell>
          <cell r="O39">
            <v>2279487.0098839803</v>
          </cell>
        </row>
        <row r="41">
          <cell r="A41" t="str">
            <v>EDRMA</v>
          </cell>
          <cell r="B41">
            <v>17</v>
          </cell>
          <cell r="C41">
            <v>17</v>
          </cell>
          <cell r="D41">
            <v>17</v>
          </cell>
          <cell r="E41">
            <v>17</v>
          </cell>
          <cell r="F41">
            <v>17</v>
          </cell>
          <cell r="G41">
            <v>17</v>
          </cell>
          <cell r="H41">
            <v>17</v>
          </cell>
          <cell r="I41">
            <v>17</v>
          </cell>
          <cell r="J41">
            <v>17</v>
          </cell>
          <cell r="K41">
            <v>17</v>
          </cell>
          <cell r="L41">
            <v>17</v>
          </cell>
          <cell r="M41">
            <v>17</v>
          </cell>
          <cell r="N41">
            <v>17</v>
          </cell>
        </row>
        <row r="43">
          <cell r="A43" t="str">
            <v>Amortissement des (P)GA</v>
          </cell>
          <cell r="B43">
            <v>0</v>
          </cell>
          <cell r="C43">
            <v>9.8980286801473574E-4</v>
          </cell>
          <cell r="D43">
            <v>0</v>
          </cell>
          <cell r="E43">
            <v>0</v>
          </cell>
          <cell r="F43">
            <v>0</v>
          </cell>
          <cell r="G43">
            <v>-35002.366913719103</v>
          </cell>
          <cell r="H43">
            <v>-68942.584291545514</v>
          </cell>
          <cell r="I43">
            <v>-2309.611762264989</v>
          </cell>
          <cell r="J43">
            <v>-851.39933239523236</v>
          </cell>
          <cell r="K43">
            <v>36.860628049746509</v>
          </cell>
          <cell r="L43">
            <v>744.17134510951985</v>
          </cell>
          <cell r="M43">
            <v>-4049.5962853927253</v>
          </cell>
          <cell r="N43">
            <v>-23712.945547290488</v>
          </cell>
          <cell r="O43">
            <v>-134087.47116964593</v>
          </cell>
        </row>
        <row r="46">
          <cell r="A46" t="str">
            <v>Unrecognized actuarial loss (gain) @ 30/09/2002 (Stock Passé)</v>
          </cell>
          <cell r="B46">
            <v>-99614.648979200356</v>
          </cell>
          <cell r="C46">
            <v>-6.0238994200891981E-2</v>
          </cell>
          <cell r="D46">
            <v>-514346.60491824802</v>
          </cell>
          <cell r="E46">
            <v>2585622.1513286224</v>
          </cell>
          <cell r="F46">
            <v>5913872.2775459215</v>
          </cell>
          <cell r="G46">
            <v>3721561.141199742</v>
          </cell>
          <cell r="H46">
            <v>1938524.1292128435</v>
          </cell>
          <cell r="I46">
            <v>44839.838653815546</v>
          </cell>
          <cell r="J46">
            <v>30847.862939308023</v>
          </cell>
          <cell r="K46">
            <v>-6436.7386763126879</v>
          </cell>
          <cell r="L46">
            <v>-13563.984298336758</v>
          </cell>
          <cell r="M46">
            <v>267103.89017761487</v>
          </cell>
          <cell r="N46">
            <v>523823.43958190014</v>
          </cell>
          <cell r="O46">
            <v>14392232.693528675</v>
          </cell>
        </row>
        <row r="48">
          <cell r="A48" t="str">
            <v>Unrecognized actuarial loss gain @ 30/09/2002 (Flux)</v>
          </cell>
          <cell r="B48">
            <v>-1730944.3599778647</v>
          </cell>
          <cell r="C48">
            <v>-0.20983261099900119</v>
          </cell>
          <cell r="D48">
            <v>-2877682.9909536764</v>
          </cell>
          <cell r="E48">
            <v>-688189.51803091168</v>
          </cell>
          <cell r="F48">
            <v>-366077.14056713879</v>
          </cell>
          <cell r="G48">
            <v>125645.29419763386</v>
          </cell>
          <cell r="H48">
            <v>-309177.80548115075</v>
          </cell>
          <cell r="I48">
            <v>-7405.268565984501</v>
          </cell>
          <cell r="J48">
            <v>-17271.457360859786</v>
          </cell>
          <cell r="K48">
            <v>-29404.792304613715</v>
          </cell>
          <cell r="L48">
            <v>-9902.530223551239</v>
          </cell>
          <cell r="M48">
            <v>-210515.83965926152</v>
          </cell>
          <cell r="N48">
            <v>545602.98856421979</v>
          </cell>
          <cell r="O48">
            <v>-5575323.6301957704</v>
          </cell>
        </row>
        <row r="50">
          <cell r="A50" t="str">
            <v>Unrecognized actuarial loss (gain) @ 30/09/2002</v>
          </cell>
          <cell r="B50">
            <v>-1830559.0089570649</v>
          </cell>
          <cell r="C50">
            <v>-0.27007160519989315</v>
          </cell>
          <cell r="D50">
            <v>-3392029.5958719244</v>
          </cell>
          <cell r="E50">
            <v>1897432.6332977107</v>
          </cell>
          <cell r="F50">
            <v>5547795.1369787827</v>
          </cell>
          <cell r="G50">
            <v>3847206.4353973758</v>
          </cell>
          <cell r="H50">
            <v>1629346.3237316927</v>
          </cell>
          <cell r="I50">
            <v>37434.570087831045</v>
          </cell>
          <cell r="J50">
            <v>13576.405578448237</v>
          </cell>
          <cell r="K50">
            <v>-35841.5309809264</v>
          </cell>
          <cell r="L50">
            <v>-23466.514521887999</v>
          </cell>
          <cell r="M50">
            <v>56588.050518353353</v>
          </cell>
          <cell r="N50">
            <v>1069426.4281461199</v>
          </cell>
          <cell r="O50">
            <v>8816909.063332906</v>
          </cell>
        </row>
      </sheetData>
      <sheetData sheetId="12">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5">
          <cell r="A15" t="str">
            <v>Unrecognized Transition Obligation (Asset) @ 30/09/2001</v>
          </cell>
          <cell r="B15">
            <v>159917.45713611142</v>
          </cell>
          <cell r="C15">
            <v>-965.83376348931915</v>
          </cell>
          <cell r="D15">
            <v>335481.48393173132</v>
          </cell>
          <cell r="E15">
            <v>-103160.12839535311</v>
          </cell>
          <cell r="F15">
            <v>-143830.31437490394</v>
          </cell>
          <cell r="G15">
            <v>166244.43050062959</v>
          </cell>
          <cell r="H15">
            <v>-171765.45998246787</v>
          </cell>
          <cell r="I15">
            <v>1444.2410097003308</v>
          </cell>
          <cell r="J15">
            <v>8067.4393799187046</v>
          </cell>
          <cell r="K15">
            <v>531.59136410490612</v>
          </cell>
          <cell r="L15">
            <v>145.43176908437323</v>
          </cell>
          <cell r="M15">
            <v>0</v>
          </cell>
          <cell r="N15">
            <v>0</v>
          </cell>
          <cell r="O15">
            <v>252110.33857506642</v>
          </cell>
        </row>
        <row r="17">
          <cell r="A17" t="str">
            <v>Ventes</v>
          </cell>
          <cell r="B17">
            <v>0</v>
          </cell>
          <cell r="C17">
            <v>0</v>
          </cell>
          <cell r="D17">
            <v>0</v>
          </cell>
          <cell r="E17">
            <v>0</v>
          </cell>
          <cell r="F17">
            <v>0</v>
          </cell>
          <cell r="G17">
            <v>0</v>
          </cell>
          <cell r="H17">
            <v>0</v>
          </cell>
          <cell r="I17">
            <v>0</v>
          </cell>
          <cell r="J17">
            <v>0</v>
          </cell>
          <cell r="K17">
            <v>0</v>
          </cell>
          <cell r="L17">
            <v>0</v>
          </cell>
          <cell r="M17">
            <v>0</v>
          </cell>
          <cell r="N17">
            <v>0</v>
          </cell>
          <cell r="O17">
            <v>0</v>
          </cell>
        </row>
        <row r="18">
          <cell r="A18" t="str">
            <v>Transferts IN de TO</v>
          </cell>
          <cell r="B18">
            <v>0</v>
          </cell>
          <cell r="C18">
            <v>966</v>
          </cell>
          <cell r="D18">
            <v>0</v>
          </cell>
          <cell r="E18">
            <v>0</v>
          </cell>
          <cell r="F18">
            <v>0</v>
          </cell>
          <cell r="G18">
            <v>0</v>
          </cell>
          <cell r="H18">
            <v>0</v>
          </cell>
          <cell r="I18">
            <v>0</v>
          </cell>
          <cell r="J18">
            <v>0</v>
          </cell>
          <cell r="K18">
            <v>0</v>
          </cell>
          <cell r="L18">
            <v>0</v>
          </cell>
          <cell r="M18">
            <v>0</v>
          </cell>
          <cell r="N18">
            <v>0</v>
          </cell>
          <cell r="O18">
            <v>966</v>
          </cell>
        </row>
        <row r="19">
          <cell r="A19" t="str">
            <v>Transferts Out de TO</v>
          </cell>
          <cell r="B19">
            <v>-966</v>
          </cell>
          <cell r="C19">
            <v>0</v>
          </cell>
          <cell r="D19">
            <v>0</v>
          </cell>
          <cell r="E19">
            <v>0</v>
          </cell>
          <cell r="F19">
            <v>0</v>
          </cell>
          <cell r="G19">
            <v>0</v>
          </cell>
          <cell r="H19">
            <v>0</v>
          </cell>
          <cell r="I19">
            <v>0</v>
          </cell>
          <cell r="J19">
            <v>0</v>
          </cell>
          <cell r="K19">
            <v>0</v>
          </cell>
          <cell r="L19">
            <v>0</v>
          </cell>
          <cell r="M19">
            <v>0</v>
          </cell>
          <cell r="N19">
            <v>0</v>
          </cell>
          <cell r="O19">
            <v>-966</v>
          </cell>
        </row>
        <row r="21">
          <cell r="A21" t="str">
            <v>New Unrecognized Transition Obligation (Asset) @ 30/09/2001</v>
          </cell>
          <cell r="B21">
            <v>158951.45713611142</v>
          </cell>
          <cell r="C21">
            <v>0.16623651068084655</v>
          </cell>
          <cell r="D21">
            <v>335481.48393173132</v>
          </cell>
          <cell r="E21">
            <v>-103160.12839535311</v>
          </cell>
          <cell r="F21">
            <v>-143830.31437490394</v>
          </cell>
          <cell r="G21">
            <v>166244.43050062959</v>
          </cell>
          <cell r="H21">
            <v>-171765.45998246787</v>
          </cell>
          <cell r="I21">
            <v>1444.2410097003308</v>
          </cell>
          <cell r="J21">
            <v>8067.4393799187046</v>
          </cell>
          <cell r="K21">
            <v>531.59136410490612</v>
          </cell>
          <cell r="L21">
            <v>145.43176908437323</v>
          </cell>
          <cell r="M21">
            <v>0</v>
          </cell>
          <cell r="N21">
            <v>0</v>
          </cell>
          <cell r="O21">
            <v>252110.33857506642</v>
          </cell>
        </row>
        <row r="23">
          <cell r="A23" t="str">
            <v>Durée d'amortissement</v>
          </cell>
          <cell r="B23">
            <v>2</v>
          </cell>
          <cell r="C23">
            <v>2</v>
          </cell>
          <cell r="D23">
            <v>2</v>
          </cell>
          <cell r="E23">
            <v>2</v>
          </cell>
          <cell r="F23">
            <v>2</v>
          </cell>
          <cell r="G23">
            <v>2</v>
          </cell>
          <cell r="H23">
            <v>2</v>
          </cell>
          <cell r="I23">
            <v>2</v>
          </cell>
          <cell r="J23">
            <v>2</v>
          </cell>
          <cell r="K23">
            <v>2</v>
          </cell>
          <cell r="L23">
            <v>2</v>
          </cell>
          <cell r="M23">
            <v>2</v>
          </cell>
          <cell r="N23">
            <v>2</v>
          </cell>
          <cell r="O23">
            <v>2</v>
          </cell>
        </row>
        <row r="24">
          <cell r="A24" t="str">
            <v>Amortissement de TO dans l'année</v>
          </cell>
          <cell r="B24">
            <v>-79475.728568055711</v>
          </cell>
          <cell r="C24">
            <v>-8.3118255340423275E-2</v>
          </cell>
          <cell r="D24">
            <v>-167740.74196586566</v>
          </cell>
          <cell r="E24">
            <v>51580.064197676555</v>
          </cell>
          <cell r="F24">
            <v>71915.157187451972</v>
          </cell>
          <cell r="G24">
            <v>-83122.215250314795</v>
          </cell>
          <cell r="H24">
            <v>85882.729991233937</v>
          </cell>
          <cell r="I24">
            <v>-722.12050485016539</v>
          </cell>
          <cell r="J24">
            <v>-4033.7196899593523</v>
          </cell>
          <cell r="K24">
            <v>-265.79568205245306</v>
          </cell>
          <cell r="L24">
            <v>-72.715884542186615</v>
          </cell>
          <cell r="M24">
            <v>0</v>
          </cell>
          <cell r="N24">
            <v>0</v>
          </cell>
          <cell r="O24">
            <v>-126055.16928753321</v>
          </cell>
        </row>
        <row r="27">
          <cell r="A27" t="str">
            <v>Unrecognized Transition Obligation (Asset) @ 31/12/2002</v>
          </cell>
          <cell r="B27">
            <v>79475.728568055711</v>
          </cell>
          <cell r="C27">
            <v>8.3118255340423275E-2</v>
          </cell>
          <cell r="D27">
            <v>167740.74196586566</v>
          </cell>
          <cell r="E27">
            <v>-51580.064197676555</v>
          </cell>
          <cell r="F27">
            <v>-71915.157187451972</v>
          </cell>
          <cell r="G27">
            <v>83122.215250314795</v>
          </cell>
          <cell r="H27">
            <v>-85882.729991233937</v>
          </cell>
          <cell r="I27">
            <v>722.12050485016539</v>
          </cell>
          <cell r="J27">
            <v>4033.7196899593523</v>
          </cell>
          <cell r="K27">
            <v>265.79568205245306</v>
          </cell>
          <cell r="L27">
            <v>72.715884542186615</v>
          </cell>
          <cell r="M27">
            <v>0</v>
          </cell>
          <cell r="N27">
            <v>0</v>
          </cell>
          <cell r="O27">
            <v>126055.16928753321</v>
          </cell>
        </row>
      </sheetData>
      <sheetData sheetId="13">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9">
          <cell r="A19" t="str">
            <v>PSC au 30/09/2001</v>
          </cell>
          <cell r="B19">
            <v>2263513.5628958461</v>
          </cell>
          <cell r="C19">
            <v>48950.942264956575</v>
          </cell>
          <cell r="D19">
            <v>11336128.011529451</v>
          </cell>
          <cell r="E19">
            <v>17091207.602945641</v>
          </cell>
          <cell r="F19">
            <v>19318784.155866027</v>
          </cell>
          <cell r="G19">
            <v>9698001.8372796848</v>
          </cell>
          <cell r="H19">
            <v>0</v>
          </cell>
          <cell r="I19">
            <v>11270.679148713927</v>
          </cell>
          <cell r="J19">
            <v>45743.571875093323</v>
          </cell>
          <cell r="K19">
            <v>5484.3462566068147</v>
          </cell>
          <cell r="L19">
            <v>13026.303569116064</v>
          </cell>
          <cell r="M19">
            <v>616225.90890776645</v>
          </cell>
          <cell r="N19">
            <v>359697.48151533253</v>
          </cell>
          <cell r="O19">
            <v>60808034.404054232</v>
          </cell>
        </row>
        <row r="21">
          <cell r="A21" t="str">
            <v>Ventes de PSC</v>
          </cell>
          <cell r="B21">
            <v>0</v>
          </cell>
          <cell r="C21">
            <v>0</v>
          </cell>
          <cell r="D21">
            <v>0</v>
          </cell>
          <cell r="E21">
            <v>0</v>
          </cell>
          <cell r="F21">
            <v>0</v>
          </cell>
          <cell r="G21">
            <v>0</v>
          </cell>
          <cell r="H21">
            <v>0</v>
          </cell>
          <cell r="I21">
            <v>0</v>
          </cell>
          <cell r="J21">
            <v>0</v>
          </cell>
          <cell r="K21">
            <v>0</v>
          </cell>
          <cell r="L21">
            <v>0</v>
          </cell>
          <cell r="M21">
            <v>0</v>
          </cell>
          <cell r="N21">
            <v>0</v>
          </cell>
          <cell r="O21">
            <v>0</v>
          </cell>
        </row>
        <row r="22">
          <cell r="A22" t="str">
            <v>Transferts IN de PSC</v>
          </cell>
          <cell r="B22">
            <v>0</v>
          </cell>
          <cell r="C22">
            <v>-48951</v>
          </cell>
          <cell r="D22">
            <v>0</v>
          </cell>
          <cell r="E22">
            <v>0</v>
          </cell>
          <cell r="F22">
            <v>0</v>
          </cell>
          <cell r="G22">
            <v>0</v>
          </cell>
          <cell r="H22">
            <v>0</v>
          </cell>
          <cell r="I22">
            <v>0</v>
          </cell>
          <cell r="J22">
            <v>0</v>
          </cell>
          <cell r="K22">
            <v>0</v>
          </cell>
          <cell r="L22">
            <v>0</v>
          </cell>
          <cell r="M22">
            <v>0</v>
          </cell>
          <cell r="N22">
            <v>0</v>
          </cell>
          <cell r="O22">
            <v>-48951</v>
          </cell>
        </row>
        <row r="23">
          <cell r="A23" t="str">
            <v>Transferts Out de PSC</v>
          </cell>
          <cell r="B23">
            <v>48951</v>
          </cell>
          <cell r="C23">
            <v>0</v>
          </cell>
          <cell r="D23">
            <v>0</v>
          </cell>
          <cell r="E23">
            <v>0</v>
          </cell>
          <cell r="F23">
            <v>0</v>
          </cell>
          <cell r="G23">
            <v>0</v>
          </cell>
          <cell r="H23">
            <v>0</v>
          </cell>
          <cell r="I23">
            <v>0</v>
          </cell>
          <cell r="J23">
            <v>0</v>
          </cell>
          <cell r="K23">
            <v>0</v>
          </cell>
          <cell r="L23">
            <v>0</v>
          </cell>
          <cell r="M23">
            <v>0</v>
          </cell>
          <cell r="N23">
            <v>0</v>
          </cell>
          <cell r="O23">
            <v>48951</v>
          </cell>
        </row>
        <row r="25">
          <cell r="A25" t="str">
            <v>PSC  au 30/09/01 Réel</v>
          </cell>
          <cell r="B25">
            <v>2312464.5628958461</v>
          </cell>
          <cell r="C25">
            <v>-5.7735043425054755E-2</v>
          </cell>
          <cell r="D25">
            <v>11336128.011529451</v>
          </cell>
          <cell r="E25">
            <v>17091207.602945641</v>
          </cell>
          <cell r="F25">
            <v>19318784.155866027</v>
          </cell>
          <cell r="G25">
            <v>9698001.8372796848</v>
          </cell>
          <cell r="H25">
            <v>0</v>
          </cell>
          <cell r="I25">
            <v>11270.679148713927</v>
          </cell>
          <cell r="J25">
            <v>45743.571875093323</v>
          </cell>
          <cell r="K25">
            <v>5484.3462566068147</v>
          </cell>
          <cell r="L25">
            <v>13026.303569116064</v>
          </cell>
          <cell r="M25">
            <v>616225.90890776645</v>
          </cell>
          <cell r="N25">
            <v>359697.48151533253</v>
          </cell>
          <cell r="O25">
            <v>60808034.404054232</v>
          </cell>
        </row>
        <row r="28">
          <cell r="A28" t="str">
            <v>Amortissement du PSC au cours de 2002</v>
          </cell>
          <cell r="B28">
            <v>-142305.51156282131</v>
          </cell>
          <cell r="C28">
            <v>3.5529257492341389E-3</v>
          </cell>
          <cell r="D28">
            <v>-697607.87763258163</v>
          </cell>
          <cell r="E28">
            <v>-1051766.6217197317</v>
          </cell>
          <cell r="F28">
            <v>-1188848.2557456016</v>
          </cell>
          <cell r="G28">
            <v>-596800.11306336522</v>
          </cell>
          <cell r="H28">
            <v>0</v>
          </cell>
          <cell r="I28">
            <v>-693.58025530547241</v>
          </cell>
          <cell r="J28">
            <v>-2814.9890384672813</v>
          </cell>
          <cell r="K28">
            <v>-337.49823117580399</v>
          </cell>
          <cell r="L28">
            <v>-801.61868117637312</v>
          </cell>
          <cell r="M28">
            <v>-37921.594394324093</v>
          </cell>
          <cell r="N28">
            <v>-22135.229631712773</v>
          </cell>
          <cell r="O28">
            <v>-3742032.8864033371</v>
          </cell>
        </row>
        <row r="30">
          <cell r="A30" t="str">
            <v>PSC  @ 30/09/2002</v>
          </cell>
          <cell r="B30">
            <v>2170159.0513330246</v>
          </cell>
          <cell r="C30">
            <v>-5.4182117675820617E-2</v>
          </cell>
          <cell r="D30">
            <v>10638520.133896869</v>
          </cell>
          <cell r="E30">
            <v>16039440.98122591</v>
          </cell>
          <cell r="F30">
            <v>18129935.900120426</v>
          </cell>
          <cell r="G30">
            <v>9101201.7242163196</v>
          </cell>
          <cell r="H30">
            <v>0</v>
          </cell>
          <cell r="I30">
            <v>10577.098893408454</v>
          </cell>
          <cell r="J30">
            <v>42928.582836626039</v>
          </cell>
          <cell r="K30">
            <v>5146.8480254310107</v>
          </cell>
          <cell r="L30">
            <v>12224.684887939691</v>
          </cell>
          <cell r="M30">
            <v>578304.31451344234</v>
          </cell>
          <cell r="N30">
            <v>337562.25188361976</v>
          </cell>
          <cell r="O30">
            <v>57066001.51765091</v>
          </cell>
        </row>
      </sheetData>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ey inputs"/>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inoritaires"/>
      <sheetName val="Minoritaires (IFRS)"/>
      <sheetName val="GW 20 août"/>
      <sheetName val="GW 20 août (IFRS)"/>
      <sheetName val="GW fusion"/>
      <sheetName val="GW fusion (IFRS)"/>
      <sheetName val="GW Hoechst"/>
      <sheetName val="Ventilation GW 2004"/>
      <sheetName val="Ventilation GW 2004 (après cor)"/>
      <sheetName val="Ventilation GW 2004 (IFRS)"/>
      <sheetName val="Amortissement GW (2003)"/>
      <sheetName val="IPRD"/>
      <sheetName val="IPRD SME (IFRS)"/>
      <sheetName val="Ecriture"/>
      <sheetName val="Ecriture (2)"/>
      <sheetName val="Ecriture (3)"/>
      <sheetName val="Ecriture IFRS"/>
      <sheetName val="Ecriture IFRS (2)"/>
      <sheetName val="Ecriture IFRS (3)"/>
      <sheetName val="Ecriture IFRS (4)"/>
      <sheetName val="Ecriture IFRS (5)"/>
      <sheetName val="Ecriture IFRS (6)"/>
      <sheetName val="Ecriture IFRS (7)"/>
      <sheetName val="Ecriture IFRS (8)"/>
      <sheetName val="Ecriture IFRS (9)"/>
      <sheetName val="Ecriture IFRS (10)"/>
      <sheetName val="Ecriture IFRS (11)"/>
      <sheetName val="Ecriture IFRS (12)"/>
      <sheetName val="Ecriture IFRS (13)"/>
      <sheetName val="Ecriture IFRS (14)"/>
      <sheetName val="Ecriture IFRS (15)"/>
      <sheetName val="Ecriture IFRS (16)"/>
      <sheetName val="Ecriture IFRS (17)"/>
      <sheetName val="Ecriture IFRS (18)"/>
      <sheetName val="Ecriture IFRS (19)"/>
      <sheetName val="Ecriture IFRS (20)"/>
      <sheetName val="Ecriture IFRS (21)"/>
      <sheetName val="Ecriture IFRS (22)"/>
      <sheetName val="Ecriture IFRS (23)"/>
      <sheetName val="Ecriture IFRS (24)"/>
      <sheetName val="Ecriture IFRS (33)"/>
      <sheetName val="Ecriture IFRS (34)"/>
      <sheetName val="Ecriture IFRS (35)"/>
      <sheetName val="Ecriture IFRS (25)"/>
      <sheetName val="Ecriture IFRS (26)"/>
      <sheetName val="Ecriture IFRS (27)"/>
      <sheetName val="Ecriture IFRS (28)"/>
      <sheetName val="Ecriture IFRS (29)"/>
      <sheetName val="Ecriture IFRS (30)"/>
      <sheetName val="Ecriture IFRS (31)"/>
      <sheetName val="Ecriture IFRS (32)"/>
      <sheetName val="Ecriture IFRS (36)"/>
      <sheetName val="Ecriture IFRS (37)"/>
      <sheetName val="Ecriture IFRS (38)"/>
    </sheetNames>
    <sheetDataSet>
      <sheetData sheetId="0"/>
      <sheetData sheetId="1"/>
      <sheetData sheetId="2"/>
      <sheetData sheetId="3"/>
      <sheetData sheetId="4"/>
      <sheetData sheetId="5"/>
      <sheetData sheetId="6"/>
      <sheetData sheetId="7">
        <row r="12">
          <cell r="J12">
            <v>1.2759400000000001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X Rate"/>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GHB"/>
      <sheetName val="SAP"/>
      <sheetName val="CORRESPONDANCE"/>
    </sheetNames>
    <sheetDataSet>
      <sheetData sheetId="0"/>
      <sheetData sheetId="1"/>
      <sheetData sheetId="2">
        <row r="1">
          <cell r="A1">
            <v>80310000</v>
          </cell>
          <cell r="B1" t="str">
            <v>Options de change</v>
          </cell>
          <cell r="D1" t="str">
            <v>ENGAGEMENTS BANCAIRES OPTIONS</v>
          </cell>
          <cell r="E1" t="str">
            <v>ENGAGEMENTS HORS BILAN</v>
          </cell>
        </row>
        <row r="2">
          <cell r="A2">
            <v>80310010</v>
          </cell>
          <cell r="B2" t="str">
            <v>Options de change</v>
          </cell>
          <cell r="D2" t="str">
            <v>ENGAGEMENTS BANCAIRES OPTIONS</v>
          </cell>
          <cell r="E2" t="str">
            <v>ENGAGEMENTS HORS BILAN</v>
          </cell>
        </row>
        <row r="3">
          <cell r="A3">
            <v>80320000</v>
          </cell>
          <cell r="B3" t="str">
            <v>Options de change</v>
          </cell>
          <cell r="D3" t="str">
            <v>ENGAGEMENTS BANCAIRES OPTIONS</v>
          </cell>
          <cell r="E3" t="str">
            <v>ENGAGEMENTS HORS BILAN</v>
          </cell>
        </row>
        <row r="4">
          <cell r="A4">
            <v>80320010</v>
          </cell>
          <cell r="B4" t="str">
            <v>Options de change</v>
          </cell>
          <cell r="D4" t="str">
            <v>ENGAGEMENTS BANCAIRES OPTIONS</v>
          </cell>
          <cell r="E4" t="str">
            <v>ENGAGEMENTS HORS BILAN</v>
          </cell>
        </row>
        <row r="5">
          <cell r="A5">
            <v>80330000</v>
          </cell>
          <cell r="B5" t="str">
            <v>Options de change</v>
          </cell>
          <cell r="D5" t="str">
            <v>ENGAGEMENTS BANCAIRES OPTIONS</v>
          </cell>
          <cell r="E5" t="str">
            <v>ENGAGEMENTS HORS BILAN</v>
          </cell>
        </row>
        <row r="6">
          <cell r="A6">
            <v>80330010</v>
          </cell>
          <cell r="B6" t="str">
            <v>Options de change</v>
          </cell>
          <cell r="D6" t="str">
            <v>ENGAGEMENTS BANCAIRES OPTIONS</v>
          </cell>
          <cell r="E6" t="str">
            <v>ENGAGEMENTS HORS BILAN</v>
          </cell>
        </row>
        <row r="7">
          <cell r="A7">
            <v>80340000</v>
          </cell>
          <cell r="B7" t="str">
            <v>Options de change</v>
          </cell>
          <cell r="D7" t="str">
            <v>ENGAGEMENTS BANCAIRES OPTIONS</v>
          </cell>
          <cell r="E7" t="str">
            <v>ENGAGEMENTS HORS BILAN</v>
          </cell>
        </row>
        <row r="8">
          <cell r="A8">
            <v>80340010</v>
          </cell>
          <cell r="B8" t="str">
            <v>Options de change</v>
          </cell>
          <cell r="D8" t="str">
            <v>ENGAGEMENTS BANCAIRES OPTIONS</v>
          </cell>
          <cell r="E8" t="str">
            <v>ENGAGEMENTS HORS BILAN</v>
          </cell>
        </row>
        <row r="9">
          <cell r="A9">
            <v>80140000</v>
          </cell>
          <cell r="B9" t="str">
            <v>Ventes à terme</v>
          </cell>
          <cell r="D9" t="str">
            <v>ENGAGEMENTS BANCAIRES A TERME DE DEVISES</v>
          </cell>
          <cell r="E9" t="str">
            <v>ENGAGEMENTS HORS BILAN</v>
          </cell>
        </row>
        <row r="10">
          <cell r="A10">
            <v>80140010</v>
          </cell>
          <cell r="B10" t="str">
            <v>Ventes à terme</v>
          </cell>
          <cell r="D10" t="str">
            <v>ENGAGEMENTS BANCAIRES A TERME DE DEVISES</v>
          </cell>
          <cell r="E10" t="str">
            <v>ENGAGEMENTS HORS BILAN</v>
          </cell>
        </row>
        <row r="11">
          <cell r="A11">
            <v>80140020</v>
          </cell>
          <cell r="B11" t="str">
            <v>Ventes à terme</v>
          </cell>
          <cell r="D11" t="str">
            <v>ENGAGEMENTS BANCAIRES A TERME DE DEVISES</v>
          </cell>
          <cell r="E11" t="str">
            <v>ENGAGEMENTS HORS BILAN</v>
          </cell>
        </row>
        <row r="12">
          <cell r="A12">
            <v>80240000</v>
          </cell>
          <cell r="B12" t="str">
            <v>Achats à terme</v>
          </cell>
          <cell r="D12" t="str">
            <v>ENGAGEMENTS BANCAIRES A TERME DE DEVISES</v>
          </cell>
          <cell r="E12" t="str">
            <v>ENGAGEMENTS HORS BILAN</v>
          </cell>
        </row>
        <row r="13">
          <cell r="A13">
            <v>80240010</v>
          </cell>
          <cell r="B13" t="str">
            <v>Achats à terme</v>
          </cell>
          <cell r="D13" t="str">
            <v>ENGAGEMENTS BANCAIRES A TERME DE DEVISES</v>
          </cell>
          <cell r="E13" t="str">
            <v>ENGAGEMENTS HORS BILAN</v>
          </cell>
        </row>
        <row r="14">
          <cell r="A14">
            <v>80240020</v>
          </cell>
          <cell r="B14" t="str">
            <v>Achats à terme</v>
          </cell>
          <cell r="D14" t="str">
            <v>ENGAGEMENTS BANCAIRES A TERME DE DEVISES</v>
          </cell>
          <cell r="E14" t="str">
            <v>ENGAGEMENTS HORS BILAN</v>
          </cell>
        </row>
        <row r="15">
          <cell r="A15">
            <v>80210090</v>
          </cell>
          <cell r="B15" t="str">
            <v>Garanties export commercial</v>
          </cell>
          <cell r="D15" t="str">
            <v>ENGAGEMENTS VIS A VIS DES FILIALES DU GROUPE</v>
          </cell>
          <cell r="E15" t="str">
            <v>ENGAGEMENTS HORS BILAN</v>
          </cell>
        </row>
        <row r="16">
          <cell r="A16">
            <v>80220090</v>
          </cell>
          <cell r="B16" t="str">
            <v>Garanties export financier</v>
          </cell>
          <cell r="D16" t="str">
            <v>ENGAGEMENTS VIS A VIS DES FILIALES DU GROUPE</v>
          </cell>
          <cell r="E16" t="str">
            <v>ENGAGEMENTS HORS BILAN</v>
          </cell>
        </row>
        <row r="17">
          <cell r="A17">
            <v>80230090</v>
          </cell>
          <cell r="B17" t="str">
            <v>Garanties export financier</v>
          </cell>
          <cell r="D17" t="str">
            <v>ENGAGEMENTS VIS A VIS DES FILIALES DU GROUPE</v>
          </cell>
          <cell r="E17" t="str">
            <v>ENGAGEMENTS HORS BILAN</v>
          </cell>
        </row>
        <row r="18">
          <cell r="A18">
            <v>80110090</v>
          </cell>
          <cell r="B18" t="str">
            <v>Garanties import commercial</v>
          </cell>
          <cell r="D18" t="str">
            <v>ENGAGEMENTS VIS A VIS DES FILIALES DU GROUPE</v>
          </cell>
          <cell r="E18" t="str">
            <v>ENGAGEMENTS HORS BILAN</v>
          </cell>
        </row>
        <row r="19">
          <cell r="A19">
            <v>80120090</v>
          </cell>
          <cell r="B19" t="str">
            <v>Garanties import financier</v>
          </cell>
          <cell r="D19" t="str">
            <v>ENGAGEMENTS VIS A VIS DES FILIALES DU GROUPE</v>
          </cell>
          <cell r="E19" t="str">
            <v>ENGAGEMENTS HORS BILAN</v>
          </cell>
        </row>
        <row r="20">
          <cell r="A20">
            <v>80130090</v>
          </cell>
          <cell r="B20" t="str">
            <v>Garanties import financier</v>
          </cell>
          <cell r="D20" t="str">
            <v>ENGAGEMENTS VIS A VIS DES FILIALES DU GROUPE</v>
          </cell>
          <cell r="E20" t="str">
            <v>ENGAGEMENTS HORS BILAN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
      <sheetName val="valeur"/>
      <sheetName val="082004"/>
    </sheetNames>
    <sheetDataSet>
      <sheetData sheetId="0">
        <row r="4">
          <cell r="B4" t="str">
            <v>Date</v>
          </cell>
        </row>
      </sheetData>
      <sheetData sheetId="1">
        <row r="4">
          <cell r="B4" t="str">
            <v>Date</v>
          </cell>
          <cell r="C4" t="str">
            <v>AED</v>
          </cell>
          <cell r="D4" t="str">
            <v>BRL</v>
          </cell>
          <cell r="E4" t="str">
            <v>CNY</v>
          </cell>
          <cell r="F4" t="str">
            <v>IDR</v>
          </cell>
          <cell r="G4" t="str">
            <v>INR</v>
          </cell>
          <cell r="H4" t="str">
            <v>MAD</v>
          </cell>
          <cell r="I4" t="str">
            <v>MXN</v>
          </cell>
          <cell r="J4" t="str">
            <v>MYR</v>
          </cell>
          <cell r="K4" t="str">
            <v>PHP</v>
          </cell>
          <cell r="L4" t="str">
            <v>RUB</v>
          </cell>
          <cell r="M4" t="str">
            <v>SAR</v>
          </cell>
          <cell r="N4" t="str">
            <v>THB</v>
          </cell>
          <cell r="O4" t="str">
            <v>TND</v>
          </cell>
          <cell r="P4" t="str">
            <v>TWD</v>
          </cell>
        </row>
        <row r="5">
          <cell r="B5">
            <v>0</v>
          </cell>
          <cell r="C5">
            <v>1</v>
          </cell>
          <cell r="D5">
            <v>2</v>
          </cell>
          <cell r="E5">
            <v>3</v>
          </cell>
          <cell r="F5">
            <v>4</v>
          </cell>
          <cell r="G5">
            <v>5</v>
          </cell>
          <cell r="H5">
            <v>6</v>
          </cell>
          <cell r="I5">
            <v>7</v>
          </cell>
          <cell r="J5">
            <v>8</v>
          </cell>
          <cell r="K5">
            <v>9</v>
          </cell>
          <cell r="L5">
            <v>10</v>
          </cell>
          <cell r="M5">
            <v>11</v>
          </cell>
          <cell r="N5">
            <v>12</v>
          </cell>
          <cell r="O5">
            <v>13</v>
          </cell>
          <cell r="P5">
            <v>14</v>
          </cell>
        </row>
        <row r="6">
          <cell r="B6">
            <v>38198</v>
          </cell>
          <cell r="C6">
            <v>4.4212999999999996</v>
          </cell>
          <cell r="D6">
            <v>3.6562000000000001</v>
          </cell>
          <cell r="E6">
            <v>9.9647000000000006</v>
          </cell>
          <cell r="F6">
            <v>11042.4</v>
          </cell>
          <cell r="G6">
            <v>55.95</v>
          </cell>
          <cell r="H6">
            <v>10.951000000000001</v>
          </cell>
          <cell r="I6">
            <v>13.7431</v>
          </cell>
          <cell r="J6">
            <v>4.5804</v>
          </cell>
          <cell r="K6">
            <v>67.358000000000004</v>
          </cell>
          <cell r="L6">
            <v>35.053199999999997</v>
          </cell>
          <cell r="M6">
            <v>4.5148999999999999</v>
          </cell>
          <cell r="N6">
            <v>49.779000000000003</v>
          </cell>
          <cell r="O6">
            <v>1.5353000000000001</v>
          </cell>
          <cell r="P6">
            <v>41.095999999999997</v>
          </cell>
        </row>
        <row r="7">
          <cell r="B7">
            <v>38201</v>
          </cell>
          <cell r="C7">
            <v>4.4272</v>
          </cell>
          <cell r="D7">
            <v>3.6732</v>
          </cell>
          <cell r="E7">
            <v>9.9779</v>
          </cell>
          <cell r="F7">
            <v>10993.16</v>
          </cell>
          <cell r="G7">
            <v>55.92</v>
          </cell>
          <cell r="H7">
            <v>10.958500000000001</v>
          </cell>
          <cell r="I7">
            <v>13.767099999999999</v>
          </cell>
          <cell r="J7">
            <v>4.5892999999999997</v>
          </cell>
          <cell r="K7">
            <v>67.242999999999995</v>
          </cell>
          <cell r="L7">
            <v>35.160899999999998</v>
          </cell>
          <cell r="M7">
            <v>4.5209000000000001</v>
          </cell>
          <cell r="N7" t="str">
            <v/>
          </cell>
          <cell r="O7">
            <v>1.5356000000000001</v>
          </cell>
          <cell r="P7">
            <v>41.110999999999997</v>
          </cell>
        </row>
        <row r="8">
          <cell r="B8">
            <v>38202</v>
          </cell>
          <cell r="C8">
            <v>4.4150999999999998</v>
          </cell>
          <cell r="D8">
            <v>3.6690999999999998</v>
          </cell>
          <cell r="E8">
            <v>9.9505999999999997</v>
          </cell>
          <cell r="F8">
            <v>10991.87</v>
          </cell>
          <cell r="G8">
            <v>55.61</v>
          </cell>
          <cell r="H8">
            <v>10.955</v>
          </cell>
          <cell r="I8">
            <v>13.726100000000001</v>
          </cell>
          <cell r="J8">
            <v>4.5659000000000001</v>
          </cell>
          <cell r="K8">
            <v>67.161000000000001</v>
          </cell>
          <cell r="L8">
            <v>35.057400000000001</v>
          </cell>
          <cell r="M8">
            <v>4.5086000000000004</v>
          </cell>
          <cell r="N8">
            <v>49.71</v>
          </cell>
          <cell r="O8">
            <v>1.5329999999999999</v>
          </cell>
          <cell r="P8">
            <v>40.994999999999997</v>
          </cell>
        </row>
        <row r="9">
          <cell r="B9">
            <v>38203</v>
          </cell>
          <cell r="C9">
            <v>4.4008000000000003</v>
          </cell>
          <cell r="D9">
            <v>3.6596000000000002</v>
          </cell>
          <cell r="E9">
            <v>9.9177</v>
          </cell>
          <cell r="F9">
            <v>11048.95</v>
          </cell>
          <cell r="G9">
            <v>55.76</v>
          </cell>
          <cell r="H9">
            <v>10.942500000000001</v>
          </cell>
          <cell r="I9">
            <v>13.7235</v>
          </cell>
          <cell r="J9">
            <v>4.5656999999999996</v>
          </cell>
          <cell r="K9">
            <v>66.984999999999999</v>
          </cell>
          <cell r="L9">
            <v>35.084600000000002</v>
          </cell>
          <cell r="M9">
            <v>4.4939</v>
          </cell>
          <cell r="N9">
            <v>49.64</v>
          </cell>
          <cell r="O9">
            <v>1.5331999999999999</v>
          </cell>
          <cell r="P9">
            <v>40.950000000000003</v>
          </cell>
        </row>
        <row r="10">
          <cell r="B10">
            <v>38204</v>
          </cell>
          <cell r="C10">
            <v>4.4223999999999997</v>
          </cell>
          <cell r="D10">
            <v>3.6957</v>
          </cell>
          <cell r="E10">
            <v>9.9665999999999997</v>
          </cell>
          <cell r="F10">
            <v>11087.85</v>
          </cell>
          <cell r="G10">
            <v>55.9</v>
          </cell>
          <cell r="H10">
            <v>10.954000000000001</v>
          </cell>
          <cell r="I10">
            <v>13.757400000000001</v>
          </cell>
          <cell r="J10">
            <v>4.5823</v>
          </cell>
          <cell r="K10">
            <v>67.17</v>
          </cell>
          <cell r="L10">
            <v>35.195099999999996</v>
          </cell>
          <cell r="M10">
            <v>4.5159000000000002</v>
          </cell>
          <cell r="N10">
            <v>49.923000000000002</v>
          </cell>
          <cell r="O10">
            <v>1.5349999999999999</v>
          </cell>
          <cell r="P10">
            <v>41.128999999999998</v>
          </cell>
        </row>
        <row r="11">
          <cell r="B11">
            <v>38205</v>
          </cell>
          <cell r="C11">
            <v>4.4305000000000003</v>
          </cell>
          <cell r="D11">
            <v>3.6577999999999999</v>
          </cell>
          <cell r="E11">
            <v>9.9847999999999999</v>
          </cell>
          <cell r="F11">
            <v>11088.5</v>
          </cell>
          <cell r="G11">
            <v>56.06</v>
          </cell>
          <cell r="H11">
            <v>10.987</v>
          </cell>
          <cell r="I11">
            <v>13.759</v>
          </cell>
          <cell r="J11">
            <v>4.5815000000000001</v>
          </cell>
          <cell r="K11">
            <v>67.215000000000003</v>
          </cell>
          <cell r="L11">
            <v>35.250700000000002</v>
          </cell>
          <cell r="M11">
            <v>4.5242000000000004</v>
          </cell>
          <cell r="N11">
            <v>50.02</v>
          </cell>
          <cell r="O11">
            <v>1.5354000000000001</v>
          </cell>
          <cell r="P11">
            <v>41.206000000000003</v>
          </cell>
        </row>
        <row r="12">
          <cell r="B12">
            <v>38208</v>
          </cell>
          <cell r="C12">
            <v>4.4977</v>
          </cell>
          <cell r="D12">
            <v>3.7219000000000002</v>
          </cell>
          <cell r="E12">
            <v>10.136699999999999</v>
          </cell>
          <cell r="F12">
            <v>11237.47</v>
          </cell>
          <cell r="G12">
            <v>56.96</v>
          </cell>
          <cell r="H12">
            <v>10.992000000000001</v>
          </cell>
          <cell r="I12">
            <v>13.967700000000001</v>
          </cell>
          <cell r="J12">
            <v>4.6600999999999999</v>
          </cell>
          <cell r="K12">
            <v>68.227999999999994</v>
          </cell>
          <cell r="L12">
            <v>35.929600000000001</v>
          </cell>
          <cell r="M12">
            <v>4.5929000000000002</v>
          </cell>
          <cell r="N12">
            <v>50.683</v>
          </cell>
          <cell r="O12">
            <v>1.5450999999999999</v>
          </cell>
          <cell r="P12">
            <v>41.77</v>
          </cell>
        </row>
        <row r="13">
          <cell r="B13">
            <v>38209</v>
          </cell>
          <cell r="C13">
            <v>4.5095000000000001</v>
          </cell>
          <cell r="D13">
            <v>3.7181000000000002</v>
          </cell>
          <cell r="E13">
            <v>10.1633</v>
          </cell>
          <cell r="F13">
            <v>11303.75</v>
          </cell>
          <cell r="G13">
            <v>57.03</v>
          </cell>
          <cell r="H13">
            <v>10.994999999999999</v>
          </cell>
          <cell r="I13">
            <v>14.018000000000001</v>
          </cell>
          <cell r="J13">
            <v>4.6654999999999998</v>
          </cell>
          <cell r="K13">
            <v>68.344999999999999</v>
          </cell>
          <cell r="L13">
            <v>35.918999999999997</v>
          </cell>
          <cell r="M13">
            <v>4.6048</v>
          </cell>
          <cell r="N13">
            <v>50.832999999999998</v>
          </cell>
          <cell r="O13">
            <v>1.5465</v>
          </cell>
          <cell r="P13">
            <v>41.869</v>
          </cell>
        </row>
        <row r="14">
          <cell r="B14">
            <v>38210</v>
          </cell>
          <cell r="C14">
            <v>4.4926000000000004</v>
          </cell>
          <cell r="D14">
            <v>3.7139000000000002</v>
          </cell>
          <cell r="E14">
            <v>10.124599999999999</v>
          </cell>
          <cell r="F14">
            <v>11301.92</v>
          </cell>
          <cell r="G14">
            <v>56.73</v>
          </cell>
          <cell r="H14">
            <v>10.986499999999999</v>
          </cell>
          <cell r="I14">
            <v>13.981400000000001</v>
          </cell>
          <cell r="J14">
            <v>4.6441999999999997</v>
          </cell>
          <cell r="K14">
            <v>68.063999999999993</v>
          </cell>
          <cell r="L14">
            <v>35.801400000000001</v>
          </cell>
          <cell r="M14">
            <v>4.5876000000000001</v>
          </cell>
          <cell r="N14">
            <v>50.768999999999998</v>
          </cell>
          <cell r="O14">
            <v>1.5446</v>
          </cell>
          <cell r="P14">
            <v>41.762999999999998</v>
          </cell>
        </row>
        <row r="15">
          <cell r="B15">
            <v>38211</v>
          </cell>
          <cell r="C15">
            <v>4.5010000000000003</v>
          </cell>
          <cell r="D15">
            <v>3.7197</v>
          </cell>
          <cell r="E15">
            <v>10.143700000000001</v>
          </cell>
          <cell r="F15">
            <v>11300.88</v>
          </cell>
          <cell r="G15">
            <v>56.61</v>
          </cell>
          <cell r="H15">
            <v>10.994</v>
          </cell>
          <cell r="I15">
            <v>14.0101</v>
          </cell>
          <cell r="J15">
            <v>4.6600999999999999</v>
          </cell>
          <cell r="K15">
            <v>68.228999999999999</v>
          </cell>
          <cell r="L15">
            <v>35.833799999999997</v>
          </cell>
          <cell r="M15">
            <v>4.5961999999999996</v>
          </cell>
          <cell r="N15" t="str">
            <v/>
          </cell>
          <cell r="O15">
            <v>1.5458000000000001</v>
          </cell>
          <cell r="P15">
            <v>41.841999999999999</v>
          </cell>
        </row>
        <row r="16">
          <cell r="B16">
            <v>38212</v>
          </cell>
          <cell r="C16">
            <v>4.4874000000000001</v>
          </cell>
          <cell r="D16">
            <v>3.6901000000000002</v>
          </cell>
          <cell r="E16">
            <v>10.113099999999999</v>
          </cell>
          <cell r="F16">
            <v>11333.43</v>
          </cell>
          <cell r="G16">
            <v>56.42</v>
          </cell>
          <cell r="H16">
            <v>11.000999999999999</v>
          </cell>
          <cell r="I16">
            <v>13.910399999999999</v>
          </cell>
          <cell r="J16">
            <v>4.6355000000000004</v>
          </cell>
          <cell r="K16">
            <v>68.034999999999997</v>
          </cell>
          <cell r="L16">
            <v>35.720999999999997</v>
          </cell>
          <cell r="M16">
            <v>4.5823</v>
          </cell>
          <cell r="N16">
            <v>50.777000000000001</v>
          </cell>
          <cell r="O16" t="str">
            <v/>
          </cell>
          <cell r="P16">
            <v>41.779000000000003</v>
          </cell>
        </row>
        <row r="17">
          <cell r="B17">
            <v>38215</v>
          </cell>
          <cell r="C17">
            <v>4.5308000000000002</v>
          </cell>
          <cell r="D17">
            <v>3.7097000000000002</v>
          </cell>
          <cell r="E17">
            <v>10.2112</v>
          </cell>
          <cell r="F17">
            <v>11444.87</v>
          </cell>
          <cell r="G17">
            <v>57.24</v>
          </cell>
          <cell r="H17">
            <v>11.005000000000001</v>
          </cell>
          <cell r="I17">
            <v>14.037699999999999</v>
          </cell>
          <cell r="J17">
            <v>4.6901999999999999</v>
          </cell>
          <cell r="K17">
            <v>68.754000000000005</v>
          </cell>
          <cell r="L17">
            <v>36.122399999999999</v>
          </cell>
          <cell r="M17">
            <v>4.6265999999999998</v>
          </cell>
          <cell r="N17">
            <v>51.243000000000002</v>
          </cell>
          <cell r="O17">
            <v>1.5492999999999999</v>
          </cell>
          <cell r="P17">
            <v>42.186</v>
          </cell>
        </row>
        <row r="18">
          <cell r="B18">
            <v>38216</v>
          </cell>
          <cell r="C18">
            <v>4.5311000000000003</v>
          </cell>
          <cell r="D18">
            <v>3.6951999999999998</v>
          </cell>
          <cell r="E18">
            <v>10.211499999999999</v>
          </cell>
          <cell r="F18" t="str">
            <v/>
          </cell>
          <cell r="G18">
            <v>57.34</v>
          </cell>
          <cell r="H18">
            <v>11.005000000000001</v>
          </cell>
          <cell r="I18">
            <v>13.9901</v>
          </cell>
          <cell r="J18">
            <v>4.6905999999999999</v>
          </cell>
          <cell r="K18">
            <v>68.741</v>
          </cell>
          <cell r="L18">
            <v>36.11</v>
          </cell>
          <cell r="M18">
            <v>4.6205999999999996</v>
          </cell>
          <cell r="N18">
            <v>51.213999999999999</v>
          </cell>
          <cell r="O18">
            <v>1.5492999999999999</v>
          </cell>
          <cell r="P18">
            <v>42.180999999999997</v>
          </cell>
        </row>
        <row r="19">
          <cell r="B19">
            <v>38217</v>
          </cell>
          <cell r="C19">
            <v>4.5286</v>
          </cell>
          <cell r="D19">
            <v>3.6783000000000001</v>
          </cell>
          <cell r="E19">
            <v>10.206</v>
          </cell>
          <cell r="F19">
            <v>11426.38</v>
          </cell>
          <cell r="G19">
            <v>57.31</v>
          </cell>
          <cell r="H19">
            <v>11.000999999999999</v>
          </cell>
          <cell r="I19">
            <v>14.007999999999999</v>
          </cell>
          <cell r="J19">
            <v>4.6853999999999996</v>
          </cell>
          <cell r="K19">
            <v>68.781999999999996</v>
          </cell>
          <cell r="L19">
            <v>36.124600000000001</v>
          </cell>
          <cell r="M19">
            <v>4.6180000000000003</v>
          </cell>
          <cell r="N19">
            <v>51.165999999999997</v>
          </cell>
          <cell r="O19">
            <v>1.5488999999999999</v>
          </cell>
          <cell r="P19">
            <v>42.146000000000001</v>
          </cell>
        </row>
        <row r="20">
          <cell r="B20">
            <v>38218</v>
          </cell>
          <cell r="C20">
            <v>4.5388000000000002</v>
          </cell>
          <cell r="D20">
            <v>3.6903999999999999</v>
          </cell>
          <cell r="E20">
            <v>10.229200000000001</v>
          </cell>
          <cell r="F20">
            <v>11423.92</v>
          </cell>
          <cell r="G20">
            <v>57.21</v>
          </cell>
          <cell r="H20">
            <v>11.01</v>
          </cell>
          <cell r="I20">
            <v>14.040800000000001</v>
          </cell>
          <cell r="J20">
            <v>4.6993</v>
          </cell>
          <cell r="K20">
            <v>68.914000000000001</v>
          </cell>
          <cell r="L20">
            <v>36.078800000000001</v>
          </cell>
          <cell r="M20">
            <v>4.6284999999999998</v>
          </cell>
          <cell r="N20">
            <v>51.268999999999998</v>
          </cell>
          <cell r="O20">
            <v>1.5506</v>
          </cell>
          <cell r="P20">
            <v>42.106999999999999</v>
          </cell>
        </row>
        <row r="21">
          <cell r="B21">
            <v>38219</v>
          </cell>
          <cell r="C21">
            <v>4.5145999999999997</v>
          </cell>
          <cell r="D21">
            <v>3.6461000000000001</v>
          </cell>
          <cell r="E21">
            <v>10.1745</v>
          </cell>
          <cell r="F21">
            <v>11417.05</v>
          </cell>
          <cell r="G21">
            <v>56.867400000000004</v>
          </cell>
          <cell r="H21" t="str">
            <v/>
          </cell>
          <cell r="I21">
            <v>13.9283</v>
          </cell>
          <cell r="J21">
            <v>4.6887999999999996</v>
          </cell>
          <cell r="K21">
            <v>68.497</v>
          </cell>
          <cell r="L21">
            <v>36.142099999999999</v>
          </cell>
          <cell r="M21">
            <v>4.6037999999999997</v>
          </cell>
          <cell r="N21">
            <v>50.935000000000002</v>
          </cell>
          <cell r="O21">
            <v>1.5489999999999999</v>
          </cell>
          <cell r="P21">
            <v>41.853000000000002</v>
          </cell>
        </row>
        <row r="22">
          <cell r="B22">
            <v>38222</v>
          </cell>
          <cell r="C22">
            <v>4.4988000000000001</v>
          </cell>
          <cell r="D22">
            <v>3.6297000000000001</v>
          </cell>
          <cell r="E22">
            <v>10.1387</v>
          </cell>
          <cell r="F22">
            <v>11364.75</v>
          </cell>
          <cell r="G22">
            <v>56.87</v>
          </cell>
          <cell r="H22">
            <v>10.987</v>
          </cell>
          <cell r="I22">
            <v>13.9466</v>
          </cell>
          <cell r="J22">
            <v>4.6603000000000003</v>
          </cell>
          <cell r="K22">
            <v>68.415999999999997</v>
          </cell>
          <cell r="L22">
            <v>35.958300000000001</v>
          </cell>
          <cell r="M22">
            <v>4.5940000000000003</v>
          </cell>
          <cell r="N22">
            <v>50.765000000000001</v>
          </cell>
          <cell r="O22">
            <v>1.5458000000000001</v>
          </cell>
          <cell r="P22">
            <v>41.732999999999997</v>
          </cell>
        </row>
        <row r="23">
          <cell r="B23">
            <v>38223</v>
          </cell>
          <cell r="C23">
            <v>4.4580000000000002</v>
          </cell>
          <cell r="D23">
            <v>3.5871</v>
          </cell>
          <cell r="E23">
            <v>10.046799999999999</v>
          </cell>
          <cell r="F23">
            <v>11271.96</v>
          </cell>
          <cell r="G23">
            <v>56.25</v>
          </cell>
          <cell r="H23">
            <v>10.9655</v>
          </cell>
          <cell r="I23">
            <v>13.8108</v>
          </cell>
          <cell r="J23">
            <v>4.6200999999999999</v>
          </cell>
          <cell r="K23">
            <v>67.947999999999993</v>
          </cell>
          <cell r="L23">
            <v>35.512</v>
          </cell>
          <cell r="M23">
            <v>4.5523999999999996</v>
          </cell>
          <cell r="N23">
            <v>50.192999999999998</v>
          </cell>
          <cell r="O23">
            <v>1.5412999999999999</v>
          </cell>
          <cell r="P23">
            <v>41.335000000000001</v>
          </cell>
        </row>
        <row r="24">
          <cell r="B24">
            <v>38224</v>
          </cell>
          <cell r="C24">
            <v>4.4367000000000001</v>
          </cell>
          <cell r="D24">
            <v>3.5651000000000002</v>
          </cell>
          <cell r="E24">
            <v>9.9990000000000006</v>
          </cell>
          <cell r="F24">
            <v>11185.1</v>
          </cell>
          <cell r="G24">
            <v>55.98</v>
          </cell>
          <cell r="H24">
            <v>10.961499999999999</v>
          </cell>
          <cell r="I24">
            <v>13.721299999999999</v>
          </cell>
          <cell r="J24">
            <v>4.5960000000000001</v>
          </cell>
          <cell r="K24">
            <v>67.707999999999998</v>
          </cell>
          <cell r="L24">
            <v>35.315399999999997</v>
          </cell>
          <cell r="M24">
            <v>4.5305999999999997</v>
          </cell>
          <cell r="N24">
            <v>50.146000000000001</v>
          </cell>
          <cell r="O24">
            <v>1.5387</v>
          </cell>
          <cell r="P24">
            <v>41.158000000000001</v>
          </cell>
        </row>
        <row r="25">
          <cell r="B25">
            <v>38225</v>
          </cell>
          <cell r="C25">
            <v>4.4436999999999998</v>
          </cell>
          <cell r="D25">
            <v>3.5756000000000001</v>
          </cell>
          <cell r="E25">
            <v>10.014799999999999</v>
          </cell>
          <cell r="F25">
            <v>11223.73</v>
          </cell>
          <cell r="G25">
            <v>55.94</v>
          </cell>
          <cell r="H25">
            <v>10.958</v>
          </cell>
          <cell r="I25">
            <v>13.7402</v>
          </cell>
          <cell r="J25">
            <v>4.5880000000000001</v>
          </cell>
          <cell r="K25">
            <v>67.826999999999998</v>
          </cell>
          <cell r="L25">
            <v>35.268799999999999</v>
          </cell>
          <cell r="M25">
            <v>4.5377000000000001</v>
          </cell>
          <cell r="N25">
            <v>50.451000000000001</v>
          </cell>
          <cell r="O25">
            <v>1.5376000000000001</v>
          </cell>
          <cell r="P25">
            <v>41.231000000000002</v>
          </cell>
        </row>
        <row r="26">
          <cell r="B26">
            <v>38226</v>
          </cell>
          <cell r="C26">
            <v>4.4382000000000001</v>
          </cell>
          <cell r="D26">
            <v>3.5699000000000001</v>
          </cell>
          <cell r="E26">
            <v>10.0022</v>
          </cell>
          <cell r="F26">
            <v>11251.21</v>
          </cell>
          <cell r="G26">
            <v>56.13</v>
          </cell>
          <cell r="H26">
            <v>10.9625</v>
          </cell>
          <cell r="I26">
            <v>13.755800000000001</v>
          </cell>
          <cell r="J26">
            <v>4.5972999999999997</v>
          </cell>
          <cell r="K26">
            <v>67.856999999999999</v>
          </cell>
          <cell r="L26">
            <v>35.4634</v>
          </cell>
          <cell r="M26">
            <v>4.5320999999999998</v>
          </cell>
          <cell r="N26">
            <v>50.296999999999997</v>
          </cell>
          <cell r="O26">
            <v>1.5379</v>
          </cell>
          <cell r="P26">
            <v>41.167999999999999</v>
          </cell>
        </row>
        <row r="27">
          <cell r="B27">
            <v>38229</v>
          </cell>
          <cell r="C27">
            <v>4.4242999999999997</v>
          </cell>
          <cell r="D27">
            <v>3.5478000000000001</v>
          </cell>
          <cell r="E27">
            <v>9.9711999999999996</v>
          </cell>
          <cell r="F27">
            <v>11215.35</v>
          </cell>
          <cell r="G27">
            <v>55.68</v>
          </cell>
          <cell r="H27">
            <v>10.954499999999999</v>
          </cell>
          <cell r="I27">
            <v>13.7456</v>
          </cell>
          <cell r="J27">
            <v>4.5788000000000002</v>
          </cell>
          <cell r="K27">
            <v>67.715999999999994</v>
          </cell>
          <cell r="L27">
            <v>35.146299999999997</v>
          </cell>
          <cell r="M27">
            <v>4.5179</v>
          </cell>
          <cell r="N27">
            <v>50.192999999999998</v>
          </cell>
          <cell r="O27">
            <v>1.5366</v>
          </cell>
          <cell r="P27">
            <v>41.055</v>
          </cell>
        </row>
        <row r="28">
          <cell r="B28">
            <v>38230</v>
          </cell>
          <cell r="C28">
            <v>4.4478</v>
          </cell>
          <cell r="D28">
            <v>3.5461</v>
          </cell>
          <cell r="E28">
            <v>10.0237</v>
          </cell>
          <cell r="F28">
            <v>11265.44</v>
          </cell>
          <cell r="G28">
            <v>56</v>
          </cell>
          <cell r="H28">
            <v>10.965999999999999</v>
          </cell>
          <cell r="I28">
            <v>13.779299999999999</v>
          </cell>
          <cell r="J28">
            <v>4.5788000000000002</v>
          </cell>
          <cell r="K28">
            <v>68.015000000000001</v>
          </cell>
          <cell r="L28">
            <v>35.371299999999998</v>
          </cell>
          <cell r="M28">
            <v>4.5419999999999998</v>
          </cell>
          <cell r="N28">
            <v>50.435000000000002</v>
          </cell>
          <cell r="O28">
            <v>1.538</v>
          </cell>
          <cell r="P28">
            <v>41.241999999999997</v>
          </cell>
        </row>
      </sheetData>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ey"/>
      <sheetName val="Shares"/>
      <sheetName val="Super"/>
      <sheetName val="FY banner"/>
      <sheetName val="WW FY"/>
      <sheetName val="Metrics PL"/>
      <sheetName val="Q banner"/>
      <sheetName val="Summary"/>
      <sheetName val="Months"/>
      <sheetName val="WW Q3"/>
      <sheetName val="WW_BO"/>
      <sheetName val="WW_Ess"/>
      <sheetName val="Rollup"/>
      <sheetName val="NAPD Q3"/>
      <sheetName val="Europe Q3"/>
      <sheetName val="Asia Q3"/>
      <sheetName val="FX rates"/>
      <sheetName val="Online Q3"/>
      <sheetName val="WW Studios Q3"/>
      <sheetName val="WWS Dev Royalty_Ess"/>
      <sheetName val="EA_EX_Ess"/>
      <sheetName val="EAP Q4"/>
      <sheetName val="Renderware Q3"/>
      <sheetName val="EAHQ Q3"/>
      <sheetName val="EAHQ data"/>
      <sheetName val="SKU banner"/>
      <sheetName val="WWS SKU Plan"/>
      <sheetName val="Heat Map"/>
      <sheetName val="BSCF banner"/>
      <sheetName val="CapEx"/>
      <sheetName val="HC banner"/>
      <sheetName val="Headcount "/>
      <sheetName val="EUR FY06 Plan Adj. M&amp;S-R&amp;D"/>
      <sheetName val="HC data"/>
      <sheetName val="NA_BO"/>
      <sheetName val="NA_Ess"/>
      <sheetName val="EU_BO"/>
      <sheetName val="EU_Ess"/>
      <sheetName val="Asia_BO"/>
      <sheetName val="JP_Ess"/>
      <sheetName val="AP_Ess"/>
      <sheetName val="OL_BO"/>
      <sheetName val="OL_Ess"/>
      <sheetName val="EAP_BO"/>
      <sheetName val="EAP_Ess"/>
      <sheetName val="RW_BO"/>
      <sheetName val="RW_Ess"/>
      <sheetName val="PARA"/>
    </sheetNames>
    <sheetDataSet>
      <sheetData sheetId="0" refreshError="1">
        <row r="1">
          <cell r="B1">
            <v>1000000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othèses"/>
      <sheetName val="Feuil3"/>
      <sheetName val="récap Euros"/>
      <sheetName val="SFAS 1999_Euro"/>
      <sheetName val="SFAS 2000_Euro"/>
      <sheetName val="SFAS 2001_Euro"/>
      <sheetName val="récap"/>
      <sheetName val="DA 1999"/>
      <sheetName val="Tableau Société"/>
      <sheetName val="Dette Initiale Euro"/>
      <sheetName val="Dette Initiale"/>
      <sheetName val="SFAS 1999_F"/>
      <sheetName val="SFAS 2000_F"/>
      <sheetName val="SFAS 2001_F"/>
      <sheetName val="Rationalisation PGA 01 Euro"/>
      <sheetName val="Rationalisation PGA"/>
      <sheetName val="Ventes 2001"/>
      <sheetName val="Transfert In_2001"/>
      <sheetName val="In_2001 - 1"/>
      <sheetName val="In_2001 - 2"/>
      <sheetName val="In_2001 - 3"/>
      <sheetName val="Transfert Out_2001"/>
      <sheetName val="Out_2001 - 1"/>
      <sheetName val="Out_2001 - 2"/>
      <sheetName val="Out_2001 - 3"/>
      <sheetName val="PGA 2000 euro"/>
      <sheetName val="PGA 2000"/>
      <sheetName val="PGA 2001"/>
      <sheetName val="TO 2001"/>
      <sheetName val="TO 2002"/>
      <sheetName val="SC 2001"/>
      <sheetName val="PSC 2001"/>
      <sheetName val="PSC 2002"/>
      <sheetName val="Charge 2002_Euro"/>
      <sheetName val="Charge 2002"/>
      <sheetName val="IC_PBO 2001"/>
      <sheetName val="IC_Prest 2001"/>
      <sheetName val="IC_2001"/>
      <sheetName val="DA 2000 Estimée Euro"/>
      <sheetName val="DA Estimée"/>
      <sheetName val="Transfert In"/>
      <sheetName val="Transfert In - 1"/>
      <sheetName val="Transfert In - 2"/>
      <sheetName val="Transfert In - 3"/>
      <sheetName val="Transfert In - 4"/>
      <sheetName val="Transfert In - 5"/>
      <sheetName val="Transfert In - 6"/>
      <sheetName val="Transfert In - 7"/>
      <sheetName val="Transfert In - 8"/>
      <sheetName val="Transfert In - 9"/>
      <sheetName val="Transfert In - 10"/>
      <sheetName val="Transfert Out"/>
      <sheetName val="Transfert Out - 1"/>
      <sheetName val="Transfert Out - 2"/>
      <sheetName val="Transfert Out - 3"/>
      <sheetName val="Transfert Out - 4"/>
      <sheetName val="Transfert Out - 5"/>
    </sheetNames>
    <sheetDataSet>
      <sheetData sheetId="0" refreshError="1">
        <row r="14">
          <cell r="B14">
            <v>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code SOCIETE</v>
          </cell>
          <cell r="B1" t="str">
            <v>Origine</v>
          </cell>
          <cell r="C1" t="str">
            <v>Libellé</v>
          </cell>
          <cell r="D1" t="str">
            <v>DA</v>
          </cell>
          <cell r="E1" t="str">
            <v>PGA</v>
          </cell>
          <cell r="F1" t="str">
            <v>SC</v>
          </cell>
          <cell r="G1" t="str">
            <v>IC sur SC</v>
          </cell>
          <cell r="H1" t="str">
            <v>PSC</v>
          </cell>
          <cell r="I1" t="str">
            <v>IC sur DA</v>
          </cell>
          <cell r="J1" t="str">
            <v>TO 2000</v>
          </cell>
        </row>
        <row r="2">
          <cell r="A2">
            <v>100</v>
          </cell>
          <cell r="B2" t="str">
            <v>SANOFI</v>
          </cell>
          <cell r="C2" t="str">
            <v>SANOFI SYNTHELABO</v>
          </cell>
        </row>
        <row r="3">
          <cell r="A3">
            <v>105</v>
          </cell>
          <cell r="B3" t="str">
            <v>SANOFI</v>
          </cell>
          <cell r="C3" t="str">
            <v>SRABM</v>
          </cell>
        </row>
        <row r="4">
          <cell r="A4">
            <v>106</v>
          </cell>
          <cell r="B4" t="str">
            <v>SANOFI</v>
          </cell>
          <cell r="C4" t="str">
            <v>SANOFI SYNTHELABO France</v>
          </cell>
        </row>
        <row r="5">
          <cell r="A5">
            <v>122</v>
          </cell>
          <cell r="B5" t="str">
            <v>SANOFI</v>
          </cell>
          <cell r="C5" t="str">
            <v>SANOFI WINTHROP INDUSTRIE</v>
          </cell>
        </row>
        <row r="6">
          <cell r="A6">
            <v>126</v>
          </cell>
          <cell r="B6" t="str">
            <v>SANOFI</v>
          </cell>
          <cell r="C6" t="str">
            <v>SANOFI RECHERCHE</v>
          </cell>
        </row>
        <row r="7">
          <cell r="A7">
            <v>410</v>
          </cell>
          <cell r="B7" t="str">
            <v>SANOFI</v>
          </cell>
          <cell r="C7" t="str">
            <v>SANOFI CHIMIE</v>
          </cell>
        </row>
        <row r="8">
          <cell r="A8">
            <v>436</v>
          </cell>
          <cell r="B8" t="str">
            <v>SANOFI</v>
          </cell>
          <cell r="C8" t="str">
            <v>SANOFI WINTHROP A.M.O.</v>
          </cell>
        </row>
        <row r="9">
          <cell r="A9">
            <v>444</v>
          </cell>
          <cell r="B9" t="str">
            <v>SANOFI</v>
          </cell>
          <cell r="C9" t="str">
            <v>SANOFI WINTHROP OCEAN INDIEN</v>
          </cell>
        </row>
        <row r="10">
          <cell r="A10">
            <v>445</v>
          </cell>
          <cell r="B10" t="str">
            <v>SANOFI</v>
          </cell>
          <cell r="C10" t="str">
            <v>SANOFI WINTHROP CARAIBES</v>
          </cell>
        </row>
        <row r="11">
          <cell r="A11">
            <v>804</v>
          </cell>
          <cell r="B11" t="str">
            <v>SYNTHELABO</v>
          </cell>
          <cell r="C11" t="str">
            <v>Synthelabo Groupe</v>
          </cell>
        </row>
        <row r="12">
          <cell r="A12" t="str">
            <v>F</v>
          </cell>
          <cell r="B12" t="str">
            <v>SYNTHELABO</v>
          </cell>
          <cell r="C12" t="str">
            <v>Synthelabo Recherche</v>
          </cell>
        </row>
        <row r="13">
          <cell r="A13">
            <v>807</v>
          </cell>
          <cell r="B13" t="str">
            <v>SYNTHELABO</v>
          </cell>
          <cell r="C13" t="str">
            <v>Synthelabo OTC</v>
          </cell>
        </row>
        <row r="14">
          <cell r="A14">
            <v>821</v>
          </cell>
          <cell r="B14" t="str">
            <v>SYNTHELABO</v>
          </cell>
          <cell r="C14" t="str">
            <v>Synthelabo Biomédical</v>
          </cell>
          <cell r="D14">
            <v>429678</v>
          </cell>
          <cell r="E14">
            <v>-77562</v>
          </cell>
          <cell r="F14">
            <v>98242.5</v>
          </cell>
          <cell r="G14">
            <v>3576.5842669537074</v>
          </cell>
          <cell r="H14">
            <v>285411</v>
          </cell>
          <cell r="I14">
            <v>35965.650241245807</v>
          </cell>
          <cell r="J14">
            <v>0</v>
          </cell>
        </row>
        <row r="15">
          <cell r="A15">
            <v>802</v>
          </cell>
          <cell r="B15" t="str">
            <v>SYNTHELABO</v>
          </cell>
          <cell r="C15" t="str">
            <v>Sylachim (ex Finorga)</v>
          </cell>
          <cell r="D15">
            <v>10196976</v>
          </cell>
          <cell r="E15">
            <v>-534999</v>
          </cell>
          <cell r="F15">
            <v>618241.75</v>
          </cell>
          <cell r="G15">
            <v>21113.042241633866</v>
          </cell>
          <cell r="H15">
            <v>0</v>
          </cell>
          <cell r="I15">
            <v>565422.62240197102</v>
          </cell>
          <cell r="J15">
            <v>0</v>
          </cell>
        </row>
        <row r="16">
          <cell r="A16">
            <v>811</v>
          </cell>
          <cell r="B16" t="str">
            <v>SYNTHELABO</v>
          </cell>
          <cell r="C16" t="str">
            <v>Irex</v>
          </cell>
          <cell r="D16">
            <v>0</v>
          </cell>
          <cell r="E16">
            <v>0</v>
          </cell>
          <cell r="G16">
            <v>0</v>
          </cell>
        </row>
        <row r="17">
          <cell r="A17" t="str">
            <v>Y</v>
          </cell>
          <cell r="B17" t="str">
            <v>SYNTHELABO</v>
          </cell>
          <cell r="C17" t="str">
            <v>Laboratoires Synthelabo</v>
          </cell>
          <cell r="D17">
            <v>0</v>
          </cell>
          <cell r="E17">
            <v>0</v>
          </cell>
          <cell r="G17">
            <v>0</v>
          </cell>
        </row>
        <row r="18">
          <cell r="A18">
            <v>808</v>
          </cell>
          <cell r="B18" t="str">
            <v>SYNTHELABO</v>
          </cell>
          <cell r="C18" t="str">
            <v>Dentoria</v>
          </cell>
          <cell r="D18">
            <v>866454.93926454475</v>
          </cell>
          <cell r="E18">
            <v>-144622.894924458</v>
          </cell>
          <cell r="F18">
            <v>131870.75</v>
          </cell>
          <cell r="G18">
            <v>4794.9734991083706</v>
          </cell>
          <cell r="H18">
            <v>563071</v>
          </cell>
          <cell r="I18">
            <v>71663.196582469114</v>
          </cell>
          <cell r="J18">
            <v>0</v>
          </cell>
        </row>
        <row r="19">
          <cell r="A19">
            <v>824</v>
          </cell>
          <cell r="B19" t="str">
            <v>SYNTHELABO</v>
          </cell>
          <cell r="C19" t="str">
            <v>Porges</v>
          </cell>
          <cell r="D19">
            <v>20003222</v>
          </cell>
          <cell r="E19">
            <v>35039</v>
          </cell>
          <cell r="F19">
            <v>1278316</v>
          </cell>
          <cell r="G19">
            <v>43659.174335536707</v>
          </cell>
          <cell r="H19">
            <v>0</v>
          </cell>
          <cell r="I19">
            <v>1110460.8317062396</v>
          </cell>
          <cell r="J19">
            <v>0</v>
          </cell>
        </row>
        <row r="20">
          <cell r="A20">
            <v>8</v>
          </cell>
          <cell r="B20" t="str">
            <v>SYNTHELABO</v>
          </cell>
          <cell r="C20" t="str">
            <v>Sogetic</v>
          </cell>
          <cell r="D20">
            <v>0</v>
          </cell>
          <cell r="E20">
            <v>0</v>
          </cell>
          <cell r="G20">
            <v>0</v>
          </cell>
        </row>
        <row r="21">
          <cell r="A21">
            <v>25</v>
          </cell>
          <cell r="B21" t="str">
            <v>SYNTHELABO</v>
          </cell>
          <cell r="C21" t="str">
            <v>Synthelabo Biomoléculaire</v>
          </cell>
          <cell r="D21">
            <v>0</v>
          </cell>
          <cell r="E21">
            <v>0</v>
          </cell>
          <cell r="G21">
            <v>0</v>
          </cell>
        </row>
        <row r="22">
          <cell r="A22">
            <v>822</v>
          </cell>
          <cell r="B22" t="str">
            <v>SYNTHELABO</v>
          </cell>
          <cell r="C22" t="str">
            <v>ELA Médical</v>
          </cell>
          <cell r="D22">
            <v>7495731</v>
          </cell>
          <cell r="E22">
            <v>-143174</v>
          </cell>
          <cell r="F22">
            <v>810622</v>
          </cell>
          <cell r="G22">
            <v>27683.482050814746</v>
          </cell>
          <cell r="H22">
            <v>0</v>
          </cell>
          <cell r="I22">
            <v>419589.88498186588</v>
          </cell>
          <cell r="J22">
            <v>0</v>
          </cell>
        </row>
        <row r="23">
          <cell r="A23">
            <v>806</v>
          </cell>
          <cell r="B23" t="str">
            <v>SYNTHELABO</v>
          </cell>
          <cell r="C23" t="str">
            <v>ELA France</v>
          </cell>
          <cell r="D23">
            <v>4746119</v>
          </cell>
          <cell r="E23">
            <v>179546</v>
          </cell>
          <cell r="F23">
            <v>399826.25</v>
          </cell>
          <cell r="G23">
            <v>13658.21069519308</v>
          </cell>
          <cell r="H23">
            <v>0</v>
          </cell>
          <cell r="I23">
            <v>264668.53896015126</v>
          </cell>
          <cell r="J23">
            <v>0</v>
          </cell>
        </row>
        <row r="24">
          <cell r="A24">
            <v>823</v>
          </cell>
          <cell r="B24" t="str">
            <v>SYNTHELABO</v>
          </cell>
          <cell r="C24" t="str">
            <v>ELA Recherche</v>
          </cell>
          <cell r="D24">
            <v>6065630</v>
          </cell>
          <cell r="E24">
            <v>202008</v>
          </cell>
          <cell r="F24">
            <v>524909</v>
          </cell>
          <cell r="G24">
            <v>17929.205955633122</v>
          </cell>
          <cell r="H24">
            <v>0</v>
          </cell>
          <cell r="I24">
            <v>338353.53513527068</v>
          </cell>
          <cell r="J24">
            <v>0</v>
          </cell>
        </row>
        <row r="25">
          <cell r="A25">
            <v>364</v>
          </cell>
          <cell r="B25" t="str">
            <v>SANOFI-SYNTHELABO</v>
          </cell>
          <cell r="C25" t="str">
            <v>Sanofi-Synthélabo Groupe</v>
          </cell>
        </row>
        <row r="26">
          <cell r="A26">
            <v>446</v>
          </cell>
          <cell r="B26" t="str">
            <v>SANOFI-SYNTHELABO</v>
          </cell>
          <cell r="C26" t="str">
            <v>Sanofi-Synthélabo Polynésie</v>
          </cell>
        </row>
        <row r="27">
          <cell r="A27">
            <v>447</v>
          </cell>
          <cell r="B27" t="str">
            <v>SANOFI-SYNTHELABO</v>
          </cell>
          <cell r="C27" t="str">
            <v>Sanofi-Synthélabo Nouvelle-Calédonie</v>
          </cell>
        </row>
        <row r="30">
          <cell r="D30">
            <v>49803810.939264543</v>
          </cell>
          <cell r="E30">
            <v>-483764.894924458</v>
          </cell>
          <cell r="F30">
            <v>3862028.25</v>
          </cell>
          <cell r="G30">
            <v>132414.67304487361</v>
          </cell>
          <cell r="H30">
            <v>848482</v>
          </cell>
          <cell r="I30">
            <v>2806124.2600092134</v>
          </cell>
          <cell r="J30">
            <v>0</v>
          </cell>
        </row>
      </sheetData>
      <sheetData sheetId="17" refreshError="1">
        <row r="1">
          <cell r="A1" t="str">
            <v>code SOCIETE</v>
          </cell>
          <cell r="B1" t="str">
            <v>Origine</v>
          </cell>
          <cell r="C1" t="str">
            <v>Libellé</v>
          </cell>
          <cell r="D1" t="str">
            <v>DA</v>
          </cell>
          <cell r="E1" t="str">
            <v>CN 1</v>
          </cell>
          <cell r="F1" t="str">
            <v>CN 2</v>
          </cell>
          <cell r="G1" t="str">
            <v>CN</v>
          </cell>
          <cell r="H1" t="str">
            <v>IC sur Coût Normal</v>
          </cell>
          <cell r="I1" t="str">
            <v>PSC</v>
          </cell>
          <cell r="J1" t="str">
            <v>DA New Régime @01-01-01</v>
          </cell>
          <cell r="K1" t="str">
            <v>IC sur PBO</v>
          </cell>
          <cell r="L1" t="str">
            <v>PGA 2000</v>
          </cell>
          <cell r="M1" t="str">
            <v>TO 2000</v>
          </cell>
          <cell r="N1" t="str">
            <v>Commentaires</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69494835.866848886</v>
          </cell>
          <cell r="E5">
            <v>3487014.2647762955</v>
          </cell>
          <cell r="F5">
            <v>5699685.1475474862</v>
          </cell>
          <cell r="G5">
            <v>5146517.4268546887</v>
          </cell>
          <cell r="H5">
            <v>186895.69618162242</v>
          </cell>
          <cell r="I5">
            <v>-43614253.240179725</v>
          </cell>
          <cell r="J5">
            <v>114573210.21372671</v>
          </cell>
          <cell r="K5">
            <v>5630830.0812763879</v>
          </cell>
          <cell r="L5">
            <v>-2196622.7188822827</v>
          </cell>
          <cell r="M5">
            <v>3624.7139024005819</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0</v>
          </cell>
          <cell r="E8">
            <v>0</v>
          </cell>
          <cell r="F8">
            <v>0</v>
          </cell>
          <cell r="G8">
            <v>0</v>
          </cell>
          <cell r="H8">
            <v>0</v>
          </cell>
          <cell r="I8">
            <v>0</v>
          </cell>
          <cell r="J8">
            <v>0</v>
          </cell>
          <cell r="K8">
            <v>0</v>
          </cell>
          <cell r="L8">
            <v>0</v>
          </cell>
          <cell r="M8">
            <v>0</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0</v>
          </cell>
          <cell r="E11">
            <v>0</v>
          </cell>
          <cell r="F11">
            <v>0</v>
          </cell>
          <cell r="G11">
            <v>0</v>
          </cell>
          <cell r="H11">
            <v>0</v>
          </cell>
          <cell r="I11">
            <v>0</v>
          </cell>
          <cell r="J11">
            <v>0</v>
          </cell>
          <cell r="K11">
            <v>0</v>
          </cell>
          <cell r="L11">
            <v>0</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866875.90710125759</v>
          </cell>
          <cell r="E13">
            <v>43503.164498547412</v>
          </cell>
          <cell r="F13">
            <v>70038.815333248422</v>
          </cell>
          <cell r="G13">
            <v>63404.902624573173</v>
          </cell>
          <cell r="H13">
            <v>2298.8132939390271</v>
          </cell>
          <cell r="I13">
            <v>-528075</v>
          </cell>
          <cell r="J13">
            <v>1403137.6858189877</v>
          </cell>
          <cell r="K13">
            <v>69171.65914232409</v>
          </cell>
          <cell r="L13">
            <v>-144693.16007554243</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0</v>
          </cell>
          <cell r="E18">
            <v>0</v>
          </cell>
          <cell r="F18">
            <v>0</v>
          </cell>
          <cell r="G18">
            <v>0</v>
          </cell>
          <cell r="H18">
            <v>0</v>
          </cell>
          <cell r="I18">
            <v>0</v>
          </cell>
          <cell r="J18">
            <v>0</v>
          </cell>
          <cell r="K18">
            <v>0</v>
          </cell>
          <cell r="L18">
            <v>0</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209401.47113720799</v>
          </cell>
          <cell r="E26">
            <v>16338.432790208321</v>
          </cell>
          <cell r="F26">
            <v>26421.307836442946</v>
          </cell>
          <cell r="G26">
            <v>23900.58907488429</v>
          </cell>
          <cell r="H26">
            <v>866.95526821014948</v>
          </cell>
          <cell r="I26">
            <v>-37635.335628655761</v>
          </cell>
          <cell r="J26">
            <v>345393.13055575418</v>
          </cell>
          <cell r="K26">
            <v>16973.414316016122</v>
          </cell>
          <cell r="L26">
            <v>-144489.89456708121</v>
          </cell>
          <cell r="M26">
            <v>5230.5161463624281</v>
          </cell>
        </row>
        <row r="27">
          <cell r="A27">
            <v>447</v>
          </cell>
          <cell r="B27" t="str">
            <v>SANOFI-SYNTHELABO</v>
          </cell>
          <cell r="C27" t="str">
            <v>Sanofi-Synthélabo Nouvelle-Calédonie</v>
          </cell>
          <cell r="D27">
            <v>57287.662013908601</v>
          </cell>
          <cell r="E27">
            <v>8810.8843712989747</v>
          </cell>
          <cell r="F27">
            <v>14505.671089644395</v>
          </cell>
          <cell r="G27">
            <v>13081.974410058041</v>
          </cell>
          <cell r="H27">
            <v>475.43455443704028</v>
          </cell>
          <cell r="I27">
            <v>-89390.655492229736</v>
          </cell>
          <cell r="J27">
            <v>97983.544120349019</v>
          </cell>
          <cell r="K27">
            <v>4786.6126876035123</v>
          </cell>
          <cell r="L27">
            <v>-39529.274552997304</v>
          </cell>
          <cell r="M27">
            <v>1430.954804299173</v>
          </cell>
        </row>
        <row r="29">
          <cell r="C29" t="str">
            <v>Total Transferts "In"</v>
          </cell>
          <cell r="D29">
            <v>70628400.907101259</v>
          </cell>
          <cell r="E29">
            <v>3555666.74643635</v>
          </cell>
          <cell r="F29">
            <v>5810650.9418068221</v>
          </cell>
          <cell r="G29">
            <v>5246904.8929642048</v>
          </cell>
          <cell r="H29">
            <v>190536.89929820862</v>
          </cell>
          <cell r="I29">
            <v>-44269354.231300615</v>
          </cell>
          <cell r="J29">
            <v>116419724.5742218</v>
          </cell>
          <cell r="K29">
            <v>5721761.7674223315</v>
          </cell>
          <cell r="L29">
            <v>-2525335.0480779037</v>
          </cell>
          <cell r="M29">
            <v>10286.184853062183</v>
          </cell>
        </row>
        <row r="30">
          <cell r="C30" t="str">
            <v>Total Transferts "Out"</v>
          </cell>
          <cell r="D30">
            <v>70628400.907101259</v>
          </cell>
          <cell r="E30">
            <v>3555666.7464363505</v>
          </cell>
          <cell r="F30">
            <v>5810650.9418068221</v>
          </cell>
          <cell r="G30">
            <v>5246904.8929642048</v>
          </cell>
          <cell r="H30">
            <v>190536.89929820862</v>
          </cell>
          <cell r="I30">
            <v>-44269354.231300607</v>
          </cell>
          <cell r="J30">
            <v>116419724.5742218</v>
          </cell>
          <cell r="K30">
            <v>5721761.7674223315</v>
          </cell>
          <cell r="L30">
            <v>-2525335.0480779037</v>
          </cell>
          <cell r="M30">
            <v>10286.184853062183</v>
          </cell>
        </row>
        <row r="31">
          <cell r="C31" t="str">
            <v>Test</v>
          </cell>
          <cell r="D31">
            <v>0</v>
          </cell>
          <cell r="E31">
            <v>0</v>
          </cell>
          <cell r="F31">
            <v>0</v>
          </cell>
          <cell r="G31">
            <v>0</v>
          </cell>
          <cell r="H31">
            <v>0</v>
          </cell>
          <cell r="I31">
            <v>0</v>
          </cell>
          <cell r="J31">
            <v>0</v>
          </cell>
          <cell r="K31">
            <v>0</v>
          </cell>
          <cell r="L31">
            <v>0</v>
          </cell>
          <cell r="M31">
            <v>0</v>
          </cell>
        </row>
      </sheetData>
      <sheetData sheetId="18" refreshError="1"/>
      <sheetData sheetId="19" refreshError="1"/>
      <sheetData sheetId="20" refreshError="1"/>
      <sheetData sheetId="21" refreshError="1">
        <row r="1">
          <cell r="A1" t="str">
            <v>code SOCIETE</v>
          </cell>
          <cell r="B1" t="str">
            <v>Origine</v>
          </cell>
          <cell r="C1" t="str">
            <v>Libellé</v>
          </cell>
          <cell r="D1" t="str">
            <v>DA</v>
          </cell>
          <cell r="E1" t="str">
            <v>CN1</v>
          </cell>
          <cell r="F1" t="str">
            <v>CN2</v>
          </cell>
          <cell r="G1" t="str">
            <v>CN</v>
          </cell>
          <cell r="H1" t="str">
            <v>IC</v>
          </cell>
          <cell r="I1" t="str">
            <v>PSC</v>
          </cell>
          <cell r="J1" t="str">
            <v>DA New Régime @01-01-01</v>
          </cell>
          <cell r="K1" t="str">
            <v>IC sur PBO</v>
          </cell>
          <cell r="L1" t="str">
            <v>PGA 2000</v>
          </cell>
          <cell r="M1" t="str">
            <v>TO 2000</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0</v>
          </cell>
          <cell r="E5">
            <v>0</v>
          </cell>
          <cell r="F5">
            <v>0</v>
          </cell>
          <cell r="G5">
            <v>0</v>
          </cell>
          <cell r="H5">
            <v>0</v>
          </cell>
          <cell r="I5">
            <v>0</v>
          </cell>
          <cell r="J5">
            <v>0</v>
          </cell>
          <cell r="K5">
            <v>0</v>
          </cell>
          <cell r="L5">
            <v>0</v>
          </cell>
          <cell r="M5">
            <v>0</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411802.99999999959</v>
          </cell>
          <cell r="E8">
            <v>34157.581937802985</v>
          </cell>
          <cell r="F8">
            <v>55483.12647357372</v>
          </cell>
          <cell r="G8">
            <v>50151.74033963104</v>
          </cell>
          <cell r="H8">
            <v>1820.0404289258631</v>
          </cell>
          <cell r="I8">
            <v>-255926.23130060808</v>
          </cell>
          <cell r="J8">
            <v>679681.88840281882</v>
          </cell>
          <cell r="K8">
            <v>33397.526933544374</v>
          </cell>
          <cell r="L8">
            <v>-284149.7327085163</v>
          </cell>
          <cell r="M8">
            <v>10286.184853062183</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69349722</v>
          </cell>
          <cell r="E11">
            <v>3478006</v>
          </cell>
          <cell r="F11">
            <v>5685129</v>
          </cell>
          <cell r="G11">
            <v>5133348.25</v>
          </cell>
          <cell r="H11">
            <v>186418.04557534374</v>
          </cell>
          <cell r="I11">
            <v>-43485353</v>
          </cell>
          <cell r="J11">
            <v>114336905</v>
          </cell>
          <cell r="K11">
            <v>5619192.5813464634</v>
          </cell>
          <cell r="L11">
            <v>-2096492.1552938451</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0</v>
          </cell>
          <cell r="E13">
            <v>0</v>
          </cell>
          <cell r="F13">
            <v>0</v>
          </cell>
          <cell r="G13">
            <v>0</v>
          </cell>
          <cell r="H13">
            <v>0</v>
          </cell>
          <cell r="I13">
            <v>0</v>
          </cell>
          <cell r="J13">
            <v>0</v>
          </cell>
          <cell r="K13">
            <v>0</v>
          </cell>
          <cell r="L13">
            <v>0</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866875.90710125759</v>
          </cell>
          <cell r="E18">
            <v>43503.164498547412</v>
          </cell>
          <cell r="F18">
            <v>70038.815333248422</v>
          </cell>
          <cell r="G18">
            <v>63404.902624573173</v>
          </cell>
          <cell r="H18">
            <v>2298.8132939390271</v>
          </cell>
          <cell r="I18">
            <v>-528075</v>
          </cell>
          <cell r="J18">
            <v>1403137.6858189877</v>
          </cell>
          <cell r="K18">
            <v>69171.65914232409</v>
          </cell>
          <cell r="L18">
            <v>-144693.16007554243</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0</v>
          </cell>
          <cell r="E26">
            <v>0</v>
          </cell>
          <cell r="F26">
            <v>0</v>
          </cell>
          <cell r="G26">
            <v>0</v>
          </cell>
          <cell r="H26">
            <v>0</v>
          </cell>
          <cell r="I26">
            <v>0</v>
          </cell>
          <cell r="J26">
            <v>0</v>
          </cell>
          <cell r="K26">
            <v>0</v>
          </cell>
          <cell r="L26">
            <v>0</v>
          </cell>
          <cell r="M26">
            <v>0</v>
          </cell>
        </row>
        <row r="27">
          <cell r="A27">
            <v>447</v>
          </cell>
          <cell r="B27" t="str">
            <v>SANOFI-SYNTHELABO</v>
          </cell>
          <cell r="C27" t="str">
            <v>Sanofi-Synthélabo Nouvelle-Calédonie</v>
          </cell>
          <cell r="D27">
            <v>0</v>
          </cell>
          <cell r="E27">
            <v>0</v>
          </cell>
          <cell r="F27">
            <v>0</v>
          </cell>
          <cell r="G27">
            <v>0</v>
          </cell>
          <cell r="H27">
            <v>0</v>
          </cell>
          <cell r="I27">
            <v>0</v>
          </cell>
          <cell r="J27">
            <v>0</v>
          </cell>
          <cell r="K27">
            <v>0</v>
          </cell>
          <cell r="L27">
            <v>0</v>
          </cell>
          <cell r="M27">
            <v>0</v>
          </cell>
        </row>
        <row r="29">
          <cell r="C29" t="str">
            <v>Total Transferts "In"</v>
          </cell>
          <cell r="D29">
            <v>70628400.907101259</v>
          </cell>
          <cell r="E29">
            <v>3555666.7464363505</v>
          </cell>
          <cell r="F29">
            <v>5810650.9418068221</v>
          </cell>
          <cell r="G29">
            <v>5246904.8929642048</v>
          </cell>
          <cell r="H29">
            <v>190536.89929820862</v>
          </cell>
          <cell r="I29">
            <v>-44269354.231300607</v>
          </cell>
          <cell r="J29">
            <v>116419724.5742218</v>
          </cell>
          <cell r="K29">
            <v>5721761.7674223315</v>
          </cell>
          <cell r="L29">
            <v>-2525335.0480779037</v>
          </cell>
          <cell r="M29">
            <v>10286.184853062183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EX"/>
      <sheetName val="FAX"/>
      <sheetName val="SOMMAIRE"/>
      <sheetName val="entities list"/>
      <sheetName val="A1"/>
      <sheetName val="A2"/>
      <sheetName val="A3"/>
      <sheetName val="A312"/>
      <sheetName val="D01"/>
      <sheetName val="D02"/>
      <sheetName val="D30"/>
      <sheetName val="D31"/>
      <sheetName val="D31A"/>
      <sheetName val="D31B"/>
      <sheetName val="D31C"/>
      <sheetName val="D31D"/>
      <sheetName val="ALT1"/>
      <sheetName val="ALT2"/>
      <sheetName val="ALT3"/>
      <sheetName val="ALT4"/>
      <sheetName val="ALT5"/>
      <sheetName val="ACT1"/>
      <sheetName val="TIT1"/>
      <sheetName val="TIT2"/>
      <sheetName val="TIT3"/>
      <sheetName val="TIT4"/>
      <sheetName val="TIT5"/>
      <sheetName val="PLT1"/>
      <sheetName val="PLT2"/>
      <sheetName val="PLT3"/>
      <sheetName val="PCT1"/>
      <sheetName val="PCT2"/>
      <sheetName val="SN1"/>
      <sheetName val="SN2"/>
      <sheetName val="SN3"/>
      <sheetName val="IMP1"/>
      <sheetName val="IMP2"/>
      <sheetName val="IMP4"/>
      <sheetName val="IFD1"/>
      <sheetName val="IFD2"/>
      <sheetName val="V101"/>
      <sheetName val="V201"/>
      <sheetName val="V202"/>
      <sheetName val="V301"/>
      <sheetName val="V302"/>
      <sheetName val="V303"/>
      <sheetName val="V304"/>
      <sheetName val="E5"/>
      <sheetName val="REST"/>
      <sheetName val="HON"/>
      <sheetName val="Z"/>
      <sheetName val="Com"/>
      <sheetName val="Tables"/>
      <sheetName val="Int Hyp."/>
    </sheetNames>
    <sheetDataSet>
      <sheetData sheetId="0">
        <row r="5">
          <cell r="B5">
            <v>40143</v>
          </cell>
        </row>
        <row r="6">
          <cell r="B6" t="str">
            <v>Laboratoire Aventis (France)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ommaire"/>
      <sheetName val="Nbre actions"/>
      <sheetName val="Actions propres"/>
      <sheetName val="Cap S001"/>
      <sheetName val="Sop-0"/>
      <sheetName val="Sop-1"/>
      <sheetName val="Sop-2"/>
      <sheetName val="Sop-3"/>
      <sheetName val="Cours a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hyperlink" Target="http://www.vara-services.de/app/csv?view=3&amp;document_id=50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yse.com/quote/XNYS:SNY" TargetMode="External"/><Relationship Id="rId4" Type="http://schemas.openxmlformats.org/officeDocument/2006/relationships/hyperlink" Target="http://www.marketwatch.com/investing/stock/sny" TargetMode="External"/><Relationship Id="rId5" Type="http://schemas.openxmlformats.org/officeDocument/2006/relationships/hyperlink" Target="http://www.investopedia.com/markets/stocks/sny/" TargetMode="External"/><Relationship Id="rId6" Type="http://schemas.openxmlformats.org/officeDocument/2006/relationships/hyperlink" Target="https://markets.ft.com/data/equities/tearsheet/summary?s=SNY:NYQ" TargetMode="External"/><Relationship Id="rId7" Type="http://schemas.openxmlformats.org/officeDocument/2006/relationships/vmlDrawing" Target="../drawings/vmlDrawing2.vml"/><Relationship Id="rId8" Type="http://schemas.openxmlformats.org/officeDocument/2006/relationships/comments" Target="../comments2.xml"/><Relationship Id="rId1" Type="http://schemas.openxmlformats.org/officeDocument/2006/relationships/hyperlink" Target="https://www.google.com/finance?q=NYSE%3ASNY&amp;ei=yMoxWYn2OYjQUYGZtNAM" TargetMode="External"/><Relationship Id="rId2" Type="http://schemas.openxmlformats.org/officeDocument/2006/relationships/hyperlink" Target="https://finance.yahoo.com/quote/SNY/?p=SN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pages.stern.nyu.edu/~adamodar/New_Home_Page/datafile/ctryprem.html" TargetMode="External"/><Relationship Id="rId4" Type="http://schemas.openxmlformats.org/officeDocument/2006/relationships/hyperlink" Target="https://www.nyse.com/quote/XNYS:SNY" TargetMode="External"/><Relationship Id="rId1" Type="http://schemas.openxmlformats.org/officeDocument/2006/relationships/hyperlink" Target="https://www.ecb.europa.eu/stats/financial_markets_and_interest_rates/euro_area_yield_curves/html/index.en.html" TargetMode="External"/><Relationship Id="rId2" Type="http://schemas.openxmlformats.org/officeDocument/2006/relationships/hyperlink" Target="http://pages.stern.nyu.edu/~adamodar/New_Home_Page/datafile/ctryprem.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146"/>
  <sheetViews>
    <sheetView showGridLines="0" tabSelected="1" zoomScale="125" zoomScaleNormal="125" zoomScalePageLayoutView="125" workbookViewId="0"/>
  </sheetViews>
  <sheetFormatPr baseColWidth="10" defaultColWidth="8.83203125" defaultRowHeight="11" x14ac:dyDescent="0"/>
  <cols>
    <col min="1" max="1" width="2.6640625" style="1" customWidth="1"/>
    <col min="2" max="4" width="10.6640625" style="1" customWidth="1"/>
    <col min="5" max="5" width="11.1640625" style="1" customWidth="1"/>
    <col min="6" max="10" width="10.6640625" style="1" customWidth="1"/>
    <col min="11" max="11" width="11.1640625" style="1" customWidth="1"/>
    <col min="12" max="16" width="10.6640625" style="1" customWidth="1"/>
    <col min="17" max="17" width="10.6640625" style="1" hidden="1" customWidth="1"/>
    <col min="18" max="18" width="6.83203125" style="1" hidden="1" customWidth="1"/>
    <col min="19" max="19" width="10.83203125" style="1" hidden="1" customWidth="1"/>
    <col min="20" max="16384" width="8.83203125" style="1"/>
  </cols>
  <sheetData>
    <row r="1" spans="2:18">
      <c r="B1" s="18" t="s">
        <v>0</v>
      </c>
    </row>
    <row r="2" spans="2:18" ht="14">
      <c r="B2" s="126" t="str">
        <f>HYPERLINK("https://seekingalpha.com/symbol/ALV?s=alv",WACC!D4)</f>
        <v>Sanofi S.A. (NYSE: SNY)</v>
      </c>
    </row>
    <row r="3" spans="2:18" ht="16" thickBot="1">
      <c r="B3" s="17" t="s">
        <v>4</v>
      </c>
      <c r="C3" s="2"/>
      <c r="D3" s="2"/>
      <c r="E3" s="2"/>
      <c r="F3" s="2"/>
      <c r="G3" s="2"/>
      <c r="H3" s="2"/>
      <c r="I3" s="2"/>
      <c r="J3" s="2"/>
      <c r="K3" s="2"/>
      <c r="L3" s="2"/>
      <c r="M3" s="2"/>
      <c r="N3" s="2"/>
      <c r="O3" s="2"/>
      <c r="P3" s="2"/>
      <c r="Q3" s="2"/>
    </row>
    <row r="4" spans="2:18" ht="5.25" customHeight="1">
      <c r="B4" s="3"/>
      <c r="C4" s="4"/>
      <c r="D4" s="4"/>
      <c r="E4" s="4"/>
      <c r="F4" s="4"/>
      <c r="G4" s="4"/>
      <c r="H4" s="4"/>
      <c r="I4" s="4"/>
      <c r="J4" s="4"/>
      <c r="K4" s="4"/>
      <c r="L4" s="4"/>
      <c r="M4" s="4"/>
      <c r="N4" s="4"/>
      <c r="O4" s="4"/>
      <c r="P4" s="4"/>
      <c r="Q4" s="206"/>
    </row>
    <row r="5" spans="2:18" ht="14">
      <c r="B5" s="5" t="s">
        <v>410</v>
      </c>
      <c r="C5" s="6"/>
      <c r="D5" s="6"/>
      <c r="E5" s="6"/>
      <c r="F5" s="6"/>
      <c r="G5" s="6"/>
      <c r="H5" s="6"/>
      <c r="I5" s="6"/>
      <c r="J5" s="6"/>
      <c r="K5" s="6"/>
      <c r="L5" s="6"/>
      <c r="M5" s="6"/>
      <c r="N5" s="6"/>
      <c r="O5" s="6"/>
      <c r="P5" s="6"/>
      <c r="Q5" s="6"/>
    </row>
    <row r="6" spans="2:18" ht="14">
      <c r="B6" s="7"/>
      <c r="C6" s="7"/>
      <c r="D6" s="7"/>
      <c r="E6" s="7"/>
      <c r="F6" s="7"/>
      <c r="G6" s="19"/>
      <c r="H6" s="20"/>
      <c r="I6" s="20"/>
      <c r="J6" s="20"/>
      <c r="K6" s="20" t="s">
        <v>72</v>
      </c>
      <c r="L6" s="20"/>
      <c r="M6" s="20"/>
      <c r="N6" s="20"/>
      <c r="O6" s="20"/>
      <c r="P6" s="20"/>
      <c r="Q6" s="207"/>
    </row>
    <row r="7" spans="2:18" ht="14">
      <c r="B7" s="7"/>
      <c r="C7" s="7"/>
      <c r="D7" s="7"/>
      <c r="E7" s="7"/>
      <c r="F7" s="8"/>
      <c r="G7" s="269" t="s">
        <v>5</v>
      </c>
      <c r="H7" s="269"/>
      <c r="I7" s="269"/>
      <c r="J7" s="269"/>
      <c r="K7" s="270"/>
      <c r="L7" s="269" t="s">
        <v>6</v>
      </c>
      <c r="M7" s="269"/>
      <c r="N7" s="269"/>
      <c r="O7" s="269"/>
      <c r="P7" s="269"/>
      <c r="Q7" s="208"/>
    </row>
    <row r="8" spans="2:18" ht="15" thickBot="1">
      <c r="B8" s="9"/>
      <c r="C8" s="9"/>
      <c r="D8" s="9"/>
      <c r="E8" s="9"/>
      <c r="F8" s="9"/>
      <c r="G8" s="21">
        <v>2012</v>
      </c>
      <c r="H8" s="21">
        <v>2013</v>
      </c>
      <c r="I8" s="21">
        <v>2014</v>
      </c>
      <c r="J8" s="21">
        <v>2015</v>
      </c>
      <c r="K8" s="21">
        <v>2016</v>
      </c>
      <c r="L8" s="21">
        <v>2017</v>
      </c>
      <c r="M8" s="21">
        <v>2018</v>
      </c>
      <c r="N8" s="21">
        <v>2019</v>
      </c>
      <c r="O8" s="21">
        <v>2020</v>
      </c>
      <c r="P8" s="21">
        <v>2021</v>
      </c>
      <c r="Q8" s="209"/>
    </row>
    <row r="9" spans="2:18" ht="14">
      <c r="B9" s="10"/>
      <c r="C9" s="10"/>
      <c r="D9" s="10"/>
      <c r="E9" s="10"/>
      <c r="F9" s="10"/>
      <c r="G9" s="138">
        <v>0</v>
      </c>
      <c r="H9" s="138">
        <v>0</v>
      </c>
      <c r="I9" s="138">
        <v>0</v>
      </c>
      <c r="J9" s="138">
        <v>0</v>
      </c>
      <c r="K9" s="138">
        <v>0</v>
      </c>
      <c r="L9" s="138">
        <v>550</v>
      </c>
      <c r="M9" s="10"/>
      <c r="N9" s="10"/>
      <c r="O9" s="10"/>
      <c r="P9" s="10"/>
      <c r="Q9" s="10"/>
    </row>
    <row r="10" spans="2:18" ht="14">
      <c r="B10" s="90" t="s">
        <v>12</v>
      </c>
      <c r="C10" s="91"/>
      <c r="D10" s="91"/>
      <c r="E10" s="91"/>
      <c r="F10" s="91"/>
      <c r="G10" s="91"/>
      <c r="H10" s="91"/>
      <c r="I10" s="91"/>
      <c r="J10" s="91"/>
      <c r="K10" s="91"/>
      <c r="L10" s="91"/>
      <c r="M10" s="91"/>
      <c r="N10" s="91"/>
      <c r="O10" s="91"/>
      <c r="P10" s="92"/>
      <c r="Q10" s="98"/>
    </row>
    <row r="11" spans="2:18" ht="14">
      <c r="B11" s="14"/>
      <c r="C11" s="10"/>
      <c r="D11" s="10"/>
      <c r="E11" s="10"/>
      <c r="F11" s="10"/>
      <c r="G11" s="125"/>
      <c r="H11" s="10"/>
      <c r="I11" s="10"/>
      <c r="J11" s="10"/>
      <c r="K11" s="10"/>
      <c r="L11" s="10"/>
      <c r="M11" s="10"/>
      <c r="N11" s="10"/>
      <c r="O11" s="10"/>
      <c r="P11" s="10"/>
      <c r="Q11" s="10"/>
    </row>
    <row r="12" spans="2:18" ht="14">
      <c r="B12" s="10" t="s">
        <v>19</v>
      </c>
      <c r="C12" s="10"/>
      <c r="D12" s="202" t="s">
        <v>426</v>
      </c>
      <c r="E12" s="10"/>
      <c r="F12" s="10"/>
      <c r="G12" s="10"/>
      <c r="H12" s="10"/>
      <c r="I12" s="10"/>
      <c r="J12" s="10"/>
      <c r="K12" s="10"/>
      <c r="L12" s="10"/>
      <c r="M12" s="10"/>
      <c r="N12" s="10"/>
      <c r="O12" s="10"/>
      <c r="P12" s="10"/>
      <c r="Q12" s="10"/>
    </row>
    <row r="13" spans="2:18" ht="14">
      <c r="B13" s="10" t="s">
        <v>427</v>
      </c>
      <c r="C13" s="26"/>
      <c r="D13" s="127"/>
      <c r="F13" s="36"/>
      <c r="G13" s="10"/>
      <c r="H13" s="10"/>
      <c r="I13" s="10"/>
      <c r="J13" s="10"/>
      <c r="K13" s="10"/>
      <c r="L13" s="10"/>
      <c r="M13" s="10"/>
      <c r="N13" s="10"/>
      <c r="O13" s="10"/>
      <c r="P13" s="10"/>
      <c r="Q13" s="10"/>
      <c r="R13" s="10"/>
    </row>
    <row r="14" spans="2:18" ht="14">
      <c r="B14" s="127" t="s">
        <v>156</v>
      </c>
      <c r="C14" s="26"/>
      <c r="D14" s="127" t="str">
        <f>$D$12</f>
        <v>Optimistic</v>
      </c>
      <c r="F14" s="36">
        <f>INDEX(Assumptions!C6:D7,MATCH(D14,Assumptions!C6:C7,0),2)</f>
        <v>7.1706860248865967E-2</v>
      </c>
      <c r="G14" s="10"/>
      <c r="H14" s="10"/>
      <c r="I14" s="10"/>
      <c r="J14" s="10"/>
      <c r="K14" s="10"/>
      <c r="L14" s="10"/>
      <c r="M14" s="10"/>
      <c r="N14" s="10"/>
      <c r="O14" s="10"/>
      <c r="P14" s="10"/>
      <c r="Q14" s="10"/>
      <c r="R14" s="10"/>
    </row>
    <row r="15" spans="2:18" ht="14">
      <c r="B15" s="127" t="s">
        <v>193</v>
      </c>
      <c r="C15" s="26"/>
      <c r="D15" s="127" t="str">
        <f>$D$12</f>
        <v>Optimistic</v>
      </c>
      <c r="F15" s="36">
        <f>INDEX(Assumptions!C10:D11,MATCH(D15,Assumptions!C10:C11,0),2)</f>
        <v>0.18</v>
      </c>
      <c r="G15" s="10"/>
      <c r="H15" s="10"/>
      <c r="I15" s="10"/>
      <c r="J15" s="10"/>
      <c r="K15" s="10"/>
      <c r="L15" s="10"/>
      <c r="M15" s="10"/>
      <c r="N15" s="10"/>
      <c r="O15" s="10"/>
      <c r="P15" s="10"/>
      <c r="Q15" s="10"/>
      <c r="R15" s="10"/>
    </row>
    <row r="16" spans="2:18" ht="14">
      <c r="B16" s="127" t="s">
        <v>246</v>
      </c>
      <c r="C16" s="26"/>
      <c r="D16" s="127" t="str">
        <f>$D$12</f>
        <v>Optimistic</v>
      </c>
      <c r="F16" s="36">
        <f>INDEX(Assumptions!C14:D15,MATCH(D16,Assumptions!C14:C15,0),2)</f>
        <v>0.05</v>
      </c>
      <c r="G16" s="10"/>
      <c r="H16" s="10"/>
      <c r="I16" s="10"/>
      <c r="J16" s="10"/>
      <c r="K16" s="10"/>
      <c r="L16" s="10"/>
      <c r="M16" s="10"/>
      <c r="N16" s="10"/>
      <c r="O16" s="10"/>
      <c r="P16" s="10"/>
      <c r="Q16" s="10"/>
      <c r="R16" s="10"/>
    </row>
    <row r="17" spans="2:18" ht="14">
      <c r="B17" s="127" t="s">
        <v>429</v>
      </c>
      <c r="C17" s="26"/>
      <c r="D17" s="127" t="str">
        <f>$D$12</f>
        <v>Optimistic</v>
      </c>
      <c r="F17" s="36">
        <f>INDEX(Assumptions!C18:D19,MATCH(D17,Assumptions!C18:C19,0),2)</f>
        <v>2.1999999999999999E-2</v>
      </c>
      <c r="G17" s="10"/>
      <c r="H17" s="10"/>
      <c r="I17" s="10"/>
      <c r="J17" s="10"/>
      <c r="K17" s="10"/>
      <c r="L17" s="10"/>
      <c r="M17" s="10"/>
      <c r="N17" s="10"/>
      <c r="O17" s="10"/>
      <c r="P17" s="10"/>
      <c r="Q17" s="10"/>
      <c r="R17" s="10"/>
    </row>
    <row r="18" spans="2:18" ht="14">
      <c r="B18" s="127" t="s">
        <v>249</v>
      </c>
      <c r="C18" s="26"/>
      <c r="D18" s="127" t="str">
        <f t="shared" ref="D18:D27" si="0">$D$12</f>
        <v>Optimistic</v>
      </c>
      <c r="F18" s="36">
        <f>INDEX(Assumptions!C22:D23,MATCH(D18,Assumptions!C22:C23,0),2)</f>
        <v>7.9283611105976259E-2</v>
      </c>
      <c r="G18" s="10"/>
      <c r="H18" s="10"/>
      <c r="I18" s="10"/>
      <c r="J18" s="10"/>
      <c r="K18" s="10"/>
      <c r="L18" s="10"/>
      <c r="M18" s="10"/>
      <c r="N18" s="10"/>
      <c r="O18" s="10"/>
      <c r="P18" s="10"/>
      <c r="Q18" s="10"/>
      <c r="R18" s="10"/>
    </row>
    <row r="19" spans="2:18" ht="14">
      <c r="B19" s="127" t="s">
        <v>136</v>
      </c>
      <c r="C19" s="26"/>
      <c r="D19" s="127" t="str">
        <f t="shared" si="0"/>
        <v>Optimistic</v>
      </c>
      <c r="F19" s="36">
        <f>INDEX(Assumptions!C26:D27,MATCH(D19,Assumptions!C26:C27,0),2)</f>
        <v>0.4</v>
      </c>
      <c r="G19" s="10"/>
      <c r="H19" s="10"/>
      <c r="I19" s="10"/>
      <c r="J19" s="10"/>
      <c r="K19" s="10"/>
      <c r="L19" s="10"/>
      <c r="M19" s="10"/>
      <c r="N19" s="10"/>
      <c r="O19" s="10"/>
      <c r="P19" s="10"/>
      <c r="Q19" s="10"/>
      <c r="R19" s="10"/>
    </row>
    <row r="20" spans="2:18" ht="14">
      <c r="B20" s="127" t="s">
        <v>248</v>
      </c>
      <c r="C20" s="26"/>
      <c r="D20" s="127" t="str">
        <f t="shared" si="0"/>
        <v>Optimistic</v>
      </c>
      <c r="F20" s="36">
        <f>INDEX(Assumptions!C30:D31,MATCH(D20,Assumptions!C30:C31,0),2)</f>
        <v>4.522379599104509E-2</v>
      </c>
      <c r="G20" s="10"/>
      <c r="H20" s="10"/>
      <c r="I20" s="10"/>
      <c r="J20" s="10"/>
      <c r="K20" s="10"/>
      <c r="L20" s="10"/>
      <c r="M20" s="10"/>
      <c r="N20" s="10"/>
      <c r="O20" s="10"/>
      <c r="P20" s="10"/>
      <c r="Q20" s="10"/>
      <c r="R20" s="10"/>
    </row>
    <row r="21" spans="2:18" ht="14">
      <c r="B21" s="127" t="s">
        <v>131</v>
      </c>
      <c r="C21" s="26"/>
      <c r="D21" s="127" t="str">
        <f t="shared" si="0"/>
        <v>Optimistic</v>
      </c>
      <c r="F21" s="36">
        <f>INDEX(Assumptions!C34:D35,MATCH(D21,Assumptions!C34:C35,0),2)</f>
        <v>0.55000000000000004</v>
      </c>
      <c r="G21" s="10"/>
      <c r="H21" s="10"/>
      <c r="I21" s="10"/>
      <c r="J21" s="10"/>
      <c r="K21" s="10"/>
      <c r="L21" s="10"/>
      <c r="M21" s="10"/>
      <c r="N21" s="10"/>
      <c r="O21" s="10"/>
      <c r="P21" s="10"/>
      <c r="Q21" s="10"/>
      <c r="R21" s="10"/>
    </row>
    <row r="22" spans="2:18" ht="14">
      <c r="B22" s="127" t="s">
        <v>282</v>
      </c>
      <c r="C22" s="26"/>
      <c r="D22" s="127" t="str">
        <f t="shared" si="0"/>
        <v>Optimistic</v>
      </c>
      <c r="F22" s="36">
        <f>INDEX(Assumptions!C38:D39,MATCH(D22,Assumptions!C38:C39,0),2)</f>
        <v>0.12174227842753238</v>
      </c>
      <c r="G22" s="10"/>
      <c r="H22" s="10"/>
      <c r="I22" s="10"/>
      <c r="J22" s="10"/>
      <c r="K22" s="10"/>
      <c r="L22" s="10"/>
      <c r="M22" s="10"/>
      <c r="N22" s="10"/>
      <c r="O22" s="10"/>
      <c r="P22" s="10"/>
      <c r="Q22" s="10"/>
      <c r="R22" s="10"/>
    </row>
    <row r="23" spans="2:18" ht="14">
      <c r="B23" s="127" t="s">
        <v>247</v>
      </c>
      <c r="C23" s="26"/>
      <c r="D23" s="127" t="str">
        <f t="shared" si="0"/>
        <v>Optimistic</v>
      </c>
      <c r="F23" s="36">
        <f>INDEX(Assumptions!C42:D43,MATCH(D23,Assumptions!C42:C43,0),2)</f>
        <v>2.415191411055595E-2</v>
      </c>
      <c r="G23" s="10"/>
      <c r="H23" s="10"/>
      <c r="I23" s="10"/>
      <c r="J23" s="10"/>
      <c r="K23" s="10"/>
      <c r="L23" s="10"/>
      <c r="M23" s="10"/>
      <c r="N23" s="10"/>
      <c r="O23" s="10"/>
      <c r="P23" s="10"/>
      <c r="Q23" s="10"/>
      <c r="R23" s="10"/>
    </row>
    <row r="24" spans="2:18" ht="14">
      <c r="B24" s="127" t="s">
        <v>250</v>
      </c>
      <c r="C24" s="26"/>
      <c r="D24" s="127" t="str">
        <f t="shared" si="0"/>
        <v>Optimistic</v>
      </c>
      <c r="F24" s="36">
        <f>INDEX(Assumptions!C46:D47,MATCH(D24,Assumptions!C46:C47,0),2)</f>
        <v>9.1999999999999998E-2</v>
      </c>
      <c r="G24" s="10"/>
      <c r="H24" s="10"/>
      <c r="I24" s="10"/>
      <c r="J24" s="10"/>
      <c r="K24" s="10"/>
      <c r="L24" s="10"/>
      <c r="M24" s="10"/>
      <c r="N24" s="10"/>
      <c r="O24" s="10"/>
      <c r="P24" s="10"/>
      <c r="Q24" s="10"/>
      <c r="R24" s="10"/>
    </row>
    <row r="25" spans="2:18" ht="14">
      <c r="B25" s="127" t="s">
        <v>234</v>
      </c>
      <c r="C25" s="26"/>
      <c r="D25" s="127" t="str">
        <f t="shared" si="0"/>
        <v>Optimistic</v>
      </c>
      <c r="F25" s="36">
        <f>INDEX(Assumptions!C50:D51,MATCH(D25,Assumptions!C50:C51,0),2)</f>
        <v>0.06</v>
      </c>
      <c r="G25" s="10"/>
      <c r="H25" s="10"/>
      <c r="I25" s="10"/>
      <c r="J25" s="10"/>
      <c r="K25" s="10"/>
      <c r="L25" s="10"/>
      <c r="M25" s="10"/>
      <c r="N25" s="10"/>
      <c r="O25" s="10"/>
      <c r="P25" s="10"/>
      <c r="Q25" s="10"/>
      <c r="R25" s="10"/>
    </row>
    <row r="26" spans="2:18" ht="14">
      <c r="B26" s="127" t="s">
        <v>235</v>
      </c>
      <c r="C26" s="26"/>
      <c r="D26" s="127" t="str">
        <f t="shared" si="0"/>
        <v>Optimistic</v>
      </c>
      <c r="F26" s="36">
        <f>INDEX(Assumptions!C54:D55,MATCH(D26,Assumptions!C54:C55,0),2)</f>
        <v>8.6999999999999994E-2</v>
      </c>
      <c r="G26" s="10"/>
      <c r="H26" s="10"/>
      <c r="I26" s="10"/>
      <c r="J26" s="10"/>
      <c r="K26" s="10"/>
      <c r="L26" s="10"/>
      <c r="M26" s="10"/>
      <c r="N26" s="10"/>
      <c r="O26" s="10"/>
      <c r="P26" s="10"/>
      <c r="Q26" s="10"/>
      <c r="R26" s="10"/>
    </row>
    <row r="27" spans="2:18" ht="14">
      <c r="B27" s="127" t="s">
        <v>239</v>
      </c>
      <c r="C27" s="26"/>
      <c r="D27" s="127" t="str">
        <f t="shared" si="0"/>
        <v>Optimistic</v>
      </c>
      <c r="F27" s="36">
        <f>INDEX(Assumptions!C58:D59,MATCH(D27,Assumptions!C58:C59,0),2)</f>
        <v>5.0632398998785133E-2</v>
      </c>
      <c r="G27" s="10"/>
      <c r="H27" s="10"/>
      <c r="I27" s="10"/>
      <c r="J27" s="10"/>
      <c r="K27" s="10"/>
      <c r="L27" s="10"/>
      <c r="M27" s="10"/>
      <c r="N27" s="10"/>
      <c r="O27" s="10"/>
      <c r="P27" s="10"/>
      <c r="Q27" s="10"/>
      <c r="R27" s="10"/>
    </row>
    <row r="28" spans="2:18" ht="14" hidden="1">
      <c r="B28" s="10" t="s">
        <v>9</v>
      </c>
      <c r="C28" s="10"/>
      <c r="D28" s="127"/>
      <c r="E28" s="10"/>
      <c r="F28" s="36"/>
      <c r="G28" s="10"/>
      <c r="H28" s="10"/>
      <c r="I28" s="10"/>
      <c r="J28" s="10"/>
      <c r="K28" s="10"/>
      <c r="L28" s="10"/>
      <c r="M28" s="10"/>
      <c r="N28" s="10"/>
      <c r="O28" s="10"/>
      <c r="P28" s="10"/>
      <c r="Q28" s="10"/>
    </row>
    <row r="29" spans="2:18" ht="14" hidden="1">
      <c r="B29" s="10" t="s">
        <v>10</v>
      </c>
      <c r="C29" s="10"/>
      <c r="D29" s="127"/>
      <c r="E29" s="10"/>
      <c r="F29" s="36"/>
      <c r="G29" s="10"/>
      <c r="H29" s="10"/>
      <c r="I29" s="10"/>
      <c r="J29" s="10"/>
      <c r="K29" s="10"/>
      <c r="L29" s="10"/>
      <c r="M29" s="10"/>
      <c r="N29" s="10"/>
      <c r="O29" s="10"/>
      <c r="P29" s="10"/>
      <c r="Q29" s="10"/>
    </row>
    <row r="30" spans="2:18" ht="14" hidden="1">
      <c r="B30" s="10" t="s">
        <v>73</v>
      </c>
      <c r="C30" s="10"/>
      <c r="D30" s="26"/>
      <c r="E30" s="10"/>
      <c r="F30" s="129"/>
      <c r="G30" s="10"/>
      <c r="H30" s="10"/>
      <c r="I30" s="10"/>
      <c r="J30" s="10"/>
      <c r="K30" s="10"/>
      <c r="L30" s="10"/>
      <c r="M30" s="10"/>
      <c r="N30" s="10"/>
      <c r="O30" s="10"/>
      <c r="P30" s="10"/>
      <c r="Q30" s="10"/>
    </row>
    <row r="31" spans="2:18" ht="14">
      <c r="B31" s="10" t="s">
        <v>62</v>
      </c>
      <c r="C31" s="10"/>
      <c r="D31" s="26"/>
      <c r="E31" s="10"/>
      <c r="F31" s="218">
        <f>L31</f>
        <v>0.245</v>
      </c>
      <c r="G31" s="136">
        <f>INDEX(ISG!$C$2:$M$23,19,MATCH(G$8,ISG!$C$2:$M$2,0))/100</f>
        <v>0.255</v>
      </c>
      <c r="H31" s="136">
        <f>INDEX(ISG!$C$2:$M$23,19,MATCH(H$8,ISG!$C$2:$M$2,0))/100</f>
        <v>0.24</v>
      </c>
      <c r="I31" s="136">
        <f>INDEX(ISG!$C$2:$M$23,19,MATCH(I$8,ISG!$C$2:$M$2,0))/100</f>
        <v>0.24</v>
      </c>
      <c r="J31" s="136">
        <f>INDEX(ISG!$C$2:$M$23,19,MATCH(J$8,ISG!$C$2:$M$2,0))/100</f>
        <v>0.23</v>
      </c>
      <c r="K31" s="136">
        <f>INDEX(ISG!$C$2:$M$23,19,MATCH(K$8,ISG!$C$2:$M$2,0))/100</f>
        <v>0.23300000000000001</v>
      </c>
      <c r="L31" s="136">
        <v>0.245</v>
      </c>
      <c r="M31" s="10"/>
      <c r="N31" s="10"/>
      <c r="O31" s="10"/>
      <c r="P31" s="10"/>
      <c r="Q31" s="10"/>
    </row>
    <row r="32" spans="2:18" ht="14">
      <c r="B32" s="10" t="s">
        <v>500</v>
      </c>
      <c r="C32" s="10"/>
      <c r="D32" s="26"/>
      <c r="E32" s="10"/>
      <c r="F32" s="219">
        <v>14924</v>
      </c>
      <c r="G32" s="136"/>
      <c r="H32" s="136"/>
      <c r="I32" s="136"/>
      <c r="J32" s="136"/>
      <c r="K32" s="136"/>
      <c r="L32" s="136"/>
      <c r="M32" s="10"/>
      <c r="N32" s="10"/>
      <c r="O32" s="10"/>
      <c r="P32" s="10"/>
      <c r="Q32" s="10"/>
    </row>
    <row r="33" spans="2:19" ht="14">
      <c r="B33" s="10" t="s">
        <v>43</v>
      </c>
      <c r="C33" s="10"/>
      <c r="D33" s="10"/>
      <c r="E33" s="10"/>
      <c r="F33" s="219">
        <v>3685</v>
      </c>
      <c r="G33" s="10"/>
      <c r="H33" s="10"/>
      <c r="I33" s="10"/>
      <c r="J33" s="10"/>
      <c r="K33" s="10"/>
      <c r="L33" s="10"/>
      <c r="M33" s="10"/>
      <c r="N33" s="10"/>
      <c r="O33" s="10"/>
      <c r="P33" s="10"/>
      <c r="Q33" s="10"/>
    </row>
    <row r="34" spans="2:19" ht="14">
      <c r="B34" s="11" t="s">
        <v>13</v>
      </c>
      <c r="C34" s="12"/>
      <c r="D34" s="12"/>
      <c r="E34" s="12"/>
      <c r="F34" s="12"/>
      <c r="G34" s="12"/>
      <c r="H34" s="12"/>
      <c r="I34" s="12"/>
      <c r="J34" s="12"/>
      <c r="K34" s="12"/>
      <c r="L34" s="12"/>
      <c r="M34" s="12"/>
      <c r="N34" s="12"/>
      <c r="O34" s="12"/>
      <c r="P34" s="13"/>
      <c r="Q34" s="210"/>
      <c r="S34" s="24"/>
    </row>
    <row r="35" spans="2:19" ht="14">
      <c r="B35" s="14"/>
      <c r="C35" s="10"/>
      <c r="D35" s="10"/>
      <c r="E35" s="10"/>
      <c r="F35" s="10"/>
      <c r="G35" s="10"/>
      <c r="H35" s="10"/>
      <c r="I35" s="10"/>
      <c r="J35" s="10"/>
      <c r="K35" s="10"/>
      <c r="L35" s="10"/>
      <c r="M35" s="10"/>
      <c r="N35" s="10"/>
      <c r="O35" s="10"/>
      <c r="P35" s="10"/>
      <c r="Q35" s="10"/>
      <c r="R35" s="143"/>
    </row>
    <row r="36" spans="2:19" ht="15">
      <c r="B36" s="41" t="s">
        <v>415</v>
      </c>
      <c r="C36" s="10"/>
      <c r="D36" s="10"/>
      <c r="E36" s="10"/>
      <c r="F36" s="10"/>
      <c r="G36" s="203">
        <f>G38+G66</f>
        <v>32768</v>
      </c>
      <c r="H36" s="203">
        <f>H38+H66</f>
        <v>30966</v>
      </c>
      <c r="I36" s="203">
        <f>I38+I66</f>
        <v>31694</v>
      </c>
      <c r="J36" s="203">
        <f>J38+J66</f>
        <v>34542</v>
      </c>
      <c r="K36" s="203">
        <f>K38+K66</f>
        <v>33821</v>
      </c>
      <c r="L36" s="204">
        <f t="shared" ref="L36:P36" si="1">L38+L66</f>
        <v>36462.801661979</v>
      </c>
      <c r="M36" s="204">
        <f t="shared" si="1"/>
        <v>39407.574388082838</v>
      </c>
      <c r="N36" s="204">
        <f t="shared" si="1"/>
        <v>42727.363272436429</v>
      </c>
      <c r="O36" s="204">
        <f t="shared" si="1"/>
        <v>46524.558110355007</v>
      </c>
      <c r="P36" s="204">
        <f t="shared" si="1"/>
        <v>50947.337792859464</v>
      </c>
      <c r="Q36" s="140"/>
      <c r="R36" s="24" t="s">
        <v>60</v>
      </c>
      <c r="S36" s="200">
        <f>(K36/G36)^(1/COUNTA(H36:K36))-1</f>
        <v>7.9387163002451189E-3</v>
      </c>
    </row>
    <row r="37" spans="2:19" ht="14">
      <c r="B37" s="22" t="s">
        <v>7</v>
      </c>
      <c r="C37" s="10"/>
      <c r="D37" s="10"/>
      <c r="E37" s="10"/>
      <c r="F37" s="10"/>
      <c r="G37" s="38"/>
      <c r="H37" s="39">
        <f>H36/G36-1</f>
        <v>-5.499267578125E-2</v>
      </c>
      <c r="I37" s="39">
        <f t="shared" ref="I37:K37" si="2">I36/H36-1</f>
        <v>2.3509655751469349E-2</v>
      </c>
      <c r="J37" s="39">
        <f t="shared" si="2"/>
        <v>8.9859279358869282E-2</v>
      </c>
      <c r="K37" s="39">
        <f t="shared" si="2"/>
        <v>-2.0873139945573493E-2</v>
      </c>
      <c r="L37" s="39">
        <f t="shared" ref="L37" si="3">L36/K36-1</f>
        <v>7.8111281806540367E-2</v>
      </c>
      <c r="M37" s="39">
        <f t="shared" ref="M37" si="4">M36/L36-1</f>
        <v>8.0761010999723881E-2</v>
      </c>
      <c r="N37" s="39">
        <f t="shared" ref="N37" si="5">N36/M36-1</f>
        <v>8.4242406083169685E-2</v>
      </c>
      <c r="O37" s="39">
        <f t="shared" ref="O37:P37" si="6">O36/N36-1</f>
        <v>8.8870329154342231E-2</v>
      </c>
      <c r="P37" s="39">
        <f t="shared" si="6"/>
        <v>9.5063335626181411E-2</v>
      </c>
      <c r="Q37" s="201"/>
      <c r="R37" s="24"/>
      <c r="S37" s="24"/>
    </row>
    <row r="38" spans="2:19" ht="15">
      <c r="B38" s="41" t="s">
        <v>412</v>
      </c>
      <c r="C38" s="10"/>
      <c r="D38" s="10"/>
      <c r="E38" s="10"/>
      <c r="F38" s="10"/>
      <c r="G38" s="203">
        <f>INDEX(ISP!$C$2:$M$12,2,MATCH(G$8,ISP!$C$2:$M$2,0))</f>
        <v>28871</v>
      </c>
      <c r="H38" s="203">
        <f>INDEX(ISP!$C$2:$M$12,2,MATCH(H$8,ISP!$C$2:$M$2,0))</f>
        <v>27250</v>
      </c>
      <c r="I38" s="203">
        <f>INDEX(ISP!$C$2:$M$12,2,MATCH(I$8,ISP!$C$2:$M$2,0))</f>
        <v>27720</v>
      </c>
      <c r="J38" s="203">
        <f>INDEX(ISP!$C$2:$M$12,2,MATCH(J$8,ISP!$C$2:$M$2,0))</f>
        <v>29799</v>
      </c>
      <c r="K38" s="203">
        <f>INDEX(ISP!$C$2:$M$12,2,MATCH(K$8,ISP!$C$2:$M$2,0))</f>
        <v>29244</v>
      </c>
      <c r="L38" s="204">
        <f>L40+L42+L44+L46+L48+L50+L52+L54+L56+L58+L60+L62+L64</f>
        <v>31654.05717176156</v>
      </c>
      <c r="M38" s="204">
        <f t="shared" ref="M38:P38" si="7">M40+M42+M44+M46+M48+M50+M52+M54+M56+M58+M60+M62+M64</f>
        <v>34355.351628153498</v>
      </c>
      <c r="N38" s="204">
        <f t="shared" si="7"/>
        <v>37419.334353895603</v>
      </c>
      <c r="O38" s="204">
        <f t="shared" si="7"/>
        <v>40947.770953713538</v>
      </c>
      <c r="P38" s="204">
        <f t="shared" si="7"/>
        <v>45088.184523771619</v>
      </c>
      <c r="Q38" s="204"/>
      <c r="R38" s="24"/>
      <c r="S38" s="24"/>
    </row>
    <row r="39" spans="2:19" ht="14">
      <c r="B39" s="22" t="s">
        <v>7</v>
      </c>
      <c r="C39" s="10"/>
      <c r="D39" s="10"/>
      <c r="E39" s="10"/>
      <c r="F39" s="10"/>
      <c r="G39" s="38"/>
      <c r="H39" s="39">
        <f>H38/G38-1</f>
        <v>-5.6146305981781053E-2</v>
      </c>
      <c r="I39" s="39">
        <f t="shared" ref="I39:K39" si="8">I38/H38-1</f>
        <v>1.724770642201845E-2</v>
      </c>
      <c r="J39" s="39">
        <f t="shared" si="8"/>
        <v>7.4999999999999956E-2</v>
      </c>
      <c r="K39" s="39">
        <f t="shared" si="8"/>
        <v>-1.8624786066646526E-2</v>
      </c>
      <c r="L39" s="39">
        <f t="shared" ref="L39" si="9">L38/K38-1</f>
        <v>8.2412022013457875E-2</v>
      </c>
      <c r="M39" s="39">
        <f t="shared" ref="M39" si="10">M38/L38-1</f>
        <v>8.5338016600341238E-2</v>
      </c>
      <c r="N39" s="39">
        <f t="shared" ref="N39" si="11">N38/M38-1</f>
        <v>8.9185020107063417E-2</v>
      </c>
      <c r="O39" s="39">
        <f t="shared" ref="O39" si="12">O38/N38-1</f>
        <v>9.4294477994919301E-2</v>
      </c>
      <c r="P39" s="39">
        <f t="shared" ref="P39" si="13">P38/O38-1</f>
        <v>0.10111450449252324</v>
      </c>
      <c r="Q39" s="39"/>
      <c r="R39" s="24"/>
      <c r="S39" s="24"/>
    </row>
    <row r="40" spans="2:19" ht="14">
      <c r="B40" s="198" t="s">
        <v>156</v>
      </c>
      <c r="C40" s="10"/>
      <c r="D40" s="10"/>
      <c r="E40" s="10"/>
      <c r="F40" s="10"/>
      <c r="G40" s="203">
        <f>SUMIF('Drugs sales'!$B$4:$B$56,$B40,'Drugs sales'!$N$4:$N$58)</f>
        <v>5782</v>
      </c>
      <c r="H40" s="203">
        <f>SUMIF('Drugs sales'!$B$4:$B$56,$B40,'Drugs sales'!$L$4:$L$58)</f>
        <v>6568</v>
      </c>
      <c r="I40" s="203">
        <f>SUMIF('Drugs sales'!$B$4:$B$56,$B40,'Drugs sales'!$J$4:$J$58)</f>
        <v>7273</v>
      </c>
      <c r="J40" s="203">
        <f>SUMIF('Drugs sales'!$B$4:$B$56,$B40,'Drugs sales'!$H$4:$H$58)</f>
        <v>7580</v>
      </c>
      <c r="K40" s="203">
        <f>SUMIF('Drugs sales'!$B$4:$B$56,$B40,'Drugs sales'!$F$4:$F$58)</f>
        <v>7341</v>
      </c>
      <c r="L40" s="204">
        <f t="shared" ref="L40:L66" si="14">K40*(1+L41)</f>
        <v>7867.4000610869252</v>
      </c>
      <c r="M40" s="204">
        <f t="shared" ref="M40" si="15">L40*(1+M41)</f>
        <v>8431.5466177892049</v>
      </c>
      <c r="N40" s="204">
        <f t="shared" ref="N40" si="16">M40*(1+N41)</f>
        <v>9036.1463527928136</v>
      </c>
      <c r="O40" s="204">
        <f t="shared" ref="O40" si="17">N40*(1+O41)</f>
        <v>9684.1000365008276</v>
      </c>
      <c r="P40" s="204">
        <f t="shared" ref="P40" si="18">O40*(1+P41)</f>
        <v>10378.51644445423</v>
      </c>
      <c r="Q40" s="204"/>
      <c r="R40" s="24" t="s">
        <v>60</v>
      </c>
      <c r="S40" s="200">
        <f>(K40/G40)^(1/COUNTA(H40:K40))-1</f>
        <v>6.1498254070065261E-2</v>
      </c>
    </row>
    <row r="41" spans="2:19" ht="14">
      <c r="B41" s="22"/>
      <c r="C41" s="10"/>
      <c r="D41" s="10"/>
      <c r="E41" s="10"/>
      <c r="F41" s="10"/>
      <c r="G41" s="139"/>
      <c r="H41" s="39">
        <f>H40/G40-1</f>
        <v>0.1359391214112764</v>
      </c>
      <c r="I41" s="39">
        <f t="shared" ref="I41:K41" si="19">I40/H40-1</f>
        <v>0.10733861144945189</v>
      </c>
      <c r="J41" s="39">
        <f t="shared" si="19"/>
        <v>4.221091709060909E-2</v>
      </c>
      <c r="K41" s="39">
        <f t="shared" si="19"/>
        <v>-3.1530343007915573E-2</v>
      </c>
      <c r="L41" s="189">
        <f>$F$14</f>
        <v>7.1706860248865967E-2</v>
      </c>
      <c r="M41" s="189">
        <f t="shared" ref="M41:P41" si="20">$F$14</f>
        <v>7.1706860248865967E-2</v>
      </c>
      <c r="N41" s="189">
        <f t="shared" si="20"/>
        <v>7.1706860248865967E-2</v>
      </c>
      <c r="O41" s="189">
        <f t="shared" si="20"/>
        <v>7.1706860248865967E-2</v>
      </c>
      <c r="P41" s="189">
        <f t="shared" si="20"/>
        <v>7.1706860248865967E-2</v>
      </c>
      <c r="Q41" s="189"/>
      <c r="R41" s="24"/>
      <c r="S41" s="24"/>
    </row>
    <row r="42" spans="2:19" ht="14">
      <c r="B42" s="145" t="s">
        <v>193</v>
      </c>
      <c r="C42" s="10"/>
      <c r="D42" s="10"/>
      <c r="E42" s="10"/>
      <c r="F42" s="10"/>
      <c r="G42" s="203">
        <f>SUMIF('Drugs sales'!$B$4:$B$56,$B42,'Drugs sales'!$N$4:$N$58)</f>
        <v>1779</v>
      </c>
      <c r="H42" s="203">
        <f>SUMIF('Drugs sales'!$B$4:$B$56,$B42,'Drugs sales'!$L$4:$L$58)</f>
        <v>914</v>
      </c>
      <c r="I42" s="203">
        <f>SUMIF('Drugs sales'!$B$4:$B$56,$B42,'Drugs sales'!$J$4:$J$58)</f>
        <v>818</v>
      </c>
      <c r="J42" s="203">
        <f>SUMIF('Drugs sales'!$B$4:$B$56,$B42,'Drugs sales'!$H$4:$H$58)</f>
        <v>847</v>
      </c>
      <c r="K42" s="203">
        <f>SUMIF('Drugs sales'!$B$4:$B$56,$B42,'Drugs sales'!$F$4:$F$58)</f>
        <v>772</v>
      </c>
      <c r="L42" s="204">
        <f t="shared" si="14"/>
        <v>910.95999999999992</v>
      </c>
      <c r="M42" s="204">
        <f t="shared" ref="M42" si="21">L42*(1+M43)</f>
        <v>1074.9327999999998</v>
      </c>
      <c r="N42" s="204">
        <f t="shared" ref="N42" si="22">M42*(1+N43)</f>
        <v>1268.4207039999997</v>
      </c>
      <c r="O42" s="204">
        <f t="shared" ref="O42" si="23">N42*(1+O43)</f>
        <v>1496.7364307199996</v>
      </c>
      <c r="P42" s="204">
        <f t="shared" ref="P42" si="24">O42*(1+P43)</f>
        <v>1766.1489882495994</v>
      </c>
      <c r="Q42" s="204"/>
      <c r="R42" s="24" t="s">
        <v>60</v>
      </c>
      <c r="S42" s="200">
        <f>(K42/G42)^(1/COUNTA(H42:K42))-1</f>
        <v>-0.18836580119852953</v>
      </c>
    </row>
    <row r="43" spans="2:19" ht="14">
      <c r="B43" s="22"/>
      <c r="C43" s="10"/>
      <c r="D43" s="10"/>
      <c r="E43" s="10"/>
      <c r="F43" s="10"/>
      <c r="G43" s="139"/>
      <c r="H43" s="39">
        <f>H42/G42-1</f>
        <v>-0.48622821810005623</v>
      </c>
      <c r="I43" s="39">
        <f t="shared" ref="I43:K43" si="25">I42/H42-1</f>
        <v>-0.10503282275711157</v>
      </c>
      <c r="J43" s="39">
        <f t="shared" si="25"/>
        <v>3.5452322738386277E-2</v>
      </c>
      <c r="K43" s="39">
        <f t="shared" si="25"/>
        <v>-8.8547815820543052E-2</v>
      </c>
      <c r="L43" s="189">
        <f>$F$15</f>
        <v>0.18</v>
      </c>
      <c r="M43" s="189">
        <f t="shared" ref="M43:P43" si="26">$F$15</f>
        <v>0.18</v>
      </c>
      <c r="N43" s="189">
        <f t="shared" si="26"/>
        <v>0.18</v>
      </c>
      <c r="O43" s="189">
        <f t="shared" si="26"/>
        <v>0.18</v>
      </c>
      <c r="P43" s="189">
        <f t="shared" si="26"/>
        <v>0.18</v>
      </c>
      <c r="Q43" s="189"/>
      <c r="R43" s="24"/>
      <c r="S43" s="24"/>
    </row>
    <row r="44" spans="2:19" ht="14">
      <c r="B44" s="145" t="s">
        <v>246</v>
      </c>
      <c r="C44" s="10"/>
      <c r="D44" s="10"/>
      <c r="E44" s="10"/>
      <c r="F44" s="10"/>
      <c r="G44" s="203">
        <f>SUMIF('Drugs sales'!$B$4:$B$56,$B44,'Drugs sales'!$N$4:$N$58)</f>
        <v>7</v>
      </c>
      <c r="H44" s="203">
        <f>SUMIF('Drugs sales'!$B$4:$B$56,$B44,'Drugs sales'!$L$4:$L$58)</f>
        <v>168</v>
      </c>
      <c r="I44" s="203">
        <f>SUMIF('Drugs sales'!$B$4:$B$56,$B44,'Drugs sales'!$J$4:$J$58)</f>
        <v>467</v>
      </c>
      <c r="J44" s="203">
        <f>SUMIF('Drugs sales'!$B$4:$B$56,$B44,'Drugs sales'!$H$4:$H$58)</f>
        <v>1114</v>
      </c>
      <c r="K44" s="203">
        <f>SUMIF('Drugs sales'!$B$4:$B$56,$B44,'Drugs sales'!$F$4:$F$58)</f>
        <v>1720</v>
      </c>
      <c r="L44" s="204">
        <f t="shared" si="14"/>
        <v>1806</v>
      </c>
      <c r="M44" s="204">
        <f t="shared" ref="M44" si="27">L44*(1+M45)</f>
        <v>1896.3000000000002</v>
      </c>
      <c r="N44" s="204">
        <f t="shared" ref="N44" si="28">M44*(1+N45)</f>
        <v>1991.1150000000002</v>
      </c>
      <c r="O44" s="204">
        <f t="shared" ref="O44" si="29">N44*(1+O45)</f>
        <v>2090.6707500000002</v>
      </c>
      <c r="P44" s="204">
        <f t="shared" ref="P44" si="30">O44*(1+P45)</f>
        <v>2195.2042875000002</v>
      </c>
      <c r="Q44" s="204"/>
      <c r="R44" s="24" t="s">
        <v>60</v>
      </c>
      <c r="S44" s="200">
        <f>(K44/G44)^(1/COUNTA(H44:K44))-1</f>
        <v>2.9592014670125737</v>
      </c>
    </row>
    <row r="45" spans="2:19" ht="14">
      <c r="B45" s="22"/>
      <c r="C45" s="10"/>
      <c r="D45" s="10"/>
      <c r="E45" s="10"/>
      <c r="F45" s="10"/>
      <c r="G45" s="139"/>
      <c r="H45" s="39">
        <f>H44/G44-1</f>
        <v>23</v>
      </c>
      <c r="I45" s="39">
        <f t="shared" ref="I45:K45" si="31">I44/H44-1</f>
        <v>1.7797619047619047</v>
      </c>
      <c r="J45" s="39">
        <f t="shared" si="31"/>
        <v>1.3854389721627407</v>
      </c>
      <c r="K45" s="39">
        <f t="shared" si="31"/>
        <v>0.54398563734290839</v>
      </c>
      <c r="L45" s="189">
        <f>$F$16</f>
        <v>0.05</v>
      </c>
      <c r="M45" s="189">
        <f t="shared" ref="M45:P45" si="32">$F$16</f>
        <v>0.05</v>
      </c>
      <c r="N45" s="189">
        <f t="shared" si="32"/>
        <v>0.05</v>
      </c>
      <c r="O45" s="189">
        <f t="shared" si="32"/>
        <v>0.05</v>
      </c>
      <c r="P45" s="189">
        <f t="shared" si="32"/>
        <v>0.05</v>
      </c>
      <c r="Q45" s="189"/>
      <c r="R45" s="24"/>
      <c r="S45" s="24"/>
    </row>
    <row r="46" spans="2:19" ht="14">
      <c r="B46" s="145" t="s">
        <v>293</v>
      </c>
      <c r="C46" s="10"/>
      <c r="D46" s="10"/>
      <c r="E46" s="10"/>
      <c r="F46" s="10"/>
      <c r="G46" s="203">
        <f>SUMIF('Drugs sales'!$B$4:$B$56,$B46,'Drugs sales'!$N$4:$N$58)</f>
        <v>2321</v>
      </c>
      <c r="H46" s="203">
        <f>SUMIF('Drugs sales'!$B$4:$B$56,$B46,'Drugs sales'!$L$4:$L$58)</f>
        <v>2267</v>
      </c>
      <c r="I46" s="203">
        <f>SUMIF('Drugs sales'!$B$4:$B$56,$B46,'Drugs sales'!$J$4:$J$58)</f>
        <v>2281</v>
      </c>
      <c r="J46" s="203">
        <f>SUMIF('Drugs sales'!$B$4:$B$56,$B46,'Drugs sales'!$H$4:$H$58)</f>
        <v>2400</v>
      </c>
      <c r="K46" s="203">
        <f>SUMIF('Drugs sales'!$B$4:$B$56,$B46,'Drugs sales'!$F$4:$F$58)</f>
        <v>2019</v>
      </c>
      <c r="L46" s="204">
        <f t="shared" si="14"/>
        <v>2063.4180000000001</v>
      </c>
      <c r="M46" s="204">
        <f t="shared" ref="M46" si="33">L46*(1+M47)</f>
        <v>2108.8131960000001</v>
      </c>
      <c r="N46" s="204">
        <f t="shared" ref="N46" si="34">M46*(1+N47)</f>
        <v>2155.2070863120002</v>
      </c>
      <c r="O46" s="204">
        <f t="shared" ref="O46" si="35">N46*(1+O47)</f>
        <v>2202.6216422108641</v>
      </c>
      <c r="P46" s="204">
        <f t="shared" ref="P46" si="36">O46*(1+P47)</f>
        <v>2251.0793183395031</v>
      </c>
      <c r="Q46" s="204"/>
      <c r="R46" s="24" t="s">
        <v>60</v>
      </c>
      <c r="S46" s="200">
        <f>(K46/G46)^(1/COUNTA(H46:K46))-1</f>
        <v>-3.424871512155192E-2</v>
      </c>
    </row>
    <row r="47" spans="2:19" ht="14">
      <c r="B47" s="22"/>
      <c r="C47" s="10"/>
      <c r="D47" s="10"/>
      <c r="E47" s="10"/>
      <c r="F47" s="10"/>
      <c r="G47" s="139"/>
      <c r="H47" s="39">
        <f>H46/G46-1</f>
        <v>-2.3265833692374005E-2</v>
      </c>
      <c r="I47" s="39">
        <f t="shared" ref="I47:K47" si="37">I46/H46-1</f>
        <v>6.175562417291669E-3</v>
      </c>
      <c r="J47" s="39">
        <f t="shared" si="37"/>
        <v>5.2170100832968025E-2</v>
      </c>
      <c r="K47" s="39">
        <f t="shared" si="37"/>
        <v>-0.15874999999999995</v>
      </c>
      <c r="L47" s="189">
        <f>$F$17</f>
        <v>2.1999999999999999E-2</v>
      </c>
      <c r="M47" s="189">
        <f t="shared" ref="M47:P47" si="38">$F$17</f>
        <v>2.1999999999999999E-2</v>
      </c>
      <c r="N47" s="189">
        <f t="shared" si="38"/>
        <v>2.1999999999999999E-2</v>
      </c>
      <c r="O47" s="189">
        <f t="shared" si="38"/>
        <v>2.1999999999999999E-2</v>
      </c>
      <c r="P47" s="189">
        <f t="shared" si="38"/>
        <v>2.1999999999999999E-2</v>
      </c>
      <c r="Q47" s="189"/>
      <c r="R47" s="24"/>
      <c r="S47" s="24"/>
    </row>
    <row r="48" spans="2:19" ht="14">
      <c r="B48" s="145" t="s">
        <v>249</v>
      </c>
      <c r="C48" s="10"/>
      <c r="D48" s="10"/>
      <c r="E48" s="10"/>
      <c r="F48" s="10"/>
      <c r="G48" s="203">
        <f>SUMIF('Drugs sales'!$B$4:$B$56,$B48,'Drugs sales'!$N$4:$N$58)</f>
        <v>1893</v>
      </c>
      <c r="H48" s="203">
        <f>SUMIF('Drugs sales'!$B$4:$B$56,$B48,'Drugs sales'!$L$4:$L$58)</f>
        <v>1703</v>
      </c>
      <c r="I48" s="203">
        <f>SUMIF('Drugs sales'!$B$4:$B$56,$B48,'Drugs sales'!$J$4:$J$58)</f>
        <v>1699</v>
      </c>
      <c r="J48" s="203">
        <f>SUMIF('Drugs sales'!$B$4:$B$56,$B48,'Drugs sales'!$H$4:$H$58)</f>
        <v>1719</v>
      </c>
      <c r="K48" s="203">
        <f>SUMIF('Drugs sales'!$B$4:$B$56,$B48,'Drugs sales'!$F$4:$F$58)</f>
        <v>1636</v>
      </c>
      <c r="L48" s="204">
        <f t="shared" si="14"/>
        <v>1765.7079877693773</v>
      </c>
      <c r="M48" s="204">
        <f t="shared" ref="M48" si="39">L48*(1+M49)</f>
        <v>1905.6996931984004</v>
      </c>
      <c r="N48" s="204">
        <f t="shared" ref="N48" si="40">M48*(1+N49)</f>
        <v>2056.7904465587208</v>
      </c>
      <c r="O48" s="204">
        <f t="shared" ref="O48" si="41">N48*(1+O49)</f>
        <v>2219.8602204501694</v>
      </c>
      <c r="P48" s="204">
        <f t="shared" ref="P48" si="42">O48*(1+P49)</f>
        <v>2395.8587548779674</v>
      </c>
      <c r="Q48" s="204"/>
      <c r="R48" s="24" t="s">
        <v>60</v>
      </c>
      <c r="S48" s="200">
        <f>(K48/G48)^(1/COUNTA(H48:K48))-1</f>
        <v>-3.5819883046295353E-2</v>
      </c>
    </row>
    <row r="49" spans="2:19" ht="14">
      <c r="B49" s="22"/>
      <c r="C49" s="10"/>
      <c r="D49" s="10"/>
      <c r="E49" s="10"/>
      <c r="F49" s="10"/>
      <c r="G49" s="139"/>
      <c r="H49" s="39">
        <f>H48/G48-1</f>
        <v>-0.10036978341257263</v>
      </c>
      <c r="I49" s="39">
        <f t="shared" ref="I49:K49" si="43">I48/H48-1</f>
        <v>-2.3487962419259656E-3</v>
      </c>
      <c r="J49" s="39">
        <f t="shared" si="43"/>
        <v>1.1771630370806418E-2</v>
      </c>
      <c r="K49" s="39">
        <f t="shared" si="43"/>
        <v>-4.8283885980221042E-2</v>
      </c>
      <c r="L49" s="189">
        <f>$F$18</f>
        <v>7.9283611105976259E-2</v>
      </c>
      <c r="M49" s="189">
        <f t="shared" ref="M49:P49" si="44">$F$18</f>
        <v>7.9283611105976259E-2</v>
      </c>
      <c r="N49" s="189">
        <f t="shared" si="44"/>
        <v>7.9283611105976259E-2</v>
      </c>
      <c r="O49" s="189">
        <f t="shared" si="44"/>
        <v>7.9283611105976259E-2</v>
      </c>
      <c r="P49" s="189">
        <f t="shared" si="44"/>
        <v>7.9283611105976259E-2</v>
      </c>
      <c r="Q49" s="189"/>
      <c r="R49" s="24"/>
      <c r="S49" s="24"/>
    </row>
    <row r="50" spans="2:19" ht="14">
      <c r="B50" s="145" t="s">
        <v>136</v>
      </c>
      <c r="C50" s="10"/>
      <c r="D50" s="10"/>
      <c r="E50" s="10"/>
      <c r="F50" s="10"/>
      <c r="G50" s="203">
        <f>SUMIF('Drugs sales'!$B$4:$B$56,$B50,'Drugs sales'!$N$4:$N$58)</f>
        <v>0</v>
      </c>
      <c r="H50" s="203">
        <f>SUMIF('Drugs sales'!$B$4:$B$56,$B50,'Drugs sales'!$L$4:$L$58)</f>
        <v>144</v>
      </c>
      <c r="I50" s="203">
        <f>SUMIF('Drugs sales'!$B$4:$B$56,$B50,'Drugs sales'!$J$4:$J$58)</f>
        <v>160</v>
      </c>
      <c r="J50" s="203">
        <f>SUMIF('Drugs sales'!$B$4:$B$56,$B50,'Drugs sales'!$H$4:$H$58)</f>
        <v>156</v>
      </c>
      <c r="K50" s="203">
        <f>SUMIF('Drugs sales'!$B$4:$B$56,$B50,'Drugs sales'!$F$4:$F$58)</f>
        <v>103</v>
      </c>
      <c r="L50" s="204">
        <f t="shared" si="14"/>
        <v>144.19999999999999</v>
      </c>
      <c r="M50" s="204">
        <f t="shared" ref="M50" si="45">L50*(1+M51)</f>
        <v>201.87999999999997</v>
      </c>
      <c r="N50" s="204">
        <f t="shared" ref="N50" si="46">M50*(1+N51)</f>
        <v>282.63199999999995</v>
      </c>
      <c r="O50" s="204">
        <f t="shared" ref="O50" si="47">N50*(1+O51)</f>
        <v>395.68479999999988</v>
      </c>
      <c r="P50" s="204">
        <f t="shared" ref="P50:Q50" si="48">O50*(1+P51)</f>
        <v>553.95871999999974</v>
      </c>
      <c r="Q50" s="204">
        <f t="shared" si="48"/>
        <v>775.54220799999962</v>
      </c>
      <c r="R50" s="24" t="s">
        <v>60</v>
      </c>
      <c r="S50" s="200">
        <f>(K50/H50)^(1/COUNTA(I50:K50))-1</f>
        <v>-0.105682812121073</v>
      </c>
    </row>
    <row r="51" spans="2:19" ht="14">
      <c r="B51" s="22"/>
      <c r="C51" s="10"/>
      <c r="D51" s="10"/>
      <c r="E51" s="10"/>
      <c r="F51" s="10"/>
      <c r="G51" s="139"/>
      <c r="H51" s="39"/>
      <c r="I51" s="39">
        <f t="shared" ref="I51:K51" si="49">I50/H50-1</f>
        <v>0.11111111111111116</v>
      </c>
      <c r="J51" s="39">
        <f t="shared" si="49"/>
        <v>-2.5000000000000022E-2</v>
      </c>
      <c r="K51" s="39">
        <f t="shared" si="49"/>
        <v>-0.33974358974358976</v>
      </c>
      <c r="L51" s="189">
        <f>$F$19</f>
        <v>0.4</v>
      </c>
      <c r="M51" s="189">
        <f t="shared" ref="M51:Q51" si="50">$F$19</f>
        <v>0.4</v>
      </c>
      <c r="N51" s="189">
        <f t="shared" si="50"/>
        <v>0.4</v>
      </c>
      <c r="O51" s="189">
        <f t="shared" si="50"/>
        <v>0.4</v>
      </c>
      <c r="P51" s="189">
        <f t="shared" si="50"/>
        <v>0.4</v>
      </c>
      <c r="Q51" s="189">
        <f t="shared" si="50"/>
        <v>0.4</v>
      </c>
      <c r="R51" s="24"/>
      <c r="S51" s="24"/>
    </row>
    <row r="52" spans="2:19" ht="14">
      <c r="B52" s="145" t="s">
        <v>248</v>
      </c>
      <c r="C52" s="10"/>
      <c r="D52" s="10"/>
      <c r="E52" s="10"/>
      <c r="F52" s="10"/>
      <c r="G52" s="203">
        <f>SUMIF('Drugs sales'!$B$4:$B$56,$B52,'Drugs sales'!$N$4:$N$58)</f>
        <v>0</v>
      </c>
      <c r="H52" s="203">
        <f>SUMIF('Drugs sales'!$B$4:$B$56,$B52,'Drugs sales'!$L$4:$L$58)</f>
        <v>166</v>
      </c>
      <c r="I52" s="203">
        <f>SUMIF('Drugs sales'!$B$4:$B$56,$B52,'Drugs sales'!$J$4:$J$58)</f>
        <v>162</v>
      </c>
      <c r="J52" s="203">
        <f>SUMIF('Drugs sales'!$B$4:$B$56,$B52,'Drugs sales'!$H$4:$H$58)</f>
        <v>160</v>
      </c>
      <c r="K52" s="203">
        <f>SUMIF('Drugs sales'!$B$4:$B$56,$B52,'Drugs sales'!$F$4:$F$58)</f>
        <v>149</v>
      </c>
      <c r="L52" s="204">
        <f t="shared" si="14"/>
        <v>155.73834560266573</v>
      </c>
      <c r="M52" s="204">
        <f t="shared" ref="M52" si="51">L52*(1+M53)</f>
        <v>162.78142477218356</v>
      </c>
      <c r="N52" s="204">
        <f t="shared" ref="N52" si="52">M52*(1+N53)</f>
        <v>170.14301871721244</v>
      </c>
      <c r="O52" s="204">
        <f t="shared" ref="O52" si="53">N52*(1+O53)</f>
        <v>177.83753188498022</v>
      </c>
      <c r="P52" s="204">
        <f t="shared" ref="P52" si="54">O52*(1+P53)</f>
        <v>185.88002014649754</v>
      </c>
      <c r="Q52" s="204"/>
      <c r="R52" s="24" t="s">
        <v>60</v>
      </c>
      <c r="S52" s="200">
        <f>(K52/H52)^(1/COUNTA(I52:K52))-1</f>
        <v>-3.5373044959725819E-2</v>
      </c>
    </row>
    <row r="53" spans="2:19" ht="14">
      <c r="B53" s="22"/>
      <c r="C53" s="10"/>
      <c r="D53" s="10"/>
      <c r="E53" s="10"/>
      <c r="F53" s="10"/>
      <c r="G53" s="139"/>
      <c r="H53" s="39"/>
      <c r="I53" s="39">
        <f t="shared" ref="I53:K53" si="55">I52/H52-1</f>
        <v>-2.4096385542168641E-2</v>
      </c>
      <c r="J53" s="39">
        <f t="shared" si="55"/>
        <v>-1.2345679012345734E-2</v>
      </c>
      <c r="K53" s="39">
        <f t="shared" si="55"/>
        <v>-6.8749999999999978E-2</v>
      </c>
      <c r="L53" s="189">
        <f>$F$20</f>
        <v>4.522379599104509E-2</v>
      </c>
      <c r="M53" s="189">
        <f t="shared" ref="M53:P53" si="56">$F$20</f>
        <v>4.522379599104509E-2</v>
      </c>
      <c r="N53" s="189">
        <f t="shared" si="56"/>
        <v>4.522379599104509E-2</v>
      </c>
      <c r="O53" s="189">
        <f t="shared" si="56"/>
        <v>4.522379599104509E-2</v>
      </c>
      <c r="P53" s="189">
        <f t="shared" si="56"/>
        <v>4.522379599104509E-2</v>
      </c>
      <c r="Q53" s="189"/>
      <c r="R53" s="24"/>
      <c r="S53" s="24"/>
    </row>
    <row r="54" spans="2:19" ht="14">
      <c r="B54" s="145" t="s">
        <v>131</v>
      </c>
      <c r="C54" s="10"/>
      <c r="D54" s="10"/>
      <c r="E54" s="10"/>
      <c r="F54" s="10"/>
      <c r="G54" s="203">
        <f>SUMIF('Drugs sales'!$B$4:$B$56,$B54,'Drugs sales'!$N$4:$N$58)</f>
        <v>0</v>
      </c>
      <c r="H54" s="203">
        <f>SUMIF('Drugs sales'!$B$4:$B$56,$B54,'Drugs sales'!$L$4:$L$58)</f>
        <v>198</v>
      </c>
      <c r="I54" s="203">
        <f>SUMIF('Drugs sales'!$B$4:$B$56,$B54,'Drugs sales'!$J$4:$J$58)</f>
        <v>217</v>
      </c>
      <c r="J54" s="203">
        <f>SUMIF('Drugs sales'!$B$4:$B$56,$B54,'Drugs sales'!$H$4:$H$58)</f>
        <v>256</v>
      </c>
      <c r="K54" s="203">
        <f>SUMIF('Drugs sales'!$B$4:$B$56,$B54,'Drugs sales'!$F$4:$F$58)</f>
        <v>281</v>
      </c>
      <c r="L54" s="204">
        <f t="shared" si="14"/>
        <v>435.55</v>
      </c>
      <c r="M54" s="204">
        <f t="shared" ref="M54" si="57">L54*(1+M55)</f>
        <v>675.10250000000008</v>
      </c>
      <c r="N54" s="204">
        <f t="shared" ref="N54" si="58">M54*(1+N55)</f>
        <v>1046.4088750000001</v>
      </c>
      <c r="O54" s="204">
        <f t="shared" ref="O54" si="59">N54*(1+O55)</f>
        <v>1621.9337562500002</v>
      </c>
      <c r="P54" s="204">
        <f t="shared" ref="P54:Q54" si="60">O54*(1+P55)</f>
        <v>2513.9973221875002</v>
      </c>
      <c r="Q54" s="204">
        <f t="shared" si="60"/>
        <v>3896.6958493906254</v>
      </c>
      <c r="R54" s="24" t="s">
        <v>60</v>
      </c>
      <c r="S54" s="200">
        <f>(K54/H54)^(1/COUNTA(I54:K54))-1</f>
        <v>0.12377761395889486</v>
      </c>
    </row>
    <row r="55" spans="2:19" ht="14">
      <c r="B55" s="145"/>
      <c r="C55" s="10"/>
      <c r="D55" s="10"/>
      <c r="E55" s="10"/>
      <c r="F55" s="10"/>
      <c r="G55" s="139"/>
      <c r="H55" s="39"/>
      <c r="I55" s="39">
        <f t="shared" ref="I55:K55" si="61">I54/H54-1</f>
        <v>9.5959595959596022E-2</v>
      </c>
      <c r="J55" s="39">
        <f t="shared" si="61"/>
        <v>0.17972350230414746</v>
      </c>
      <c r="K55" s="39">
        <f t="shared" si="61"/>
        <v>9.765625E-2</v>
      </c>
      <c r="L55" s="189">
        <f>$F$21</f>
        <v>0.55000000000000004</v>
      </c>
      <c r="M55" s="189">
        <f t="shared" ref="M55:Q55" si="62">$F$21</f>
        <v>0.55000000000000004</v>
      </c>
      <c r="N55" s="189">
        <f t="shared" si="62"/>
        <v>0.55000000000000004</v>
      </c>
      <c r="O55" s="189">
        <f t="shared" si="62"/>
        <v>0.55000000000000004</v>
      </c>
      <c r="P55" s="189">
        <f t="shared" si="62"/>
        <v>0.55000000000000004</v>
      </c>
      <c r="Q55" s="189">
        <f t="shared" si="62"/>
        <v>0.55000000000000004</v>
      </c>
      <c r="R55" s="24" t="s">
        <v>61</v>
      </c>
      <c r="S55" s="24">
        <f>(P54/K54)^(1/COUNTA(L54:P54))-1</f>
        <v>0.55000000000000004</v>
      </c>
    </row>
    <row r="56" spans="2:19" ht="14">
      <c r="B56" s="145" t="s">
        <v>282</v>
      </c>
      <c r="C56" s="10"/>
      <c r="D56" s="10"/>
      <c r="E56" s="10"/>
      <c r="F56" s="10"/>
      <c r="G56" s="203">
        <f>SUMIF('Drugs sales'!$B$4:$B$56,$B56,'Drugs sales'!$N$4:$N$58)</f>
        <v>96</v>
      </c>
      <c r="H56" s="203">
        <f>SUMIF('Drugs sales'!$B$4:$B$56,$B56,'Drugs sales'!$L$4:$L$58)</f>
        <v>101</v>
      </c>
      <c r="I56" s="203">
        <f>SUMIF('Drugs sales'!$B$4:$B$56,$B56,'Drugs sales'!$J$4:$J$58)</f>
        <v>111</v>
      </c>
      <c r="J56" s="203">
        <f>SUMIF('Drugs sales'!$B$4:$B$56,$B56,'Drugs sales'!$H$4:$H$58)</f>
        <v>143</v>
      </c>
      <c r="K56" s="203">
        <f>SUMIF('Drugs sales'!$B$4:$B$56,$B56,'Drugs sales'!$F$4:$F$58)</f>
        <v>152</v>
      </c>
      <c r="L56" s="204">
        <f t="shared" si="14"/>
        <v>170.50482632098493</v>
      </c>
      <c r="M56" s="204">
        <f t="shared" ref="M56" si="63">L56*(1+M57)</f>
        <v>191.26247236019233</v>
      </c>
      <c r="N56" s="204">
        <f t="shared" ref="N56" si="64">M56*(1+N57)</f>
        <v>214.54720152300507</v>
      </c>
      <c r="O56" s="204">
        <f t="shared" ref="O56" si="65">N56*(1+O57)</f>
        <v>240.66666666666666</v>
      </c>
      <c r="P56" s="204">
        <f t="shared" ref="P56" si="66">O56*(1+P57)</f>
        <v>269.96597500822611</v>
      </c>
      <c r="Q56" s="204"/>
      <c r="R56" s="24" t="s">
        <v>60</v>
      </c>
      <c r="S56" s="128">
        <f>(K56/G56)^(1/COUNTA(H56:K56))-1</f>
        <v>0.12174227842753238</v>
      </c>
    </row>
    <row r="57" spans="2:19" ht="14">
      <c r="B57" s="145"/>
      <c r="C57" s="10"/>
      <c r="D57" s="10"/>
      <c r="E57" s="10"/>
      <c r="F57" s="10"/>
      <c r="G57" s="139"/>
      <c r="H57" s="39">
        <f>H56/G56-1</f>
        <v>5.2083333333333259E-2</v>
      </c>
      <c r="I57" s="39">
        <f t="shared" ref="I57:K57" si="67">I56/H56-1</f>
        <v>9.9009900990099098E-2</v>
      </c>
      <c r="J57" s="39">
        <f t="shared" si="67"/>
        <v>0.28828828828828823</v>
      </c>
      <c r="K57" s="213">
        <f t="shared" si="67"/>
        <v>6.2937062937062915E-2</v>
      </c>
      <c r="L57" s="189">
        <f>$F$22</f>
        <v>0.12174227842753238</v>
      </c>
      <c r="M57" s="189">
        <f t="shared" ref="M57:P57" si="68">$F$22</f>
        <v>0.12174227842753238</v>
      </c>
      <c r="N57" s="189">
        <f t="shared" si="68"/>
        <v>0.12174227842753238</v>
      </c>
      <c r="O57" s="189">
        <f t="shared" si="68"/>
        <v>0.12174227842753238</v>
      </c>
      <c r="P57" s="189">
        <f t="shared" si="68"/>
        <v>0.12174227842753238</v>
      </c>
      <c r="Q57" s="189"/>
      <c r="R57" s="24"/>
      <c r="S57" s="24"/>
    </row>
    <row r="58" spans="2:19" ht="14">
      <c r="B58" s="145" t="s">
        <v>247</v>
      </c>
      <c r="C58" s="10"/>
      <c r="D58" s="10"/>
      <c r="E58" s="10"/>
      <c r="F58" s="10"/>
      <c r="G58" s="203">
        <f>SUMIF('Drugs sales'!$B$4:$B$56,$B58,'Drugs sales'!$N$4:$N$58)</f>
        <v>0</v>
      </c>
      <c r="H58" s="203">
        <f>SUMIF('Drugs sales'!$B$4:$B$56,$B58,'Drugs sales'!$L$4:$L$58)</f>
        <v>51</v>
      </c>
      <c r="I58" s="203">
        <f>SUMIF('Drugs sales'!$B$4:$B$56,$B58,'Drugs sales'!$J$4:$J$58)</f>
        <v>72</v>
      </c>
      <c r="J58" s="203">
        <f>SUMIF('Drugs sales'!$B$4:$B$56,$B58,'Drugs sales'!$H$4:$H$58)</f>
        <v>4</v>
      </c>
      <c r="K58" s="203">
        <f>SUMIF('Drugs sales'!$B$4:$B$56,$B58,'Drugs sales'!$F$4:$F$58)</f>
        <v>105</v>
      </c>
      <c r="L58" s="204">
        <f t="shared" si="14"/>
        <v>107.53595098160838</v>
      </c>
      <c r="M58" s="204">
        <f t="shared" ref="M58" si="69">L58*(1+M59)</f>
        <v>110.13315003351315</v>
      </c>
      <c r="N58" s="204">
        <f t="shared" ref="N58" si="70">M58*(1+N59)</f>
        <v>112.79307641384753</v>
      </c>
      <c r="O58" s="204">
        <f t="shared" ref="O58" si="71">N58*(1+O59)</f>
        <v>115.51724510766014</v>
      </c>
      <c r="P58" s="204">
        <f t="shared" ref="P58" si="72">O58*(1+P59)</f>
        <v>118.3072076897884</v>
      </c>
      <c r="Q58" s="204">
        <f t="shared" ref="Q58" si="73">P58*(1+Q59)</f>
        <v>121.16455320857187</v>
      </c>
      <c r="R58" s="24" t="s">
        <v>60</v>
      </c>
      <c r="S58" s="200">
        <f>(K58/H58)^(1/COUNTA(I58:K58))-1</f>
        <v>0.27215405814468285</v>
      </c>
    </row>
    <row r="59" spans="2:19" ht="14">
      <c r="B59" s="145"/>
      <c r="C59" s="10"/>
      <c r="D59" s="10"/>
      <c r="E59" s="10"/>
      <c r="F59" s="10"/>
      <c r="G59" s="139"/>
      <c r="H59" s="39"/>
      <c r="I59" s="39">
        <f t="shared" ref="I59:K59" si="74">I58/H58-1</f>
        <v>0.41176470588235303</v>
      </c>
      <c r="J59" s="39">
        <f t="shared" si="74"/>
        <v>-0.94444444444444442</v>
      </c>
      <c r="K59" s="39">
        <f t="shared" si="74"/>
        <v>25.25</v>
      </c>
      <c r="L59" s="189">
        <f>$F$23</f>
        <v>2.415191411055595E-2</v>
      </c>
      <c r="M59" s="189">
        <f t="shared" ref="M59:Q59" si="75">$F$23</f>
        <v>2.415191411055595E-2</v>
      </c>
      <c r="N59" s="189">
        <f t="shared" si="75"/>
        <v>2.415191411055595E-2</v>
      </c>
      <c r="O59" s="189">
        <f t="shared" si="75"/>
        <v>2.415191411055595E-2</v>
      </c>
      <c r="P59" s="189">
        <f t="shared" si="75"/>
        <v>2.415191411055595E-2</v>
      </c>
      <c r="Q59" s="189">
        <f t="shared" si="75"/>
        <v>2.415191411055595E-2</v>
      </c>
      <c r="R59" s="24"/>
      <c r="S59" s="24"/>
    </row>
    <row r="60" spans="2:19" ht="14">
      <c r="B60" s="145" t="s">
        <v>250</v>
      </c>
      <c r="C60" s="10"/>
      <c r="D60" s="10"/>
      <c r="E60" s="10"/>
      <c r="F60" s="10"/>
      <c r="G60" s="203">
        <f>G38-G40-G42-G44-G46-G48-G50-G52-G54-G56-G58-G62-G64</f>
        <v>12141</v>
      </c>
      <c r="H60" s="203">
        <f>H38-H40-H42-H44-H46-H48-H50-H52-H54-H56-H58-H62-H64</f>
        <v>10341</v>
      </c>
      <c r="I60" s="203">
        <f>I38-I40-I42-I44-I46-I48-I50-I52-I54-I56-I58-I62-I64</f>
        <v>9318</v>
      </c>
      <c r="J60" s="203">
        <f>J38-J40-J42-J44-J46-J48-J50-J52-J54-J56-J58-J62-J64</f>
        <v>10011</v>
      </c>
      <c r="K60" s="203">
        <f>K38-K40-K42-K44-K46-K48-K50-K52-K54-K56-K58-K62-K64</f>
        <v>9782</v>
      </c>
      <c r="L60" s="204">
        <f t="shared" si="14"/>
        <v>10681.944000000001</v>
      </c>
      <c r="M60" s="204">
        <f t="shared" ref="M60" si="76">L60*(1+M61)</f>
        <v>11664.682848000002</v>
      </c>
      <c r="N60" s="204">
        <f t="shared" ref="N60" si="77">M60*(1+N61)</f>
        <v>12737.833670016003</v>
      </c>
      <c r="O60" s="204">
        <f t="shared" ref="O60" si="78">N60*(1+O61)</f>
        <v>13909.714367657476</v>
      </c>
      <c r="P60" s="204">
        <f t="shared" ref="P60" si="79">O60*(1+P61)</f>
        <v>15189.408089481965</v>
      </c>
      <c r="Q60" s="189"/>
      <c r="R60" s="24" t="s">
        <v>60</v>
      </c>
      <c r="S60" s="200">
        <f>(K60/G60)^(1/COUNTA(H60:K60))-1</f>
        <v>-5.2578360775616728E-2</v>
      </c>
    </row>
    <row r="61" spans="2:19" ht="14">
      <c r="B61" s="145"/>
      <c r="C61" s="10"/>
      <c r="D61" s="10"/>
      <c r="E61" s="10"/>
      <c r="F61" s="10"/>
      <c r="G61" s="139"/>
      <c r="H61" s="39">
        <f>H60/G60-1</f>
        <v>-0.14825796886582654</v>
      </c>
      <c r="I61" s="39">
        <f t="shared" ref="I61:K61" si="80">I60/H60-1</f>
        <v>-9.8926602843051881E-2</v>
      </c>
      <c r="J61" s="39">
        <f t="shared" si="80"/>
        <v>7.437218287186087E-2</v>
      </c>
      <c r="K61" s="39">
        <f t="shared" si="80"/>
        <v>-2.2874837678553583E-2</v>
      </c>
      <c r="L61" s="189">
        <f>$F$24</f>
        <v>9.1999999999999998E-2</v>
      </c>
      <c r="M61" s="189">
        <f t="shared" ref="M61:P61" si="81">$F$24</f>
        <v>9.1999999999999998E-2</v>
      </c>
      <c r="N61" s="189">
        <f t="shared" si="81"/>
        <v>9.1999999999999998E-2</v>
      </c>
      <c r="O61" s="189">
        <f t="shared" si="81"/>
        <v>9.1999999999999998E-2</v>
      </c>
      <c r="P61" s="189">
        <f t="shared" si="81"/>
        <v>9.1999999999999998E-2</v>
      </c>
      <c r="Q61" s="189"/>
      <c r="R61" s="24"/>
      <c r="S61" s="24"/>
    </row>
    <row r="62" spans="2:19" ht="14">
      <c r="B62" s="145" t="s">
        <v>234</v>
      </c>
      <c r="C62" s="10"/>
      <c r="D62" s="10"/>
      <c r="E62" s="10"/>
      <c r="F62" s="10"/>
      <c r="G62" s="203">
        <f>INDEX('Drugs sales'!$F$2:$N$77,74,MATCH(G$8,'Drugs sales'!$F$2:$N$2,0))</f>
        <v>3008</v>
      </c>
      <c r="H62" s="203">
        <f>INDEX('Drugs sales'!$F$2:$N$77,74,MATCH(H$8,'Drugs sales'!$F$2:$N$2,0))</f>
        <v>3004</v>
      </c>
      <c r="I62" s="203">
        <f>INDEX('Drugs sales'!$F$2:$N$77,74,MATCH(I$8,'Drugs sales'!$F$2:$N$2,0))</f>
        <v>3337</v>
      </c>
      <c r="J62" s="203">
        <f>INDEX('Drugs sales'!$F$2:$N$77,74,MATCH(J$8,'Drugs sales'!$F$2:$N$2,0))</f>
        <v>3492</v>
      </c>
      <c r="K62" s="203">
        <f>INDEX('Drugs sales'!$F$2:$N$77,74,MATCH(K$8,'Drugs sales'!$F$2:$N$2,0))</f>
        <v>3330</v>
      </c>
      <c r="L62" s="204">
        <f t="shared" si="14"/>
        <v>3529.8</v>
      </c>
      <c r="M62" s="204">
        <f t="shared" ref="M62" si="82">L62*(1+M63)</f>
        <v>3741.5880000000002</v>
      </c>
      <c r="N62" s="204">
        <f t="shared" ref="N62" si="83">M62*(1+N63)</f>
        <v>3966.0832800000003</v>
      </c>
      <c r="O62" s="204">
        <f t="shared" ref="O62" si="84">N62*(1+O63)</f>
        <v>4204.0482768000002</v>
      </c>
      <c r="P62" s="204">
        <f t="shared" ref="P62" si="85">O62*(1+P63)</f>
        <v>4456.2911734080008</v>
      </c>
      <c r="Q62" s="189"/>
      <c r="R62" s="24" t="s">
        <v>60</v>
      </c>
      <c r="S62" s="200">
        <f>(K62/G62)^(1/COUNTA(H62:K62))-1</f>
        <v>2.5750176568549277E-2</v>
      </c>
    </row>
    <row r="63" spans="2:19" ht="14">
      <c r="B63" s="145"/>
      <c r="C63" s="10"/>
      <c r="D63" s="10"/>
      <c r="E63" s="10"/>
      <c r="F63" s="10"/>
      <c r="G63" s="139"/>
      <c r="H63" s="39">
        <f>H62/G62-1</f>
        <v>-1.3297872340425343E-3</v>
      </c>
      <c r="I63" s="39">
        <f t="shared" ref="I63:K63" si="86">I62/H62-1</f>
        <v>0.11085219707057248</v>
      </c>
      <c r="J63" s="39">
        <f t="shared" si="86"/>
        <v>4.6448906203176543E-2</v>
      </c>
      <c r="K63" s="39">
        <f t="shared" si="86"/>
        <v>-4.6391752577319534E-2</v>
      </c>
      <c r="L63" s="189">
        <f>$F$25</f>
        <v>0.06</v>
      </c>
      <c r="M63" s="189">
        <f t="shared" ref="M63:P63" si="87">$F$25</f>
        <v>0.06</v>
      </c>
      <c r="N63" s="189">
        <f t="shared" si="87"/>
        <v>0.06</v>
      </c>
      <c r="O63" s="189">
        <f t="shared" si="87"/>
        <v>0.06</v>
      </c>
      <c r="P63" s="189">
        <f t="shared" si="87"/>
        <v>0.06</v>
      </c>
      <c r="Q63" s="189"/>
      <c r="R63" s="24"/>
      <c r="S63" s="24"/>
    </row>
    <row r="64" spans="2:19" ht="14">
      <c r="B64" s="145" t="s">
        <v>235</v>
      </c>
      <c r="C64" s="10"/>
      <c r="D64" s="10"/>
      <c r="E64" s="10"/>
      <c r="F64" s="10"/>
      <c r="G64" s="203">
        <f>INDEX('Drugs sales'!$F$2:$N$77,76,MATCH(G$8,'Drugs sales'!$F$2:$N$2,0))</f>
        <v>1844</v>
      </c>
      <c r="H64" s="203">
        <f>INDEX('Drugs sales'!$F$2:$N$77,76,MATCH(H$8,'Drugs sales'!$F$2:$N$2,0))</f>
        <v>1625</v>
      </c>
      <c r="I64" s="203">
        <f>INDEX('Drugs sales'!$F$2:$N$77,76,MATCH(I$8,'Drugs sales'!$F$2:$N$2,0))</f>
        <v>1805</v>
      </c>
      <c r="J64" s="203">
        <f>INDEX('Drugs sales'!$F$2:$N$77,76,MATCH(J$8,'Drugs sales'!$F$2:$N$2,0))</f>
        <v>1917</v>
      </c>
      <c r="K64" s="203">
        <f>INDEX('Drugs sales'!$F$2:$N$77,76,MATCH(K$8,'Drugs sales'!$F$2:$N$2,0))</f>
        <v>1854</v>
      </c>
      <c r="L64" s="204">
        <f t="shared" si="14"/>
        <v>2015.298</v>
      </c>
      <c r="M64" s="204">
        <f t="shared" ref="M64" si="88">L64*(1+M65)</f>
        <v>2190.6289259999999</v>
      </c>
      <c r="N64" s="204">
        <f t="shared" ref="N64" si="89">M64*(1+N65)</f>
        <v>2381.2136425619997</v>
      </c>
      <c r="O64" s="204">
        <f t="shared" ref="O64" si="90">N64*(1+O65)</f>
        <v>2588.3792294648933</v>
      </c>
      <c r="P64" s="204">
        <f t="shared" ref="P64" si="91">O64*(1+P65)</f>
        <v>2813.5682224283391</v>
      </c>
      <c r="Q64" s="189"/>
      <c r="R64" s="24" t="s">
        <v>60</v>
      </c>
      <c r="S64" s="128">
        <f>(K64/G64)^(1/COUNTA(H64:K64))-1</f>
        <v>1.3529999820232064E-3</v>
      </c>
    </row>
    <row r="65" spans="2:19" ht="14">
      <c r="B65" s="145"/>
      <c r="C65" s="10"/>
      <c r="D65" s="10"/>
      <c r="E65" s="10"/>
      <c r="F65" s="10"/>
      <c r="G65" s="38"/>
      <c r="H65" s="39">
        <f>H64/G64-1</f>
        <v>-0.11876355748373102</v>
      </c>
      <c r="I65" s="39">
        <f t="shared" ref="I65:K65" si="92">I64/H64-1</f>
        <v>0.11076923076923073</v>
      </c>
      <c r="J65" s="39">
        <f t="shared" si="92"/>
        <v>6.2049861495844905E-2</v>
      </c>
      <c r="K65" s="39">
        <f t="shared" si="92"/>
        <v>-3.2863849765258246E-2</v>
      </c>
      <c r="L65" s="189">
        <f>$F$26</f>
        <v>8.6999999999999994E-2</v>
      </c>
      <c r="M65" s="189">
        <f t="shared" ref="M65:P65" si="93">$F$26</f>
        <v>8.6999999999999994E-2</v>
      </c>
      <c r="N65" s="189">
        <f t="shared" si="93"/>
        <v>8.6999999999999994E-2</v>
      </c>
      <c r="O65" s="189">
        <f t="shared" si="93"/>
        <v>8.6999999999999994E-2</v>
      </c>
      <c r="P65" s="189">
        <f t="shared" si="93"/>
        <v>8.6999999999999994E-2</v>
      </c>
      <c r="Q65" s="189"/>
      <c r="R65" s="24"/>
      <c r="S65" s="24"/>
    </row>
    <row r="66" spans="2:19" ht="15">
      <c r="B66" s="41" t="s">
        <v>413</v>
      </c>
      <c r="C66" s="10"/>
      <c r="D66" s="10"/>
      <c r="E66" s="10"/>
      <c r="F66" s="10"/>
      <c r="G66" s="203">
        <f>INDEX(ISV!$C$3:$M$13,2,MATCH(G$8,ISV!$C$3:$M$3,0))</f>
        <v>3897</v>
      </c>
      <c r="H66" s="203">
        <f>INDEX(ISV!$C$3:$M$13,2,MATCH(H$8,ISV!$C$3:$M$3,0))</f>
        <v>3716</v>
      </c>
      <c r="I66" s="203">
        <f>INDEX(ISV!$C$3:$M$13,2,MATCH(I$8,ISV!$C$3:$M$3,0))</f>
        <v>3974</v>
      </c>
      <c r="J66" s="203">
        <f>INDEX(ISV!$C$3:$M$13,2,MATCH(J$8,ISV!$C$3:$M$3,0))</f>
        <v>4743</v>
      </c>
      <c r="K66" s="203">
        <f>INDEX(ISV!$C$3:$M$13,2,MATCH(K$8,ISV!$C$3:$M$3,0))</f>
        <v>4577</v>
      </c>
      <c r="L66" s="204">
        <f t="shared" si="14"/>
        <v>4808.7444902174393</v>
      </c>
      <c r="M66" s="204">
        <f t="shared" ref="M66" si="94">L66*(1+M67)</f>
        <v>5052.2227599293383</v>
      </c>
      <c r="N66" s="204">
        <f t="shared" ref="N66" si="95">M66*(1+N67)</f>
        <v>5308.0289185408237</v>
      </c>
      <c r="O66" s="204">
        <f t="shared" ref="O66" si="96">N66*(1+O67)</f>
        <v>5576.7871566414724</v>
      </c>
      <c r="P66" s="204">
        <f t="shared" ref="P66" si="97">O66*(1+P67)</f>
        <v>5859.1532690878439</v>
      </c>
      <c r="Q66" s="189"/>
      <c r="R66" s="24" t="s">
        <v>60</v>
      </c>
      <c r="S66" s="128">
        <f>(K66/G66)^(1/COUNTA(H66:K66))-1</f>
        <v>4.1028517748541882E-2</v>
      </c>
    </row>
    <row r="67" spans="2:19" ht="14">
      <c r="B67" s="22" t="s">
        <v>7</v>
      </c>
      <c r="C67" s="10"/>
      <c r="D67" s="10"/>
      <c r="E67" s="10"/>
      <c r="F67" s="10"/>
      <c r="G67" s="38"/>
      <c r="H67" s="39">
        <f>H66/G66-1</f>
        <v>-4.6445984090325854E-2</v>
      </c>
      <c r="I67" s="39">
        <f t="shared" ref="I67:K67" si="98">I66/H66-1</f>
        <v>6.9429494079655596E-2</v>
      </c>
      <c r="J67" s="39">
        <f t="shared" si="98"/>
        <v>0.19350780070457985</v>
      </c>
      <c r="K67" s="39">
        <f t="shared" si="98"/>
        <v>-3.4998945814885052E-2</v>
      </c>
      <c r="L67" s="214">
        <f>$F$27</f>
        <v>5.0632398998785133E-2</v>
      </c>
      <c r="M67" s="214">
        <f t="shared" ref="M67:P67" si="99">$F$27</f>
        <v>5.0632398998785133E-2</v>
      </c>
      <c r="N67" s="214">
        <f t="shared" si="99"/>
        <v>5.0632398998785133E-2</v>
      </c>
      <c r="O67" s="214">
        <f t="shared" si="99"/>
        <v>5.0632398998785133E-2</v>
      </c>
      <c r="P67" s="214">
        <f t="shared" si="99"/>
        <v>5.0632398998785133E-2</v>
      </c>
      <c r="Q67" s="189"/>
      <c r="R67" s="24"/>
      <c r="S67" s="24"/>
    </row>
    <row r="68" spans="2:19" ht="15">
      <c r="B68" s="41" t="s">
        <v>414</v>
      </c>
      <c r="C68" s="10"/>
      <c r="D68" s="10"/>
      <c r="E68" s="10"/>
      <c r="F68" s="10"/>
      <c r="G68" s="205">
        <f>INDEX(ISAH!$C$4:$K$14,2,MATCH(G$8,ISAH!$C$4:$K$4,0))</f>
        <v>2179</v>
      </c>
      <c r="H68" s="205">
        <f>INDEX(ISAH!$C$4:$K$14,2,MATCH(H$8,ISAH!$C$4:$K$4,0))</f>
        <v>1985</v>
      </c>
      <c r="I68" s="205">
        <f>INDEX(ISAH!$C$4:$K$14,2,MATCH(I$8,ISAH!$C$4:$K$4,0))</f>
        <v>2076</v>
      </c>
      <c r="J68" s="205">
        <f>INDEX(ISAH!$C$4:$K$14,2,MATCH(J$8,ISAH!$C$4:$K$4,0))</f>
        <v>2515</v>
      </c>
      <c r="K68" s="205"/>
      <c r="L68" s="189"/>
      <c r="M68" s="189"/>
      <c r="N68" s="189"/>
      <c r="O68" s="189"/>
      <c r="P68" s="189"/>
      <c r="Q68" s="189"/>
      <c r="R68" s="24"/>
      <c r="S68" s="24"/>
    </row>
    <row r="69" spans="2:19" ht="14">
      <c r="B69" s="22" t="s">
        <v>7</v>
      </c>
      <c r="C69" s="10"/>
      <c r="D69" s="10"/>
      <c r="E69" s="10"/>
      <c r="F69" s="10"/>
      <c r="G69" s="38"/>
      <c r="H69" s="39">
        <f>H68/G68-1</f>
        <v>-8.9031665901789792E-2</v>
      </c>
      <c r="I69" s="39">
        <f t="shared" ref="I69:J69" si="100">I68/H68-1</f>
        <v>4.5843828715365298E-2</v>
      </c>
      <c r="J69" s="39">
        <f t="shared" si="100"/>
        <v>0.21146435452793844</v>
      </c>
      <c r="K69" s="130"/>
      <c r="L69" s="189"/>
      <c r="M69" s="189"/>
      <c r="N69" s="189"/>
      <c r="O69" s="189"/>
      <c r="P69" s="189"/>
      <c r="Q69" s="189"/>
      <c r="R69" s="24"/>
      <c r="S69" s="24"/>
    </row>
    <row r="70" spans="2:19" ht="14">
      <c r="B70" s="22"/>
      <c r="C70" s="10"/>
      <c r="D70" s="10"/>
      <c r="E70" s="10"/>
      <c r="F70" s="10"/>
      <c r="G70" s="38"/>
      <c r="H70" s="39"/>
      <c r="I70" s="39"/>
      <c r="J70" s="130"/>
      <c r="K70" s="130"/>
      <c r="L70" s="189"/>
      <c r="M70" s="189"/>
      <c r="N70" s="189"/>
      <c r="O70" s="189"/>
      <c r="P70" s="189"/>
      <c r="Q70" s="189"/>
      <c r="R70" s="24"/>
      <c r="S70" s="24"/>
    </row>
    <row r="71" spans="2:19" ht="15">
      <c r="B71" s="41" t="s">
        <v>422</v>
      </c>
      <c r="C71" s="10"/>
      <c r="D71" s="10"/>
      <c r="E71" s="10"/>
      <c r="F71" s="10"/>
      <c r="G71" s="203"/>
      <c r="H71" s="203"/>
      <c r="I71" s="203">
        <v>8957</v>
      </c>
      <c r="J71" s="203">
        <v>9313</v>
      </c>
      <c r="K71" s="203">
        <f>INDEX(ISG!$C$2:$M$23,11,MATCH(K$8,ISG!$C$2:$M$2,0))</f>
        <v>9285</v>
      </c>
      <c r="L71" s="204">
        <f>L74+L77</f>
        <v>10190.598704882792</v>
      </c>
      <c r="M71" s="204">
        <f t="shared" ref="M71:P71" si="101">M74+M77</f>
        <v>11012.824680046519</v>
      </c>
      <c r="N71" s="204">
        <f t="shared" si="101"/>
        <v>11939.660765811012</v>
      </c>
      <c r="O71" s="204">
        <f t="shared" si="101"/>
        <v>12999.65371387949</v>
      </c>
      <c r="P71" s="204">
        <f t="shared" si="101"/>
        <v>14234.115161372762</v>
      </c>
      <c r="Q71" s="140"/>
      <c r="R71" s="24" t="s">
        <v>60</v>
      </c>
      <c r="S71" s="200">
        <f>(K71/I71)^(1/COUNTA(J71:K71))-1</f>
        <v>1.8145079945998122E-2</v>
      </c>
    </row>
    <row r="72" spans="2:19" ht="14">
      <c r="B72" s="22" t="s">
        <v>7</v>
      </c>
      <c r="C72" s="10"/>
      <c r="D72" s="10"/>
      <c r="E72" s="10"/>
      <c r="F72" s="10"/>
      <c r="H72" s="39"/>
      <c r="I72" s="39"/>
      <c r="J72" s="39">
        <f t="shared" ref="J72:K72" si="102">J71/I71-1</f>
        <v>3.9745450485653588E-2</v>
      </c>
      <c r="K72" s="39">
        <f t="shared" si="102"/>
        <v>-3.0065499838934917E-3</v>
      </c>
      <c r="L72" s="39">
        <f t="shared" ref="L72" si="103">L71/K71-1</f>
        <v>9.7533516950219834E-2</v>
      </c>
      <c r="M72" s="39">
        <f t="shared" ref="M72" si="104">M71/L71-1</f>
        <v>8.0684756506971489E-2</v>
      </c>
      <c r="N72" s="39">
        <f t="shared" ref="N72" si="105">N71/M71-1</f>
        <v>8.4159705860365808E-2</v>
      </c>
      <c r="O72" s="39">
        <f t="shared" ref="O72" si="106">O71/N71-1</f>
        <v>8.8779151171844761E-2</v>
      </c>
      <c r="P72" s="39">
        <f t="shared" ref="P72" si="107">P71/O71-1</f>
        <v>9.4961102400386244E-2</v>
      </c>
      <c r="Q72" s="39"/>
      <c r="R72" s="24" t="s">
        <v>61</v>
      </c>
      <c r="S72" s="24">
        <f>(P71/K71)^(1/COUNTA(L71:P71))-1</f>
        <v>8.920521848653995E-2</v>
      </c>
    </row>
    <row r="73" spans="2:19" ht="14">
      <c r="B73" s="22" t="s">
        <v>11</v>
      </c>
      <c r="C73" s="10"/>
      <c r="D73" s="10"/>
      <c r="E73" s="10"/>
      <c r="F73" s="10"/>
      <c r="G73" s="39"/>
      <c r="H73" s="39"/>
      <c r="I73" s="39">
        <f>I71/I36</f>
        <v>0.28260869565217389</v>
      </c>
      <c r="J73" s="39">
        <f>J71/J36</f>
        <v>0.2696138034856117</v>
      </c>
      <c r="K73" s="130">
        <f>K71/K36</f>
        <v>0.27453357381508531</v>
      </c>
      <c r="L73" s="130">
        <f t="shared" ref="L73:P73" si="108">L71/L36</f>
        <v>0.27947931152829858</v>
      </c>
      <c r="M73" s="130">
        <f t="shared" si="108"/>
        <v>0.27945959250353869</v>
      </c>
      <c r="N73" s="130">
        <f t="shared" si="108"/>
        <v>0.27943827681764133</v>
      </c>
      <c r="O73" s="130">
        <f t="shared" si="108"/>
        <v>0.27941487768770762</v>
      </c>
      <c r="P73" s="130">
        <f t="shared" si="108"/>
        <v>0.27938879199626693</v>
      </c>
      <c r="Q73" s="189"/>
      <c r="R73" s="24" t="s">
        <v>17</v>
      </c>
      <c r="S73" s="142">
        <f>AVERAGE(H73:K73)</f>
        <v>0.27558535765095699</v>
      </c>
    </row>
    <row r="74" spans="2:19" ht="15">
      <c r="B74" s="41" t="s">
        <v>421</v>
      </c>
      <c r="C74" s="10"/>
      <c r="D74" s="10"/>
      <c r="E74" s="10"/>
      <c r="F74" s="10"/>
      <c r="G74" s="203">
        <f>INDEX(ISP!$C$2:$M$12,11,MATCH(G$8,ISP!$C$2:$M$2,0))</f>
        <v>9601</v>
      </c>
      <c r="H74" s="203">
        <f>INDEX(ISP!$C$2:$M$12,11,MATCH(H$8,ISP!$C$2:$M$2,0))</f>
        <v>7886</v>
      </c>
      <c r="I74" s="203">
        <f>INDEX(ISP!$C$2:$M$12,11,MATCH(I$8,ISP!$C$2:$M$2,0))</f>
        <v>8018</v>
      </c>
      <c r="J74" s="203">
        <f>INDEX(ISP!$C$2:$M$12,11,MATCH(J$8,ISP!$C$2:$M$2,0))</f>
        <v>8013</v>
      </c>
      <c r="K74" s="203">
        <f>INDEX(ISP!$C$2:$M$12,11,MATCH(K$8,ISP!$C$2:$M$2,0))</f>
        <v>7824</v>
      </c>
      <c r="L74" s="204">
        <f>L38*L76</f>
        <v>8824.2635246424106</v>
      </c>
      <c r="M74" s="204">
        <f t="shared" ref="M74:P74" si="109">M38*M76</f>
        <v>9577.3086717941296</v>
      </c>
      <c r="N74" s="204">
        <f t="shared" si="109"/>
        <v>10431.461138259643</v>
      </c>
      <c r="O74" s="204">
        <f t="shared" si="109"/>
        <v>11415.090321016123</v>
      </c>
      <c r="P74" s="204">
        <f t="shared" si="109"/>
        <v>12569.321522563067</v>
      </c>
      <c r="Q74" s="189"/>
      <c r="R74" s="24" t="s">
        <v>60</v>
      </c>
      <c r="S74" s="200">
        <f>(K74/H74)^(1/COUNTA(I74:K74))-1</f>
        <v>-2.6275761038750955E-3</v>
      </c>
    </row>
    <row r="75" spans="2:19" ht="14">
      <c r="B75" s="22" t="s">
        <v>7</v>
      </c>
      <c r="C75" s="10"/>
      <c r="D75" s="10"/>
      <c r="E75" s="10"/>
      <c r="F75" s="10"/>
      <c r="G75" s="39"/>
      <c r="H75" s="39">
        <f t="shared" ref="H75:I75" si="110">H74/G74-1</f>
        <v>-0.17862722633059058</v>
      </c>
      <c r="I75" s="39">
        <f t="shared" si="110"/>
        <v>1.6738523966522978E-2</v>
      </c>
      <c r="J75" s="39">
        <f t="shared" ref="J75" si="111">J74/I74-1</f>
        <v>-6.23596906959345E-4</v>
      </c>
      <c r="K75" s="39">
        <f t="shared" ref="K75" si="112">K74/J74-1</f>
        <v>-2.3586671658554881E-2</v>
      </c>
      <c r="L75" s="39">
        <f t="shared" ref="L75" si="113">L74/K74-1</f>
        <v>0.1278455425156455</v>
      </c>
      <c r="M75" s="39">
        <f t="shared" ref="M75" si="114">M74/L74-1</f>
        <v>8.5338016600341238E-2</v>
      </c>
      <c r="N75" s="39">
        <f t="shared" ref="N75" si="115">N74/M74-1</f>
        <v>8.9185020107063639E-2</v>
      </c>
      <c r="O75" s="39">
        <f t="shared" ref="O75" si="116">O74/N74-1</f>
        <v>9.4294477994919301E-2</v>
      </c>
      <c r="P75" s="39">
        <f t="shared" ref="P75" si="117">P74/O74-1</f>
        <v>0.10111450449252324</v>
      </c>
      <c r="Q75" s="189"/>
      <c r="R75" s="24"/>
      <c r="S75" s="142"/>
    </row>
    <row r="76" spans="2:19" ht="14">
      <c r="B76" s="22" t="s">
        <v>11</v>
      </c>
      <c r="C76" s="10"/>
      <c r="D76" s="10"/>
      <c r="E76" s="10"/>
      <c r="F76" s="10"/>
      <c r="G76" s="39"/>
      <c r="H76" s="39">
        <f>H74/H38</f>
        <v>0.28939449541284401</v>
      </c>
      <c r="I76" s="39">
        <f t="shared" ref="I76:K76" si="118">I74/I38</f>
        <v>0.28924963924963926</v>
      </c>
      <c r="J76" s="39">
        <f t="shared" si="118"/>
        <v>0.26890164099466424</v>
      </c>
      <c r="K76" s="39">
        <f t="shared" si="118"/>
        <v>0.26754205990972507</v>
      </c>
      <c r="L76" s="215">
        <f>$S$76</f>
        <v>0.27877195889171819</v>
      </c>
      <c r="M76" s="215">
        <f t="shared" ref="M76:P76" si="119">$S$76</f>
        <v>0.27877195889171819</v>
      </c>
      <c r="N76" s="215">
        <f t="shared" si="119"/>
        <v>0.27877195889171819</v>
      </c>
      <c r="O76" s="215">
        <f t="shared" si="119"/>
        <v>0.27877195889171819</v>
      </c>
      <c r="P76" s="215">
        <f t="shared" si="119"/>
        <v>0.27877195889171819</v>
      </c>
      <c r="Q76" s="189"/>
      <c r="R76" s="24" t="s">
        <v>17</v>
      </c>
      <c r="S76" s="129">
        <f>AVERAGE(H76:K76)</f>
        <v>0.27877195889171819</v>
      </c>
    </row>
    <row r="77" spans="2:19" ht="15">
      <c r="B77" s="41" t="s">
        <v>423</v>
      </c>
      <c r="C77" s="10"/>
      <c r="D77" s="10"/>
      <c r="E77" s="10"/>
      <c r="F77" s="10"/>
      <c r="G77" s="203">
        <f>INDEX(ISV!$C$3:$M$13,11,MATCH(G$8,ISV!$C$3:$M$3,0))</f>
        <v>1157</v>
      </c>
      <c r="H77" s="203">
        <f>INDEX(ISV!$C$3:$M$13,11,MATCH(H$8,ISV!$C$3:$M$3,0))</f>
        <v>909</v>
      </c>
      <c r="I77" s="203">
        <f>INDEX(ISV!$C$3:$M$13,11,MATCH(I$8,ISV!$C$3:$M$3,0))</f>
        <v>994</v>
      </c>
      <c r="J77" s="203">
        <f>INDEX(ISV!$C$3:$M$13,11,MATCH(J$8,ISV!$C$3:$M$3,0))</f>
        <v>1414</v>
      </c>
      <c r="K77" s="203">
        <f>INDEX(ISV!$C$3:$M$13,11,MATCH(K$8,ISV!$C$3:$M$3,0))</f>
        <v>1573</v>
      </c>
      <c r="L77" s="204">
        <f>L66*L79</f>
        <v>1366.3351802403815</v>
      </c>
      <c r="M77" s="204">
        <f t="shared" ref="M77:P77" si="120">M66*M79</f>
        <v>1435.5160082523896</v>
      </c>
      <c r="N77" s="204">
        <f t="shared" si="120"/>
        <v>1508.1996275513677</v>
      </c>
      <c r="O77" s="204">
        <f t="shared" si="120"/>
        <v>1584.5633928633677</v>
      </c>
      <c r="P77" s="204">
        <f t="shared" si="120"/>
        <v>1664.7936388096944</v>
      </c>
      <c r="Q77" s="189"/>
      <c r="R77" s="24"/>
      <c r="S77" s="142"/>
    </row>
    <row r="78" spans="2:19" ht="14">
      <c r="B78" s="22" t="s">
        <v>7</v>
      </c>
      <c r="C78" s="10"/>
      <c r="D78" s="10"/>
      <c r="E78" s="10"/>
      <c r="F78" s="10"/>
      <c r="G78" s="39"/>
      <c r="H78" s="39">
        <f t="shared" ref="H78" si="121">H77/G77-1</f>
        <v>-0.21434745030250646</v>
      </c>
      <c r="I78" s="39">
        <f t="shared" ref="I78" si="122">I77/H77-1</f>
        <v>9.3509350935093494E-2</v>
      </c>
      <c r="J78" s="39">
        <f t="shared" ref="J78" si="123">J77/I77-1</f>
        <v>0.42253521126760574</v>
      </c>
      <c r="K78" s="39">
        <f t="shared" ref="K78" si="124">K77/J77-1</f>
        <v>0.11244695898161239</v>
      </c>
      <c r="L78" s="39">
        <f t="shared" ref="L78" si="125">L77/K77-1</f>
        <v>-0.13138259361704929</v>
      </c>
      <c r="M78" s="39">
        <f t="shared" ref="M78" si="126">M77/L77-1</f>
        <v>5.0632398998785133E-2</v>
      </c>
      <c r="N78" s="39">
        <f t="shared" ref="N78" si="127">N77/M77-1</f>
        <v>5.0632398998784911E-2</v>
      </c>
      <c r="O78" s="39">
        <f t="shared" ref="O78" si="128">O77/N77-1</f>
        <v>5.0632398998785133E-2</v>
      </c>
      <c r="P78" s="39">
        <f t="shared" ref="P78" si="129">P77/O77-1</f>
        <v>5.0632398998785133E-2</v>
      </c>
      <c r="Q78" s="189"/>
      <c r="R78" s="24"/>
      <c r="S78" s="142"/>
    </row>
    <row r="79" spans="2:19" ht="14">
      <c r="B79" s="22" t="s">
        <v>11</v>
      </c>
      <c r="C79" s="10"/>
      <c r="D79" s="10"/>
      <c r="E79" s="10"/>
      <c r="F79" s="10"/>
      <c r="G79" s="39"/>
      <c r="H79" s="39">
        <f>H77/H66</f>
        <v>0.24461786867599569</v>
      </c>
      <c r="I79" s="39">
        <f t="shared" ref="I79:K79" si="130">I77/I66</f>
        <v>0.25012581781580273</v>
      </c>
      <c r="J79" s="39">
        <f t="shared" si="130"/>
        <v>0.29812355049546702</v>
      </c>
      <c r="K79" s="39">
        <f t="shared" si="130"/>
        <v>0.34367489622023162</v>
      </c>
      <c r="L79" s="215">
        <f>$S$79</f>
        <v>0.28413553330187424</v>
      </c>
      <c r="M79" s="215">
        <f t="shared" ref="M79:P79" si="131">$S$79</f>
        <v>0.28413553330187424</v>
      </c>
      <c r="N79" s="215">
        <f t="shared" si="131"/>
        <v>0.28413553330187424</v>
      </c>
      <c r="O79" s="215">
        <f t="shared" si="131"/>
        <v>0.28413553330187424</v>
      </c>
      <c r="P79" s="215">
        <f t="shared" si="131"/>
        <v>0.28413553330187424</v>
      </c>
      <c r="Q79" s="189"/>
      <c r="R79" s="24" t="s">
        <v>17</v>
      </c>
      <c r="S79" s="129">
        <f>AVERAGE(H79:K79)</f>
        <v>0.28413553330187424</v>
      </c>
    </row>
    <row r="80" spans="2:19" ht="15">
      <c r="B80" s="41" t="s">
        <v>424</v>
      </c>
      <c r="C80" s="10"/>
      <c r="D80" s="10"/>
      <c r="E80" s="10"/>
      <c r="F80" s="10"/>
      <c r="G80" s="203"/>
      <c r="H80" s="203"/>
      <c r="I80" s="203">
        <f>-(I71-I83)</f>
        <v>-2893</v>
      </c>
      <c r="J80" s="203">
        <f>-(J71-J83)</f>
        <v>-3689</v>
      </c>
      <c r="K80" s="203">
        <f>-(K71-K83)</f>
        <v>-2751</v>
      </c>
      <c r="L80" s="204">
        <f>L36*L82</f>
        <v>-3396.1043160992244</v>
      </c>
      <c r="M80" s="204">
        <f t="shared" ref="M80:P80" si="132">M36*M82</f>
        <v>-3670.3771341279239</v>
      </c>
      <c r="N80" s="204">
        <f t="shared" si="132"/>
        <v>-3979.5785351395089</v>
      </c>
      <c r="O80" s="204">
        <f t="shared" si="132"/>
        <v>-4333.2449894529118</v>
      </c>
      <c r="P80" s="204">
        <f t="shared" si="132"/>
        <v>-4745.1777122357425</v>
      </c>
      <c r="Q80" s="189"/>
      <c r="R80" s="24"/>
      <c r="S80" s="142"/>
    </row>
    <row r="81" spans="2:19" ht="14">
      <c r="B81" s="22" t="s">
        <v>7</v>
      </c>
      <c r="C81" s="10"/>
      <c r="D81" s="10"/>
      <c r="E81" s="10"/>
      <c r="F81" s="10"/>
      <c r="G81" s="39"/>
      <c r="H81" s="39"/>
      <c r="I81" s="39"/>
      <c r="J81" s="39">
        <f t="shared" ref="J81" si="133">J80/I80-1</f>
        <v>0.27514690632561356</v>
      </c>
      <c r="K81" s="39">
        <f t="shared" ref="K81" si="134">K80/J80-1</f>
        <v>-0.25426944971537002</v>
      </c>
      <c r="L81" s="39">
        <f t="shared" ref="L81" si="135">L80/K80-1</f>
        <v>0.2344981156303978</v>
      </c>
      <c r="M81" s="39">
        <f t="shared" ref="M81" si="136">M80/L80-1</f>
        <v>8.0761010999723881E-2</v>
      </c>
      <c r="N81" s="39">
        <f t="shared" ref="N81" si="137">N80/M80-1</f>
        <v>8.4242406083169685E-2</v>
      </c>
      <c r="O81" s="39">
        <f t="shared" ref="O81" si="138">O80/N80-1</f>
        <v>8.8870329154342231E-2</v>
      </c>
      <c r="P81" s="39">
        <f t="shared" ref="P81" si="139">P80/O80-1</f>
        <v>9.5063335626181411E-2</v>
      </c>
      <c r="Q81" s="189"/>
      <c r="R81" s="24"/>
      <c r="S81" s="142"/>
    </row>
    <row r="82" spans="2:19" ht="14">
      <c r="B82" s="22" t="s">
        <v>11</v>
      </c>
      <c r="C82" s="10"/>
      <c r="D82" s="10"/>
      <c r="E82" s="10"/>
      <c r="F82" s="10"/>
      <c r="G82" s="39"/>
      <c r="H82" s="39"/>
      <c r="I82" s="39">
        <f t="shared" ref="I82:K82" si="140">I80/I$36</f>
        <v>-9.1279106455480527E-2</v>
      </c>
      <c r="J82" s="39">
        <f t="shared" si="140"/>
        <v>-0.1067975218574489</v>
      </c>
      <c r="K82" s="39">
        <f t="shared" si="140"/>
        <v>-8.133999586056001E-2</v>
      </c>
      <c r="L82" s="215">
        <f>$S$82</f>
        <v>-9.3138874724496487E-2</v>
      </c>
      <c r="M82" s="215">
        <f t="shared" ref="M82:P82" si="141">$S$82</f>
        <v>-9.3138874724496487E-2</v>
      </c>
      <c r="N82" s="215">
        <f t="shared" si="141"/>
        <v>-9.3138874724496487E-2</v>
      </c>
      <c r="O82" s="215">
        <f t="shared" si="141"/>
        <v>-9.3138874724496487E-2</v>
      </c>
      <c r="P82" s="215">
        <f t="shared" si="141"/>
        <v>-9.3138874724496487E-2</v>
      </c>
      <c r="Q82" s="189"/>
      <c r="R82" s="24" t="s">
        <v>17</v>
      </c>
      <c r="S82" s="129">
        <f>AVERAGE(I82:K82)</f>
        <v>-9.3138874724496487E-2</v>
      </c>
    </row>
    <row r="83" spans="2:19" ht="15">
      <c r="B83" s="41" t="s">
        <v>425</v>
      </c>
      <c r="C83" s="10"/>
      <c r="D83" s="10"/>
      <c r="E83" s="10"/>
      <c r="F83" s="10"/>
      <c r="G83" s="203"/>
      <c r="H83" s="203">
        <f>INDEX(ISG!$C$2:$M$23,16,MATCH(H$8,ISG!$C$2:$M$2,0))</f>
        <v>4982</v>
      </c>
      <c r="I83" s="203">
        <f>INDEX(ISG!$C$2:$M$23,16,MATCH(I$8,ISG!$C$2:$M$2,0))</f>
        <v>6064</v>
      </c>
      <c r="J83" s="203">
        <f>INDEX(ISG!$C$2:$M$23,16,MATCH(J$8,ISG!$C$2:$M$2,0))</f>
        <v>5624</v>
      </c>
      <c r="K83" s="203">
        <f>INDEX(ISG!$C$2:$M$23,16,MATCH(K$8,ISG!$C$2:$M$2,0))</f>
        <v>6534</v>
      </c>
      <c r="L83" s="204">
        <f>L71+L80</f>
        <v>6794.494388783567</v>
      </c>
      <c r="M83" s="204">
        <f t="shared" ref="M83:P83" si="142">M71+M80</f>
        <v>7342.4475459185942</v>
      </c>
      <c r="N83" s="204">
        <f t="shared" si="142"/>
        <v>7960.0822306715027</v>
      </c>
      <c r="O83" s="204">
        <f t="shared" si="142"/>
        <v>8666.4087244265793</v>
      </c>
      <c r="P83" s="204">
        <f t="shared" si="142"/>
        <v>9488.9374491370181</v>
      </c>
      <c r="Q83" s="189"/>
      <c r="R83" s="24" t="s">
        <v>60</v>
      </c>
      <c r="S83" s="200">
        <f>(K83/H83)^(1/COUNTA(I83:K83))-1</f>
        <v>9.460762470215256E-2</v>
      </c>
    </row>
    <row r="84" spans="2:19" ht="14">
      <c r="B84" s="22" t="s">
        <v>7</v>
      </c>
      <c r="C84" s="10"/>
      <c r="D84" s="10"/>
      <c r="E84" s="10"/>
      <c r="F84" s="10"/>
      <c r="G84" s="39"/>
      <c r="H84" s="39"/>
      <c r="I84" s="39">
        <f t="shared" ref="I84" si="143">I83/H83-1</f>
        <v>0.21718185467683671</v>
      </c>
      <c r="J84" s="39">
        <f t="shared" ref="J84" si="144">J83/I83-1</f>
        <v>-7.2559366754617383E-2</v>
      </c>
      <c r="K84" s="39">
        <f t="shared" ref="K84" si="145">K83/J83-1</f>
        <v>0.16180654338549072</v>
      </c>
      <c r="L84" s="39">
        <f t="shared" ref="L84" si="146">L83/K83-1</f>
        <v>3.9867522005443412E-2</v>
      </c>
      <c r="M84" s="39">
        <f t="shared" ref="M84" si="147">M83/L83-1</f>
        <v>8.0646642087098375E-2</v>
      </c>
      <c r="N84" s="39">
        <f t="shared" ref="N84" si="148">N83/M83-1</f>
        <v>8.411836528491512E-2</v>
      </c>
      <c r="O84" s="39">
        <f t="shared" ref="O84" si="149">O83/N83-1</f>
        <v>8.8733567479175601E-2</v>
      </c>
      <c r="P84" s="39">
        <f t="shared" ref="P84" si="150">P83/O83-1</f>
        <v>9.4909985308229583E-2</v>
      </c>
      <c r="Q84" s="189"/>
      <c r="R84" s="24" t="s">
        <v>61</v>
      </c>
      <c r="S84" s="24">
        <f>(P83/K83)^(1/COUNTA(L83:P83))-1</f>
        <v>7.7476211837812503E-2</v>
      </c>
    </row>
    <row r="85" spans="2:19" ht="14">
      <c r="B85" s="22" t="s">
        <v>11</v>
      </c>
      <c r="C85" s="10"/>
      <c r="D85" s="10"/>
      <c r="E85" s="10"/>
      <c r="F85" s="10"/>
      <c r="G85" s="39"/>
      <c r="H85" s="39">
        <f>H83/H$36</f>
        <v>0.16088613317832462</v>
      </c>
      <c r="I85" s="39">
        <f t="shared" ref="I85:P85" si="151">I83/I36</f>
        <v>0.19132958919669338</v>
      </c>
      <c r="J85" s="39">
        <f t="shared" si="151"/>
        <v>0.16281628162816281</v>
      </c>
      <c r="K85" s="39">
        <f t="shared" si="151"/>
        <v>0.1931935779545253</v>
      </c>
      <c r="L85" s="39">
        <f t="shared" si="151"/>
        <v>0.18634043680380208</v>
      </c>
      <c r="M85" s="39">
        <f t="shared" si="151"/>
        <v>0.18632071777904222</v>
      </c>
      <c r="N85" s="39">
        <f t="shared" si="151"/>
        <v>0.18629940209314483</v>
      </c>
      <c r="O85" s="39">
        <f t="shared" si="151"/>
        <v>0.18627600296321117</v>
      </c>
      <c r="P85" s="39">
        <f t="shared" si="151"/>
        <v>0.18624991727177043</v>
      </c>
      <c r="Q85" s="189"/>
      <c r="R85" s="24" t="s">
        <v>17</v>
      </c>
      <c r="S85" s="142">
        <f>AVERAGE(H85:K85)</f>
        <v>0.17705639548942653</v>
      </c>
    </row>
    <row r="86" spans="2:19" ht="15">
      <c r="B86" s="41" t="s">
        <v>2</v>
      </c>
      <c r="C86" s="10"/>
      <c r="D86" s="10"/>
      <c r="E86" s="10"/>
      <c r="F86" s="10"/>
      <c r="G86" s="43"/>
      <c r="H86" s="43"/>
      <c r="I86" s="37"/>
      <c r="J86" s="204">
        <f>J83+J91</f>
        <v>6957</v>
      </c>
      <c r="K86" s="204">
        <f>K83+K91</f>
        <v>7889</v>
      </c>
      <c r="L86" s="204">
        <f t="shared" ref="L86:P86" si="152">L83+L91</f>
        <v>8220.7153415697048</v>
      </c>
      <c r="M86" s="204">
        <f t="shared" si="152"/>
        <v>8883.8515447607315</v>
      </c>
      <c r="N86" s="204">
        <f t="shared" si="152"/>
        <v>9631.337811122321</v>
      </c>
      <c r="O86" s="204">
        <f t="shared" si="152"/>
        <v>10486.189338413093</v>
      </c>
      <c r="P86" s="217">
        <f t="shared" si="152"/>
        <v>11481.712478396948</v>
      </c>
      <c r="Q86" s="211"/>
      <c r="S86" s="23"/>
    </row>
    <row r="87" spans="2:19" ht="14">
      <c r="B87" s="22" t="s">
        <v>7</v>
      </c>
      <c r="C87" s="10"/>
      <c r="D87" s="10"/>
      <c r="E87" s="10"/>
      <c r="F87" s="10"/>
      <c r="G87" s="43"/>
      <c r="H87" s="43"/>
      <c r="I87" s="37"/>
      <c r="J87" s="39"/>
      <c r="K87" s="39">
        <f t="shared" ref="K87" si="153">K86/J86-1</f>
        <v>0.13396578985194774</v>
      </c>
      <c r="L87" s="39">
        <f t="shared" ref="L87" si="154">L86/K86-1</f>
        <v>4.204783135628154E-2</v>
      </c>
      <c r="M87" s="39">
        <f t="shared" ref="M87" si="155">M86/L86-1</f>
        <v>8.0666484075630818E-2</v>
      </c>
      <c r="N87" s="39">
        <f t="shared" ref="N87" si="156">N86/M86-1</f>
        <v>8.4139887141903014E-2</v>
      </c>
      <c r="O87" s="39">
        <f t="shared" ref="O87" si="157">O86/N86-1</f>
        <v>8.8757298732018874E-2</v>
      </c>
      <c r="P87" s="39">
        <f t="shared" ref="P87" si="158">P86/O86-1</f>
        <v>9.4936597829399005E-2</v>
      </c>
      <c r="Q87" s="39"/>
      <c r="R87" s="24" t="s">
        <v>61</v>
      </c>
      <c r="S87" s="24">
        <f>(P86/L86)^(1/COUNTA(M86:P86))-1</f>
        <v>8.7111936326738526E-2</v>
      </c>
    </row>
    <row r="88" spans="2:19" ht="14">
      <c r="B88" s="22" t="s">
        <v>11</v>
      </c>
      <c r="C88" s="10"/>
      <c r="D88" s="10"/>
      <c r="E88" s="10"/>
      <c r="F88" s="10"/>
      <c r="G88" s="43"/>
      <c r="H88" s="43"/>
      <c r="I88" s="37"/>
      <c r="J88" s="39">
        <f>J86/J36</f>
        <v>0.20140698280354352</v>
      </c>
      <c r="K88" s="39">
        <f t="shared" ref="K88:Q88" si="159">K86/K36</f>
        <v>0.23325744360013009</v>
      </c>
      <c r="L88" s="39">
        <f t="shared" si="159"/>
        <v>0.22545484622323259</v>
      </c>
      <c r="M88" s="39">
        <f t="shared" si="159"/>
        <v>0.22543512719847275</v>
      </c>
      <c r="N88" s="39">
        <f t="shared" si="159"/>
        <v>0.22541381151257539</v>
      </c>
      <c r="O88" s="39">
        <f t="shared" si="159"/>
        <v>0.22539041238264171</v>
      </c>
      <c r="P88" s="39">
        <f t="shared" si="159"/>
        <v>0.22536432669120093</v>
      </c>
      <c r="Q88" s="39" t="e">
        <f t="shared" si="159"/>
        <v>#DIV/0!</v>
      </c>
      <c r="S88" s="23"/>
    </row>
    <row r="89" spans="2:19" ht="9" customHeight="1">
      <c r="B89" s="22"/>
      <c r="C89" s="10"/>
      <c r="D89" s="10"/>
      <c r="E89" s="10"/>
      <c r="F89" s="15"/>
      <c r="G89" s="39"/>
      <c r="H89" s="39"/>
      <c r="I89" s="39"/>
      <c r="K89" s="39"/>
      <c r="L89" s="39"/>
      <c r="M89" s="39"/>
      <c r="N89" s="39"/>
      <c r="O89" s="39"/>
      <c r="P89" s="39"/>
      <c r="Q89" s="39"/>
    </row>
    <row r="90" spans="2:19" ht="15">
      <c r="B90" s="41" t="s">
        <v>14</v>
      </c>
      <c r="C90" s="10"/>
      <c r="D90" s="10"/>
      <c r="E90" s="10"/>
      <c r="F90" s="15"/>
      <c r="G90" s="42"/>
      <c r="H90" s="204">
        <f t="shared" ref="H90:J90" si="160">H83*(1-H31)</f>
        <v>3786.32</v>
      </c>
      <c r="I90" s="204">
        <f t="shared" si="160"/>
        <v>4608.6400000000003</v>
      </c>
      <c r="J90" s="204">
        <f t="shared" si="160"/>
        <v>4330.4800000000005</v>
      </c>
      <c r="K90" s="204">
        <f>K83*(1-K31)</f>
        <v>5011.5780000000004</v>
      </c>
      <c r="L90" s="204">
        <f>L83*(1-$F$31)</f>
        <v>5129.843263531593</v>
      </c>
      <c r="M90" s="204">
        <f t="shared" ref="M90:Q90" si="161">M83*(1-$F$31)</f>
        <v>5543.5478971685388</v>
      </c>
      <c r="N90" s="204">
        <f t="shared" si="161"/>
        <v>6009.8620841569846</v>
      </c>
      <c r="O90" s="204">
        <f t="shared" si="161"/>
        <v>6543.1385869420674</v>
      </c>
      <c r="P90" s="204">
        <f t="shared" si="161"/>
        <v>7164.1477740984483</v>
      </c>
      <c r="Q90" s="42">
        <f t="shared" si="161"/>
        <v>0</v>
      </c>
    </row>
    <row r="91" spans="2:19" ht="15">
      <c r="B91" s="41" t="s">
        <v>18</v>
      </c>
      <c r="C91" s="10"/>
      <c r="D91" s="10"/>
      <c r="E91" s="10"/>
      <c r="F91" s="15"/>
      <c r="G91" s="203">
        <f>INDEX(CFS!$C$3:$M$23,3,MATCH(G$8,CFS!$C$3:$M$3,0))</f>
        <v>1278</v>
      </c>
      <c r="H91" s="203">
        <f>INDEX(CFS!$C$3:$M$23,3,MATCH(H$8,CFS!$C$3:$M$3,0))</f>
        <v>1211</v>
      </c>
      <c r="I91" s="203">
        <f>INDEX(CFS!$C$3:$M$23,3,MATCH(I$8,CFS!$C$3:$M$3,0))</f>
        <v>1230</v>
      </c>
      <c r="J91" s="203">
        <f>INDEX(CFS!$C$3:$M$23,3,MATCH(J$8,CFS!$C$3:$M$3,0))</f>
        <v>1333</v>
      </c>
      <c r="K91" s="203">
        <f>INDEX(CFS!$C$3:$M$23,3,MATCH(K$8,CFS!$C$3:$M$3,0))</f>
        <v>1355</v>
      </c>
      <c r="L91" s="204">
        <f>L36*L92</f>
        <v>1426.2209527861385</v>
      </c>
      <c r="M91" s="204">
        <f>M36*M92</f>
        <v>1541.4039988421366</v>
      </c>
      <c r="N91" s="204">
        <f>N36*N92</f>
        <v>1671.2555804508174</v>
      </c>
      <c r="O91" s="204">
        <f>O36*O92</f>
        <v>1819.7806139865129</v>
      </c>
      <c r="P91" s="204">
        <f>P36*P92</f>
        <v>1992.7750292599312</v>
      </c>
      <c r="Q91" s="42"/>
      <c r="S91" s="24"/>
    </row>
    <row r="92" spans="2:19" ht="14">
      <c r="B92" s="22" t="s">
        <v>16</v>
      </c>
      <c r="C92" s="10"/>
      <c r="D92" s="10"/>
      <c r="E92" s="10"/>
      <c r="F92" s="15"/>
      <c r="G92" s="39">
        <f>G91/G36</f>
        <v>3.900146484375E-2</v>
      </c>
      <c r="H92" s="39">
        <f>H91/H36</f>
        <v>3.910740812504037E-2</v>
      </c>
      <c r="I92" s="39">
        <f>I91/I36</f>
        <v>3.8808607307376793E-2</v>
      </c>
      <c r="J92" s="39">
        <f>J91/J36</f>
        <v>3.8590701175380694E-2</v>
      </c>
      <c r="K92" s="39">
        <f>K91/K36</f>
        <v>4.0063865645604803E-2</v>
      </c>
      <c r="L92" s="40">
        <f>$S$92</f>
        <v>3.9114409419430528E-2</v>
      </c>
      <c r="M92" s="40">
        <f t="shared" ref="M92:P92" si="162">$S$92</f>
        <v>3.9114409419430528E-2</v>
      </c>
      <c r="N92" s="40">
        <f t="shared" si="162"/>
        <v>3.9114409419430528E-2</v>
      </c>
      <c r="O92" s="40">
        <f t="shared" si="162"/>
        <v>3.9114409419430528E-2</v>
      </c>
      <c r="P92" s="40">
        <f t="shared" si="162"/>
        <v>3.9114409419430528E-2</v>
      </c>
      <c r="Q92" s="40"/>
      <c r="R92" s="24" t="s">
        <v>17</v>
      </c>
      <c r="S92" s="129">
        <f>AVERAGE(G92:K92)</f>
        <v>3.9114409419430528E-2</v>
      </c>
    </row>
    <row r="93" spans="2:19" ht="15">
      <c r="B93" s="41" t="s">
        <v>15</v>
      </c>
      <c r="C93" s="10"/>
      <c r="D93" s="10"/>
      <c r="E93" s="10"/>
      <c r="F93" s="15"/>
      <c r="G93" s="203">
        <f>INDEX(CFS!$C$3:$M$23,8,MATCH(G$8,CFS!$C$3:$M$3,0))</f>
        <v>-1402</v>
      </c>
      <c r="H93" s="203">
        <f>INDEX(CFS!$C$3:$M$23,8,MATCH(H$8,CFS!$C$3:$M$3,0))</f>
        <v>-1198</v>
      </c>
      <c r="I93" s="203">
        <f>INDEX(CFS!$C$3:$M$23,8,MATCH(I$8,CFS!$C$3:$M$3,0))</f>
        <v>-1223</v>
      </c>
      <c r="J93" s="203">
        <f>INDEX(CFS!$C$3:$M$23,8,MATCH(J$8,CFS!$C$3:$M$3,0))</f>
        <v>-1464</v>
      </c>
      <c r="K93" s="203">
        <f>INDEX(CFS!$C$3:$M$23,8,MATCH(K$8,CFS!$C$3:$M$3,0))</f>
        <v>-1486</v>
      </c>
      <c r="L93" s="216">
        <f>L36*L94</f>
        <v>-1505.0485714849351</v>
      </c>
      <c r="M93" s="216">
        <f>M36*M94</f>
        <v>-1626.5978157217487</v>
      </c>
      <c r="N93" s="216">
        <f>N36*N94</f>
        <v>-1763.6263294477769</v>
      </c>
      <c r="O93" s="216">
        <f>O36*O94</f>
        <v>-1920.3603818510653</v>
      </c>
      <c r="P93" s="216">
        <f>P36*P94</f>
        <v>-2102.9162453541949</v>
      </c>
      <c r="Q93" s="42"/>
      <c r="S93" s="142"/>
    </row>
    <row r="94" spans="2:19" ht="14">
      <c r="B94" s="22" t="s">
        <v>16</v>
      </c>
      <c r="C94" s="10"/>
      <c r="D94" s="10"/>
      <c r="E94" s="10"/>
      <c r="F94" s="15"/>
      <c r="G94" s="39">
        <f>G93/G36</f>
        <v>-4.278564453125E-2</v>
      </c>
      <c r="H94" s="39">
        <f>H93/H36</f>
        <v>-3.8687592843764128E-2</v>
      </c>
      <c r="I94" s="39">
        <f>I93/I36</f>
        <v>-3.8587745314570585E-2</v>
      </c>
      <c r="J94" s="39">
        <f>J93/J36</f>
        <v>-4.2383185686989754E-2</v>
      </c>
      <c r="K94" s="39">
        <f>K93/K36</f>
        <v>-4.3937198781821944E-2</v>
      </c>
      <c r="L94" s="40">
        <f>$S$94</f>
        <v>-4.1276273431679285E-2</v>
      </c>
      <c r="M94" s="40">
        <f>L94</f>
        <v>-4.1276273431679285E-2</v>
      </c>
      <c r="N94" s="40">
        <f t="shared" ref="N94:P94" si="163">M94</f>
        <v>-4.1276273431679285E-2</v>
      </c>
      <c r="O94" s="40">
        <f t="shared" si="163"/>
        <v>-4.1276273431679285E-2</v>
      </c>
      <c r="P94" s="40">
        <f t="shared" si="163"/>
        <v>-4.1276273431679285E-2</v>
      </c>
      <c r="Q94" s="40"/>
      <c r="R94" s="24" t="s">
        <v>17</v>
      </c>
      <c r="S94" s="129">
        <f t="shared" ref="S94:S96" si="164">AVERAGE(G94:K94)</f>
        <v>-4.1276273431679285E-2</v>
      </c>
    </row>
    <row r="95" spans="2:19" ht="15">
      <c r="B95" s="41" t="s">
        <v>63</v>
      </c>
      <c r="C95" s="10"/>
      <c r="D95" s="10"/>
      <c r="E95" s="10"/>
      <c r="F95" s="15"/>
      <c r="G95" s="203">
        <f>INDEX(CFS!$C$3:$M$23,7,MATCH(G$8,CFS!$C$3:$M$3,0))</f>
        <v>-536</v>
      </c>
      <c r="H95" s="203">
        <f>INDEX(CFS!$C$3:$M$23,7,MATCH(H$8,CFS!$C$3:$M$3,0))</f>
        <v>125</v>
      </c>
      <c r="I95" s="203">
        <f>INDEX(CFS!$C$3:$M$23,7,MATCH(I$8,CFS!$C$3:$M$3,0))</f>
        <v>988</v>
      </c>
      <c r="J95" s="203">
        <f>INDEX(CFS!$C$3:$M$23,7,MATCH(J$8,CFS!$C$3:$M$3,0))</f>
        <v>1048</v>
      </c>
      <c r="K95" s="203">
        <f>INDEX(CFS!$C$3:$M$23,7,MATCH(K$8,CFS!$C$3:$M$3,0))</f>
        <v>610</v>
      </c>
      <c r="L95" s="204">
        <f>L36*L96</f>
        <v>490.2668984132336</v>
      </c>
      <c r="M95" s="204">
        <f>M36*M96</f>
        <v>529.86134878878534</v>
      </c>
      <c r="N95" s="204">
        <f>N36*N96</f>
        <v>574.49814370122613</v>
      </c>
      <c r="O95" s="204">
        <f>O36*O96</f>
        <v>625.55398283051272</v>
      </c>
      <c r="P95" s="204">
        <f>P36*P96</f>
        <v>685.02123105262422</v>
      </c>
      <c r="Q95" s="16"/>
      <c r="R95" s="24"/>
      <c r="S95" s="142"/>
    </row>
    <row r="96" spans="2:19" ht="14">
      <c r="B96" s="22" t="s">
        <v>16</v>
      </c>
      <c r="C96" s="10"/>
      <c r="D96" s="10"/>
      <c r="E96" s="10"/>
      <c r="F96" s="15"/>
      <c r="G96" s="39">
        <f>G95/G36</f>
        <v>-1.6357421875E-2</v>
      </c>
      <c r="H96" s="39">
        <f>H95/H36</f>
        <v>4.0366853968869078E-3</v>
      </c>
      <c r="I96" s="39">
        <f>I95/I36</f>
        <v>3.1173092698933553E-2</v>
      </c>
      <c r="J96" s="39">
        <f>J95/J36</f>
        <v>3.0339876092872444E-2</v>
      </c>
      <c r="K96" s="39">
        <f>K95/K36</f>
        <v>1.8036131397652345E-2</v>
      </c>
      <c r="L96" s="40">
        <f>$S$96</f>
        <v>1.3445672742269049E-2</v>
      </c>
      <c r="M96" s="40">
        <f t="shared" ref="M96:P96" si="165">$S$96</f>
        <v>1.3445672742269049E-2</v>
      </c>
      <c r="N96" s="40">
        <f t="shared" si="165"/>
        <v>1.3445672742269049E-2</v>
      </c>
      <c r="O96" s="40">
        <f t="shared" si="165"/>
        <v>1.3445672742269049E-2</v>
      </c>
      <c r="P96" s="40">
        <f t="shared" si="165"/>
        <v>1.3445672742269049E-2</v>
      </c>
      <c r="Q96" s="40"/>
      <c r="R96" s="24" t="s">
        <v>17</v>
      </c>
      <c r="S96" s="129">
        <f t="shared" si="164"/>
        <v>1.3445672742269049E-2</v>
      </c>
    </row>
    <row r="97" spans="2:17" ht="14">
      <c r="B97" s="93" t="s">
        <v>3</v>
      </c>
      <c r="C97" s="94"/>
      <c r="D97" s="94"/>
      <c r="E97" s="94"/>
      <c r="F97" s="95"/>
      <c r="G97" s="96"/>
      <c r="H97" s="96">
        <f t="shared" ref="H97:I97" si="166">H90+H91+H93+H95</f>
        <v>3924.3199999999997</v>
      </c>
      <c r="I97" s="96">
        <f t="shared" si="166"/>
        <v>5603.64</v>
      </c>
      <c r="J97" s="96">
        <f>J90+J91+J93+J95</f>
        <v>5247.4800000000005</v>
      </c>
      <c r="K97" s="96">
        <f t="shared" ref="K97:P97" si="167">K90+K91+K93+K95</f>
        <v>5490.5780000000004</v>
      </c>
      <c r="L97" s="96">
        <f t="shared" si="167"/>
        <v>5541.2825432460295</v>
      </c>
      <c r="M97" s="96">
        <f t="shared" si="167"/>
        <v>5988.2154290777116</v>
      </c>
      <c r="N97" s="96">
        <f t="shared" si="167"/>
        <v>6491.989478861251</v>
      </c>
      <c r="O97" s="96">
        <f t="shared" si="167"/>
        <v>7068.112801908027</v>
      </c>
      <c r="P97" s="96">
        <f t="shared" si="167"/>
        <v>7739.0277890568077</v>
      </c>
      <c r="Q97" s="100"/>
    </row>
    <row r="98" spans="2:17" ht="14">
      <c r="B98" s="97" t="s">
        <v>16</v>
      </c>
      <c r="C98" s="98"/>
      <c r="D98" s="98"/>
      <c r="E98" s="98"/>
      <c r="F98" s="99"/>
      <c r="G98" s="100"/>
      <c r="H98" s="101">
        <f t="shared" ref="H98:I98" si="168">H97/H36</f>
        <v>0.12672996189368985</v>
      </c>
      <c r="I98" s="101">
        <f t="shared" si="168"/>
        <v>0.17680444248122673</v>
      </c>
      <c r="J98" s="101">
        <f t="shared" ref="J98:P98" si="169">J97/J36</f>
        <v>0.15191592843494878</v>
      </c>
      <c r="K98" s="101">
        <f t="shared" si="169"/>
        <v>0.16234227255255612</v>
      </c>
      <c r="L98" s="101">
        <f t="shared" si="169"/>
        <v>0.15197083851689083</v>
      </c>
      <c r="M98" s="101">
        <f t="shared" si="169"/>
        <v>0.15195595065319714</v>
      </c>
      <c r="N98" s="101">
        <f t="shared" si="169"/>
        <v>0.15193985731034462</v>
      </c>
      <c r="O98" s="101">
        <f t="shared" si="169"/>
        <v>0.15192219096724471</v>
      </c>
      <c r="P98" s="101">
        <f t="shared" si="169"/>
        <v>0.15190249627020694</v>
      </c>
      <c r="Q98" s="101"/>
    </row>
    <row r="101" spans="2:17" s="10" customFormat="1" ht="13.5" customHeight="1">
      <c r="B101" s="90" t="s">
        <v>45</v>
      </c>
      <c r="C101" s="91"/>
      <c r="D101" s="91"/>
      <c r="E101" s="91"/>
      <c r="F101" s="91"/>
      <c r="G101" s="91"/>
      <c r="H101" s="91"/>
      <c r="I101" s="91"/>
      <c r="J101" s="91"/>
      <c r="K101" s="91"/>
      <c r="L101" s="91"/>
      <c r="M101" s="91"/>
      <c r="N101" s="91"/>
      <c r="O101" s="91"/>
      <c r="P101" s="92"/>
      <c r="Q101" s="98"/>
    </row>
    <row r="102" spans="2:17" s="10" customFormat="1" ht="13.5" customHeight="1">
      <c r="B102" s="14"/>
      <c r="G102" s="87"/>
      <c r="H102" s="87"/>
      <c r="I102" s="87"/>
    </row>
    <row r="103" spans="2:17" s="10" customFormat="1" ht="13.5" customHeight="1">
      <c r="B103" s="103"/>
      <c r="C103" s="103"/>
      <c r="E103" s="104" t="s">
        <v>46</v>
      </c>
      <c r="F103" s="103"/>
      <c r="G103" s="103"/>
      <c r="I103" s="104" t="s">
        <v>47</v>
      </c>
      <c r="J103" s="103"/>
      <c r="M103" s="104" t="s">
        <v>503</v>
      </c>
      <c r="N103" s="103"/>
    </row>
    <row r="104" spans="2:17" s="6" customFormat="1" ht="13.5" customHeight="1">
      <c r="B104" s="106"/>
      <c r="C104" s="106"/>
      <c r="D104" s="108" t="s">
        <v>48</v>
      </c>
      <c r="E104" s="109"/>
      <c r="F104" s="109"/>
      <c r="G104" s="48"/>
      <c r="H104" s="108" t="str">
        <f>D104</f>
        <v>Terminal EBITDA Multiple</v>
      </c>
      <c r="I104" s="109"/>
      <c r="J104" s="109"/>
      <c r="L104" s="108" t="str">
        <f>H104</f>
        <v>Terminal EBITDA Multiple</v>
      </c>
      <c r="M104" s="109"/>
      <c r="N104" s="109"/>
    </row>
    <row r="105" spans="2:17" s="6" customFormat="1" ht="13.5" customHeight="1">
      <c r="B105" s="106"/>
      <c r="C105" s="110"/>
      <c r="D105" s="115">
        <v>11</v>
      </c>
      <c r="E105" s="115">
        <v>14</v>
      </c>
      <c r="F105" s="115">
        <v>17</v>
      </c>
      <c r="G105" s="48"/>
      <c r="H105" s="116">
        <f>D105</f>
        <v>11</v>
      </c>
      <c r="I105" s="116">
        <f t="shared" ref="I105:J105" si="170">E105</f>
        <v>14</v>
      </c>
      <c r="J105" s="116">
        <f t="shared" si="170"/>
        <v>17</v>
      </c>
      <c r="L105" s="116">
        <f>D105</f>
        <v>11</v>
      </c>
      <c r="M105" s="116">
        <f t="shared" ref="M105:N105" si="171">E105</f>
        <v>14</v>
      </c>
      <c r="N105" s="116">
        <f t="shared" si="171"/>
        <v>17</v>
      </c>
    </row>
    <row r="106" spans="2:17" s="6" customFormat="1" ht="13.5" customHeight="1">
      <c r="B106" s="107" t="s">
        <v>49</v>
      </c>
      <c r="C106" s="111">
        <f>C107-0.01</f>
        <v>5.1012758790360067E-2</v>
      </c>
      <c r="D106" s="267">
        <f>NPV($C106,$L$97,$M$97,$N$97,$O$97,$P$97+$P$86*D$105)</f>
        <v>126594.90403059867</v>
      </c>
      <c r="E106" s="267">
        <f t="shared" ref="E106:F109" si="172">NPV($C106,$L$97,$M$97,$N$97,$O$97,$P$97+$P$86*E$105)</f>
        <v>153453.78910828417</v>
      </c>
      <c r="F106" s="267">
        <f t="shared" si="172"/>
        <v>180312.67418596963</v>
      </c>
      <c r="G106" s="48"/>
      <c r="H106" s="267">
        <f>D106-$F$33</f>
        <v>122909.90403059867</v>
      </c>
      <c r="I106" s="267">
        <f t="shared" ref="I106:J106" si="173">E106-$F$33</f>
        <v>149768.78910828417</v>
      </c>
      <c r="J106" s="267">
        <f t="shared" si="173"/>
        <v>176627.67418596963</v>
      </c>
      <c r="L106" s="112">
        <f>H114*WACC!$D$8/WACC!$D$9</f>
        <v>54.391332293008503</v>
      </c>
      <c r="M106" s="112">
        <f>I114*WACC!$D$8/WACC!$D$9</f>
        <v>66.277197429771022</v>
      </c>
      <c r="N106" s="112">
        <f>J114*WACC!$D$8/WACC!$D$9</f>
        <v>78.163062566533526</v>
      </c>
    </row>
    <row r="107" spans="2:17" s="6" customFormat="1" ht="13.5" customHeight="1">
      <c r="B107" s="107" t="s">
        <v>50</v>
      </c>
      <c r="C107" s="111">
        <f>WACC!K5</f>
        <v>6.1012758790360069E-2</v>
      </c>
      <c r="D107" s="267">
        <f t="shared" ref="D107:D109" si="174">NPV($C107,$L$97,$M$97,$N$97,$O$97,$P$97+$P$86*D$105)</f>
        <v>121238.19750585189</v>
      </c>
      <c r="E107" s="267">
        <f t="shared" si="172"/>
        <v>146854.99824184537</v>
      </c>
      <c r="F107" s="267">
        <f t="shared" si="172"/>
        <v>172471.79897783883</v>
      </c>
      <c r="G107" s="48"/>
      <c r="H107" s="267">
        <f t="shared" ref="H107:H108" si="175">D107-$F$33</f>
        <v>117553.19750585189</v>
      </c>
      <c r="I107" s="267">
        <f t="shared" ref="I107:I108" si="176">E107-$F$33</f>
        <v>143169.99824184537</v>
      </c>
      <c r="J107" s="267">
        <f t="shared" ref="J107:J108" si="177">F107-$F$33</f>
        <v>168786.79897783883</v>
      </c>
      <c r="L107" s="112">
        <f>H115*WACC!$D$8/WACC!$D$9</f>
        <v>52.020828411473502</v>
      </c>
      <c r="M107" s="112">
        <f>I115*WACC!$D$8/WACC!$D$9</f>
        <v>63.357033838566942</v>
      </c>
      <c r="N107" s="112">
        <f>J115*WACC!$D$8/WACC!$D$9</f>
        <v>74.693239265660381</v>
      </c>
    </row>
    <row r="108" spans="2:17" s="6" customFormat="1" ht="13.5" customHeight="1">
      <c r="B108" s="107" t="s">
        <v>51</v>
      </c>
      <c r="C108" s="111">
        <f>C107+0.01</f>
        <v>7.1012758790360064E-2</v>
      </c>
      <c r="D108" s="267">
        <f t="shared" si="174"/>
        <v>116166.71793624968</v>
      </c>
      <c r="E108" s="267">
        <f t="shared" si="172"/>
        <v>140609.72871182088</v>
      </c>
      <c r="F108" s="267">
        <f t="shared" si="172"/>
        <v>165052.7394873921</v>
      </c>
      <c r="G108" s="48"/>
      <c r="H108" s="267">
        <f t="shared" si="175"/>
        <v>112481.71793624968</v>
      </c>
      <c r="I108" s="267">
        <f t="shared" si="176"/>
        <v>136924.72871182088</v>
      </c>
      <c r="J108" s="267">
        <f t="shared" si="177"/>
        <v>161367.7394873921</v>
      </c>
      <c r="L108" s="112">
        <f>H116*WACC!$D$8/WACC!$D$9</f>
        <v>49.77654604331898</v>
      </c>
      <c r="M108" s="112">
        <f>I116*WACC!$D$8/WACC!$D$9</f>
        <v>60.593314080211279</v>
      </c>
      <c r="N108" s="112">
        <f>J116*WACC!$D$8/WACC!$D$9</f>
        <v>71.410082117103599</v>
      </c>
    </row>
    <row r="109" spans="2:17" s="6" customFormat="1" ht="13.5" customHeight="1">
      <c r="B109" s="107"/>
      <c r="C109" s="111">
        <f>C108+0.01</f>
        <v>8.1012758790360059E-2</v>
      </c>
      <c r="D109" s="267">
        <f t="shared" si="174"/>
        <v>111362.63465285704</v>
      </c>
      <c r="E109" s="267">
        <f t="shared" si="172"/>
        <v>134695.80882719599</v>
      </c>
      <c r="F109" s="267">
        <f t="shared" si="172"/>
        <v>158028.98300153489</v>
      </c>
      <c r="G109" s="48"/>
      <c r="H109" s="267">
        <f t="shared" ref="H109" si="178">D109-$F$33</f>
        <v>107677.63465285704</v>
      </c>
      <c r="I109" s="267">
        <f t="shared" ref="I109" si="179">E109-$F$33</f>
        <v>131010.80882719599</v>
      </c>
      <c r="J109" s="267">
        <f t="shared" ref="J109" si="180">F109-$F$33</f>
        <v>154343.98300153489</v>
      </c>
      <c r="L109" s="112">
        <f>H117*WACC!$D$8/WACC!$D$9</f>
        <v>47.650594580813198</v>
      </c>
      <c r="M109" s="112">
        <f>I117*WACC!$D$8/WACC!$D$9</f>
        <v>57.976226514031232</v>
      </c>
      <c r="N109" s="112">
        <f>J117*WACC!$D$8/WACC!$D$9</f>
        <v>68.301858447249259</v>
      </c>
    </row>
    <row r="110" spans="2:17" s="10" customFormat="1" ht="13.5" customHeight="1">
      <c r="B110" s="103"/>
      <c r="C110" s="103"/>
      <c r="D110" s="103"/>
      <c r="E110" s="103"/>
      <c r="F110" s="103"/>
      <c r="G110" s="103"/>
      <c r="H110" s="103"/>
      <c r="I110" s="103"/>
      <c r="J110" s="103"/>
    </row>
    <row r="111" spans="2:17" s="10" customFormat="1" ht="15">
      <c r="B111" s="103"/>
      <c r="C111" s="103"/>
      <c r="D111" s="104" t="s">
        <v>52</v>
      </c>
      <c r="E111" s="103"/>
      <c r="F111" s="103"/>
      <c r="G111" s="103"/>
      <c r="I111" s="104" t="s">
        <v>502</v>
      </c>
      <c r="J111" s="103"/>
      <c r="L111" s="104" t="s">
        <v>56</v>
      </c>
      <c r="N111" s="103"/>
    </row>
    <row r="112" spans="2:17" s="6" customFormat="1" ht="13.5" customHeight="1">
      <c r="B112" s="106"/>
      <c r="C112" s="106"/>
      <c r="D112" s="108" t="str">
        <f>D104</f>
        <v>Terminal EBITDA Multiple</v>
      </c>
      <c r="E112" s="109"/>
      <c r="F112" s="109"/>
      <c r="G112" s="48"/>
      <c r="H112" s="108" t="str">
        <f>D112</f>
        <v>Terminal EBITDA Multiple</v>
      </c>
      <c r="I112" s="109"/>
      <c r="J112" s="109"/>
      <c r="L112" s="108" t="str">
        <f>H112</f>
        <v>Terminal EBITDA Multiple</v>
      </c>
      <c r="M112" s="109"/>
      <c r="N112" s="109"/>
    </row>
    <row r="113" spans="2:17" s="6" customFormat="1" ht="13.5" customHeight="1">
      <c r="B113" s="106"/>
      <c r="C113" s="110"/>
      <c r="D113" s="116">
        <f>D105</f>
        <v>11</v>
      </c>
      <c r="E113" s="116">
        <f>E105</f>
        <v>14</v>
      </c>
      <c r="F113" s="116">
        <f>F105</f>
        <v>17</v>
      </c>
      <c r="G113" s="48"/>
      <c r="H113" s="116">
        <f>D105</f>
        <v>11</v>
      </c>
      <c r="I113" s="116">
        <f>E105</f>
        <v>14</v>
      </c>
      <c r="J113" s="116">
        <f>F105</f>
        <v>17</v>
      </c>
      <c r="L113" s="116">
        <f>D105</f>
        <v>11</v>
      </c>
      <c r="M113" s="116">
        <f>E105</f>
        <v>14</v>
      </c>
      <c r="N113" s="116">
        <f>F105</f>
        <v>17</v>
      </c>
    </row>
    <row r="114" spans="2:17" s="6" customFormat="1" ht="13.5" customHeight="1">
      <c r="B114" s="107" t="s">
        <v>49</v>
      </c>
      <c r="C114" s="111">
        <f>C106</f>
        <v>5.1012758790360067E-2</v>
      </c>
      <c r="D114" s="113">
        <f t="shared" ref="D114:F117" si="181">($P$86*D$113*$C114-$P$97)/($P$86*D$113+$P$97)</f>
        <v>-9.6702201858519243E-3</v>
      </c>
      <c r="E114" s="113">
        <f t="shared" si="181"/>
        <v>2.7359781840903962E-3</v>
      </c>
      <c r="F114" s="113">
        <f t="shared" si="181"/>
        <v>1.093050627443945E-2</v>
      </c>
      <c r="G114" s="48"/>
      <c r="H114" s="267">
        <f>H106/WACC!$D$6</f>
        <v>97.362091278991329</v>
      </c>
      <c r="I114" s="267">
        <f>I106/WACC!$D$6</f>
        <v>118.63814092861546</v>
      </c>
      <c r="J114" s="267">
        <f>J106/WACC!$D$6</f>
        <v>139.91419057823956</v>
      </c>
      <c r="L114" s="121">
        <f>H114/WACC!$D$10-1</f>
        <v>0.13079692916857599</v>
      </c>
      <c r="M114" s="121">
        <f>I114/WACC!$D$10-1</f>
        <v>0.37790431246925205</v>
      </c>
      <c r="N114" s="121">
        <f>J114/WACC!$D$10-1</f>
        <v>0.62501169576992788</v>
      </c>
    </row>
    <row r="115" spans="2:17" s="6" customFormat="1" ht="13.5" customHeight="1">
      <c r="B115" s="107" t="s">
        <v>50</v>
      </c>
      <c r="C115" s="111">
        <f>C107</f>
        <v>6.1012758790360069E-2</v>
      </c>
      <c r="D115" s="113">
        <f t="shared" si="181"/>
        <v>-2.4759642099918478E-4</v>
      </c>
      <c r="E115" s="113">
        <f t="shared" si="181"/>
        <v>1.2276642365352738E-2</v>
      </c>
      <c r="F115" s="113">
        <f t="shared" si="181"/>
        <v>2.0549138377801812E-2</v>
      </c>
      <c r="G115" s="48"/>
      <c r="H115" s="267">
        <f>H107/WACC!$D$6</f>
        <v>93.118819317056307</v>
      </c>
      <c r="I115" s="267">
        <f>I107/WACC!$D$6</f>
        <v>113.41096185190538</v>
      </c>
      <c r="J115" s="267">
        <f>J107/WACC!$D$6</f>
        <v>133.70310438675446</v>
      </c>
      <c r="L115" s="121">
        <f>H115/WACC!$D$10-1</f>
        <v>8.1514104188638248E-2</v>
      </c>
      <c r="M115" s="121">
        <f>I115/WACC!$D$10-1</f>
        <v>0.31719405069785744</v>
      </c>
      <c r="N115" s="121">
        <f>J115/WACC!$D$10-1</f>
        <v>0.55287399720707642</v>
      </c>
    </row>
    <row r="116" spans="2:17" s="6" customFormat="1" ht="13.5" customHeight="1">
      <c r="B116" s="107" t="s">
        <v>51</v>
      </c>
      <c r="C116" s="111">
        <f>C108</f>
        <v>7.1012758790360064E-2</v>
      </c>
      <c r="D116" s="113">
        <f t="shared" si="181"/>
        <v>9.1750273438535399E-3</v>
      </c>
      <c r="E116" s="113">
        <f t="shared" si="181"/>
        <v>2.1817306546615071E-2</v>
      </c>
      <c r="F116" s="113">
        <f t="shared" si="181"/>
        <v>3.0167770481164168E-2</v>
      </c>
      <c r="G116" s="48"/>
      <c r="H116" s="267">
        <f>H108/WACC!$D$6</f>
        <v>89.101487592086244</v>
      </c>
      <c r="I116" s="267">
        <f>I108/WACC!$D$6</f>
        <v>108.46382185663883</v>
      </c>
      <c r="J116" s="267">
        <f>J108/WACC!$D$6</f>
        <v>127.82615612119145</v>
      </c>
      <c r="L116" s="121">
        <f>H116/WACC!$D$10-1</f>
        <v>3.4855427096028624E-2</v>
      </c>
      <c r="M116" s="121">
        <f>I116/WACC!$D$10-1</f>
        <v>0.25973625946385193</v>
      </c>
      <c r="N116" s="121">
        <f>J116/WACC!$D$10-1</f>
        <v>0.48461709183167567</v>
      </c>
    </row>
    <row r="117" spans="2:17" s="6" customFormat="1" ht="13.5" customHeight="1">
      <c r="B117" s="107"/>
      <c r="C117" s="111">
        <f>C109</f>
        <v>8.1012758790360059E-2</v>
      </c>
      <c r="D117" s="113">
        <f t="shared" si="181"/>
        <v>1.8597651108706273E-2</v>
      </c>
      <c r="E117" s="113">
        <f t="shared" si="181"/>
        <v>3.1357970727877403E-2</v>
      </c>
      <c r="F117" s="113">
        <f t="shared" si="181"/>
        <v>3.9786402584526523E-2</v>
      </c>
      <c r="G117" s="48"/>
      <c r="H117" s="267">
        <f>H109/WACC!$D$6</f>
        <v>85.295971683188398</v>
      </c>
      <c r="I117" s="267">
        <f>I109/WACC!$D$6</f>
        <v>103.77915781621988</v>
      </c>
      <c r="J117" s="267">
        <f>J109/WACC!$D$6</f>
        <v>122.26234394925133</v>
      </c>
      <c r="L117" s="121">
        <f>H117/WACC!$D$10-1</f>
        <v>-9.3431480080415907E-3</v>
      </c>
      <c r="M117" s="121">
        <f>I117/WACC!$D$10-1</f>
        <v>0.20532695455366401</v>
      </c>
      <c r="N117" s="121">
        <f>J117/WACC!$D$10-1</f>
        <v>0.41999705711536905</v>
      </c>
    </row>
    <row r="118" spans="2:17" s="6" customFormat="1" ht="13.5" customHeight="1"/>
    <row r="119" spans="2:17" s="10" customFormat="1" ht="13.5" customHeight="1">
      <c r="B119" s="90" t="s">
        <v>53</v>
      </c>
      <c r="C119" s="91"/>
      <c r="D119" s="91"/>
      <c r="E119" s="91"/>
      <c r="F119" s="91"/>
      <c r="G119" s="91"/>
      <c r="H119" s="91"/>
      <c r="I119" s="91"/>
      <c r="J119" s="91"/>
      <c r="K119" s="91"/>
      <c r="L119" s="91"/>
      <c r="M119" s="91"/>
      <c r="N119" s="91"/>
      <c r="O119" s="91"/>
      <c r="P119" s="92"/>
      <c r="Q119" s="98"/>
    </row>
    <row r="120" spans="2:17" s="10" customFormat="1" ht="13.5" customHeight="1">
      <c r="E120" s="88"/>
    </row>
    <row r="121" spans="2:17" s="10" customFormat="1" ht="15">
      <c r="B121" s="41"/>
      <c r="C121" s="41"/>
      <c r="E121" s="102" t="s">
        <v>46</v>
      </c>
      <c r="F121" s="41"/>
      <c r="G121" s="41"/>
      <c r="I121" s="102" t="s">
        <v>47</v>
      </c>
      <c r="J121" s="41"/>
      <c r="M121" s="104" t="s">
        <v>503</v>
      </c>
      <c r="N121" s="103"/>
    </row>
    <row r="122" spans="2:17" s="6" customFormat="1" ht="15">
      <c r="B122" s="106"/>
      <c r="C122" s="106"/>
      <c r="D122" s="108" t="s">
        <v>54</v>
      </c>
      <c r="E122" s="109"/>
      <c r="F122" s="109"/>
      <c r="G122" s="46"/>
      <c r="H122" s="108" t="str">
        <f>D122</f>
        <v>Terminal Perpetuity Growth Rate</v>
      </c>
      <c r="I122" s="109"/>
      <c r="J122" s="109"/>
      <c r="L122" s="108" t="str">
        <f>H122</f>
        <v>Terminal Perpetuity Growth Rate</v>
      </c>
      <c r="M122" s="109"/>
      <c r="N122" s="109"/>
    </row>
    <row r="123" spans="2:17" s="6" customFormat="1" ht="13.5" customHeight="1">
      <c r="B123" s="106"/>
      <c r="C123" s="110"/>
      <c r="D123" s="117">
        <v>0.01</v>
      </c>
      <c r="E123" s="117">
        <v>0.02</v>
      </c>
      <c r="F123" s="117">
        <v>0.03</v>
      </c>
      <c r="G123" s="41"/>
      <c r="H123" s="114">
        <f>D123</f>
        <v>0.01</v>
      </c>
      <c r="I123" s="114">
        <f t="shared" ref="I123:J123" si="182">E123</f>
        <v>0.02</v>
      </c>
      <c r="J123" s="114">
        <f t="shared" si="182"/>
        <v>0.03</v>
      </c>
      <c r="L123" s="114">
        <f>D123</f>
        <v>0.01</v>
      </c>
      <c r="M123" s="114">
        <f t="shared" ref="M123" si="183">E123</f>
        <v>0.02</v>
      </c>
      <c r="N123" s="114">
        <f t="shared" ref="N123" si="184">F123</f>
        <v>0.03</v>
      </c>
    </row>
    <row r="124" spans="2:17" s="6" customFormat="1" ht="13.5" customHeight="1">
      <c r="B124" s="107" t="s">
        <v>49</v>
      </c>
      <c r="C124" s="111">
        <f>C106</f>
        <v>5.1012758790360067E-2</v>
      </c>
      <c r="D124" s="267">
        <f t="shared" ref="D124:F127" si="185">NPV($C124,$L$97,$M$97,$N$97,$O$97,$P$97+$P$97*(1+D$123)/($C124-D$123))</f>
        <v>176722.60634238966</v>
      </c>
      <c r="E124" s="267">
        <f t="shared" si="185"/>
        <v>226587.51963888816</v>
      </c>
      <c r="F124" s="267">
        <f t="shared" si="185"/>
        <v>323913.99073842482</v>
      </c>
      <c r="G124" s="46"/>
      <c r="H124" s="267">
        <f>D124-$F$33</f>
        <v>173037.60634238966</v>
      </c>
      <c r="I124" s="267">
        <f t="shared" ref="I124:J124" si="186">E124-$F$33</f>
        <v>222902.51963888816</v>
      </c>
      <c r="J124" s="267">
        <f t="shared" si="186"/>
        <v>320228.99073842482</v>
      </c>
      <c r="L124" s="112">
        <f>H132*WACC!$D$8/WACC!$D$9</f>
        <v>76.574349479702136</v>
      </c>
      <c r="M124" s="112">
        <f>I132*WACC!$D$8/WACC!$D$9</f>
        <v>98.6410746168131</v>
      </c>
      <c r="N124" s="112">
        <f>J132*WACC!$D$8/WACC!$D$9</f>
        <v>141.71096774082778</v>
      </c>
    </row>
    <row r="125" spans="2:17" s="6" customFormat="1" ht="15">
      <c r="B125" s="107" t="s">
        <v>50</v>
      </c>
      <c r="C125" s="111">
        <f>C107</f>
        <v>6.1012758790360069E-2</v>
      </c>
      <c r="D125" s="267">
        <f t="shared" si="185"/>
        <v>141262.97376416044</v>
      </c>
      <c r="E125" s="267">
        <f t="shared" si="185"/>
        <v>170451.09798264148</v>
      </c>
      <c r="F125" s="267">
        <f t="shared" si="185"/>
        <v>218462.52290505977</v>
      </c>
      <c r="G125" s="46"/>
      <c r="H125" s="267">
        <f t="shared" ref="H125:H126" si="187">D125-$F$33</f>
        <v>137577.97376416044</v>
      </c>
      <c r="I125" s="267">
        <f t="shared" ref="I125:I126" si="188">E125-$F$33</f>
        <v>166766.09798264148</v>
      </c>
      <c r="J125" s="267">
        <f t="shared" ref="J125:J126" si="189">F125-$F$33</f>
        <v>214777.52290505977</v>
      </c>
      <c r="L125" s="112">
        <f>H133*WACC!$D$8/WACC!$D$9</f>
        <v>60.882394679458358</v>
      </c>
      <c r="M125" s="112">
        <f>I133*WACC!$D$8/WACC!$D$9</f>
        <v>73.799018249368388</v>
      </c>
      <c r="N125" s="112">
        <f>J133*WACC!$D$8/WACC!$D$9</f>
        <v>95.045518988364719</v>
      </c>
    </row>
    <row r="126" spans="2:17" s="6" customFormat="1" ht="15">
      <c r="B126" s="107" t="s">
        <v>51</v>
      </c>
      <c r="C126" s="111">
        <f>C108</f>
        <v>7.1012758790360064E-2</v>
      </c>
      <c r="D126" s="267">
        <f t="shared" si="185"/>
        <v>117452.81329327285</v>
      </c>
      <c r="E126" s="267">
        <f t="shared" si="185"/>
        <v>136350.48735520616</v>
      </c>
      <c r="F126" s="267">
        <f t="shared" si="185"/>
        <v>164463.67123374576</v>
      </c>
      <c r="G126" s="46"/>
      <c r="H126" s="267">
        <f t="shared" si="187"/>
        <v>113767.81329327285</v>
      </c>
      <c r="I126" s="267">
        <f t="shared" si="188"/>
        <v>132665.48735520616</v>
      </c>
      <c r="J126" s="267">
        <f t="shared" si="189"/>
        <v>160778.67123374576</v>
      </c>
      <c r="L126" s="112">
        <f>H134*WACC!$D$8/WACC!$D$9</f>
        <v>50.345681952065014</v>
      </c>
      <c r="M126" s="112">
        <f>I134*WACC!$D$8/WACC!$D$9</f>
        <v>58.708471570806338</v>
      </c>
      <c r="N126" s="112">
        <f>J134*WACC!$D$8/WACC!$D$9</f>
        <v>71.149401683089394</v>
      </c>
    </row>
    <row r="127" spans="2:17" s="6" customFormat="1" ht="15">
      <c r="B127" s="107"/>
      <c r="C127" s="111">
        <f>C109</f>
        <v>8.1012758790360059E-2</v>
      </c>
      <c r="D127" s="267">
        <f t="shared" si="185"/>
        <v>100369.61927838052</v>
      </c>
      <c r="E127" s="267">
        <f t="shared" si="185"/>
        <v>113449.56913794272</v>
      </c>
      <c r="F127" s="267">
        <f t="shared" si="185"/>
        <v>131657.6281881154</v>
      </c>
      <c r="G127" s="46"/>
      <c r="H127" s="267">
        <f t="shared" ref="H127" si="190">D127-$F$33</f>
        <v>96684.619278380516</v>
      </c>
      <c r="I127" s="267">
        <f t="shared" ref="I127" si="191">E127-$F$33</f>
        <v>109764.56913794272</v>
      </c>
      <c r="J127" s="267">
        <f t="shared" ref="J127" si="192">F127-$F$33</f>
        <v>127972.6281881154</v>
      </c>
      <c r="L127" s="112">
        <f>H135*WACC!$D$8/WACC!$D$9</f>
        <v>42.785854372518429</v>
      </c>
      <c r="M127" s="112">
        <f>I135*WACC!$D$8/WACC!$D$9</f>
        <v>48.574125910101152</v>
      </c>
      <c r="N127" s="112">
        <f>J135*WACC!$D$8/WACC!$D$9</f>
        <v>56.631740127765099</v>
      </c>
    </row>
    <row r="128" spans="2:17" s="6" customFormat="1" ht="15">
      <c r="B128" s="46"/>
      <c r="C128" s="46"/>
      <c r="D128" s="46"/>
      <c r="E128" s="46"/>
      <c r="F128" s="46"/>
      <c r="G128" s="46"/>
      <c r="H128" s="46"/>
      <c r="I128" s="46"/>
      <c r="J128" s="46"/>
    </row>
    <row r="129" spans="2:17" s="10" customFormat="1" ht="15">
      <c r="B129" s="41"/>
      <c r="C129" s="41"/>
      <c r="D129" s="102" t="s">
        <v>55</v>
      </c>
      <c r="E129" s="41"/>
      <c r="F129" s="41"/>
      <c r="G129" s="41"/>
      <c r="I129" s="104" t="s">
        <v>502</v>
      </c>
      <c r="J129" s="41"/>
      <c r="L129" s="104" t="s">
        <v>56</v>
      </c>
      <c r="N129" s="103"/>
    </row>
    <row r="130" spans="2:17" s="6" customFormat="1" ht="15">
      <c r="B130" s="106"/>
      <c r="C130" s="106"/>
      <c r="D130" s="108" t="str">
        <f>D122</f>
        <v>Terminal Perpetuity Growth Rate</v>
      </c>
      <c r="E130" s="109"/>
      <c r="F130" s="109"/>
      <c r="G130" s="46"/>
      <c r="H130" s="108" t="str">
        <f>D130</f>
        <v>Terminal Perpetuity Growth Rate</v>
      </c>
      <c r="I130" s="109"/>
      <c r="J130" s="109"/>
      <c r="L130" s="108" t="str">
        <f>H130</f>
        <v>Terminal Perpetuity Growth Rate</v>
      </c>
      <c r="M130" s="109"/>
      <c r="N130" s="109"/>
    </row>
    <row r="131" spans="2:17" s="6" customFormat="1" ht="13.5" customHeight="1">
      <c r="B131" s="106"/>
      <c r="C131" s="110"/>
      <c r="D131" s="114">
        <f>D123</f>
        <v>0.01</v>
      </c>
      <c r="E131" s="114">
        <f t="shared" ref="E131:F131" si="193">E123</f>
        <v>0.02</v>
      </c>
      <c r="F131" s="114">
        <f t="shared" si="193"/>
        <v>0.03</v>
      </c>
      <c r="G131" s="105"/>
      <c r="H131" s="114">
        <f>D123</f>
        <v>0.01</v>
      </c>
      <c r="I131" s="114">
        <f t="shared" ref="I131:J131" si="194">E123</f>
        <v>0.02</v>
      </c>
      <c r="J131" s="114">
        <f t="shared" si="194"/>
        <v>0.03</v>
      </c>
      <c r="L131" s="114">
        <f>H123</f>
        <v>0.01</v>
      </c>
      <c r="M131" s="114">
        <f t="shared" ref="M131" si="195">I123</f>
        <v>0.02</v>
      </c>
      <c r="N131" s="114">
        <f t="shared" ref="N131" si="196">J123</f>
        <v>0.03</v>
      </c>
    </row>
    <row r="132" spans="2:17" s="6" customFormat="1" ht="13.5" customHeight="1">
      <c r="B132" s="107" t="s">
        <v>49</v>
      </c>
      <c r="C132" s="111">
        <f>C106</f>
        <v>5.1012758790360067E-2</v>
      </c>
      <c r="D132" s="118">
        <f t="shared" ref="D132:F135" si="197">($P$97*(1+D$131))/($P$86*($C132-D$131))</f>
        <v>16.599007795759626</v>
      </c>
      <c r="E132" s="118">
        <f t="shared" si="197"/>
        <v>22.16866340345943</v>
      </c>
      <c r="F132" s="118">
        <f t="shared" si="197"/>
        <v>33.039532110559563</v>
      </c>
      <c r="G132" s="46"/>
      <c r="H132" s="267">
        <f>H124/WACC!$D$6</f>
        <v>137.07034722939611</v>
      </c>
      <c r="I132" s="267">
        <f>I124/WACC!$D$6</f>
        <v>176.57043697630556</v>
      </c>
      <c r="J132" s="267">
        <f>J124/WACC!$D$6</f>
        <v>253.66681775857478</v>
      </c>
      <c r="L132" s="121">
        <f>H132/WACC!$D$10-1</f>
        <v>0.59198231766532494</v>
      </c>
      <c r="M132" s="121">
        <f>I132/WACC!$D$10-1</f>
        <v>1.0507499920335364</v>
      </c>
      <c r="N132" s="121">
        <f>J132/WACC!$D$10-1</f>
        <v>1.9461739655057753</v>
      </c>
    </row>
    <row r="133" spans="2:17" s="6" customFormat="1" ht="13.5" customHeight="1">
      <c r="B133" s="107" t="s">
        <v>50</v>
      </c>
      <c r="C133" s="111">
        <f>C107</f>
        <v>6.1012758790360069E-2</v>
      </c>
      <c r="D133" s="118">
        <f t="shared" si="197"/>
        <v>13.345114419011617</v>
      </c>
      <c r="E133" s="118">
        <f t="shared" si="197"/>
        <v>16.763354407598829</v>
      </c>
      <c r="F133" s="118">
        <f t="shared" si="197"/>
        <v>22.386003240748249</v>
      </c>
      <c r="G133" s="46"/>
      <c r="H133" s="267">
        <f>H125/WACC!$D$6</f>
        <v>108.98128466742747</v>
      </c>
      <c r="I133" s="267">
        <f>I125/WACC!$D$6</f>
        <v>132.10242235633831</v>
      </c>
      <c r="J133" s="267">
        <f>J125/WACC!$D$6</f>
        <v>170.13428620489523</v>
      </c>
      <c r="L133" s="121">
        <f>H133/WACC!$D$10-1</f>
        <v>0.26574625113219041</v>
      </c>
      <c r="M133" s="121">
        <f>I133/WACC!$D$10-1</f>
        <v>0.53428312368749253</v>
      </c>
      <c r="N133" s="121">
        <f>J133/WACC!$D$10-1</f>
        <v>0.97599831576641827</v>
      </c>
    </row>
    <row r="134" spans="2:17" s="6" customFormat="1" ht="13.5" customHeight="1">
      <c r="B134" s="107" t="s">
        <v>51</v>
      </c>
      <c r="C134" s="111">
        <f>C108</f>
        <v>7.1012758790360064E-2</v>
      </c>
      <c r="D134" s="118">
        <f t="shared" si="197"/>
        <v>11.157848233447799</v>
      </c>
      <c r="E134" s="118">
        <f t="shared" si="197"/>
        <v>13.477244264744408</v>
      </c>
      <c r="F134" s="118">
        <f t="shared" si="197"/>
        <v>16.927701019438032</v>
      </c>
      <c r="G134" s="46"/>
      <c r="H134" s="267">
        <f>H126/WACC!$D$6</f>
        <v>90.12025767844807</v>
      </c>
      <c r="I134" s="267">
        <f>I126/WACC!$D$6</f>
        <v>105.08989809506191</v>
      </c>
      <c r="J134" s="267">
        <f>J126/WACC!$D$6</f>
        <v>127.35953044498237</v>
      </c>
      <c r="L134" s="121">
        <f>H134/WACC!$D$10-1</f>
        <v>4.66877744712062E-2</v>
      </c>
      <c r="M134" s="121">
        <f>I134/WACC!$D$10-1</f>
        <v>0.22055034450740818</v>
      </c>
      <c r="N134" s="121">
        <f>J134/WACC!$D$10-1</f>
        <v>0.47919754018896876</v>
      </c>
    </row>
    <row r="135" spans="2:17" s="6" customFormat="1" ht="13.5" customHeight="1">
      <c r="B135" s="107"/>
      <c r="C135" s="111">
        <f>C109</f>
        <v>8.1012758790360059E-2</v>
      </c>
      <c r="D135" s="118">
        <f t="shared" si="197"/>
        <v>9.5866026680716718</v>
      </c>
      <c r="E135" s="118">
        <f t="shared" si="197"/>
        <v>11.268321978333423</v>
      </c>
      <c r="F135" s="118">
        <f t="shared" si="197"/>
        <v>13.609374110477196</v>
      </c>
      <c r="G135" s="46"/>
      <c r="H135" s="267">
        <f>H127/WACC!$D$6</f>
        <v>76.587943027867951</v>
      </c>
      <c r="I135" s="267">
        <f>I127/WACC!$D$6</f>
        <v>86.94912003956172</v>
      </c>
      <c r="J135" s="267">
        <f>J127/WACC!$D$6</f>
        <v>101.37248747474287</v>
      </c>
      <c r="L135" s="121">
        <f>H135/WACC!$D$10-1</f>
        <v>-0.11048119807653989</v>
      </c>
      <c r="M135" s="121">
        <f>I135/WACC!$D$10-1</f>
        <v>9.8570875280905579E-3</v>
      </c>
      <c r="N135" s="121">
        <f>J135/WACC!$D$10-1</f>
        <v>0.17737505463129111</v>
      </c>
    </row>
    <row r="136" spans="2:17" s="6" customFormat="1" ht="13.5" customHeight="1" thickBot="1">
      <c r="B136" s="89"/>
      <c r="C136" s="89"/>
      <c r="D136" s="89"/>
      <c r="E136" s="89"/>
      <c r="F136" s="89"/>
      <c r="G136" s="89"/>
      <c r="H136" s="89"/>
      <c r="I136" s="89"/>
      <c r="J136" s="89"/>
      <c r="K136" s="89"/>
      <c r="L136" s="89"/>
      <c r="M136" s="89"/>
      <c r="N136" s="89"/>
      <c r="O136" s="89"/>
      <c r="P136" s="89"/>
      <c r="Q136" s="212"/>
    </row>
    <row r="137" spans="2:17" s="6" customFormat="1" ht="14"/>
    <row r="139" spans="2:17" ht="14">
      <c r="B139" s="25"/>
    </row>
    <row r="140" spans="2:17" ht="15">
      <c r="D140" s="119"/>
      <c r="E140" s="119"/>
      <c r="F140" s="119"/>
    </row>
    <row r="141" spans="2:17" ht="15">
      <c r="D141" s="119"/>
      <c r="E141" s="119"/>
      <c r="F141" s="119"/>
    </row>
    <row r="142" spans="2:17" ht="15">
      <c r="D142" s="119"/>
      <c r="E142" s="119"/>
      <c r="F142" s="119"/>
    </row>
    <row r="144" spans="2:17" ht="15">
      <c r="D144" s="120"/>
      <c r="E144" s="120"/>
      <c r="F144" s="120"/>
    </row>
    <row r="145" spans="4:6" ht="15">
      <c r="D145" s="120"/>
      <c r="E145" s="120"/>
      <c r="F145" s="120"/>
    </row>
    <row r="146" spans="4:6" ht="15">
      <c r="D146" s="120"/>
      <c r="E146" s="120"/>
      <c r="F146" s="120"/>
    </row>
  </sheetData>
  <mergeCells count="2">
    <mergeCell ref="G7:K7"/>
    <mergeCell ref="L7:P7"/>
  </mergeCells>
  <dataValidations count="1">
    <dataValidation type="list" allowBlank="1" showInputMessage="1" showErrorMessage="1" sqref="D31:D32">
      <formula1>$C$10:$C$10</formula1>
    </dataValidation>
  </dataValidations>
  <pageMargins left="0.7" right="0.7" top="0.75" bottom="0.75" header="0.3" footer="0.3"/>
  <pageSetup paperSize="9" orientation="portrait"/>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Assumptions!$C$6:$C$7</xm:f>
          </x14:formula1>
          <xm:sqref>C13:C27 D13:D29</xm:sqref>
        </x14:dataValidation>
        <x14:dataValidation type="list" allowBlank="1" showInputMessage="1" showErrorMessage="1">
          <x14:formula1>
            <xm:f>Assumptions!$C$66:$C$68</xm:f>
          </x14:formula1>
          <xm:sqref>D30</xm:sqref>
        </x14:dataValidation>
        <x14:dataValidation type="list" allowBlank="1" showInputMessage="1" showErrorMessage="1">
          <x14:formula1>
            <xm:f>Assumptions!$C$2:$C$4</xm:f>
          </x14:formula1>
          <xm:sqref>D12</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workbookViewId="0"/>
  </sheetViews>
  <sheetFormatPr baseColWidth="10" defaultRowHeight="14" x14ac:dyDescent="0"/>
  <cols>
    <col min="2" max="2" width="62.83203125" customWidth="1"/>
  </cols>
  <sheetData>
    <row r="2" spans="1:15" ht="19">
      <c r="A2">
        <v>1</v>
      </c>
      <c r="C2" s="169">
        <v>2016</v>
      </c>
      <c r="D2" s="169"/>
      <c r="E2" s="169">
        <v>2015</v>
      </c>
      <c r="F2" s="169"/>
      <c r="G2" s="169">
        <v>2014</v>
      </c>
      <c r="H2" s="169"/>
      <c r="I2" s="169">
        <v>2013</v>
      </c>
      <c r="J2" s="169"/>
      <c r="K2" s="169">
        <v>2012</v>
      </c>
      <c r="L2" s="184"/>
      <c r="M2" s="169">
        <v>2011</v>
      </c>
    </row>
    <row r="3" spans="1:15" ht="18">
      <c r="A3">
        <v>2</v>
      </c>
      <c r="B3" s="167" t="s">
        <v>334</v>
      </c>
      <c r="C3" s="171">
        <v>29244</v>
      </c>
      <c r="D3" s="171"/>
      <c r="E3" s="171">
        <v>29799</v>
      </c>
      <c r="F3" s="171"/>
      <c r="G3" s="171">
        <v>27720</v>
      </c>
      <c r="H3" s="171"/>
      <c r="I3" s="171">
        <v>27250</v>
      </c>
      <c r="J3" s="171"/>
      <c r="K3" s="171">
        <v>28871</v>
      </c>
      <c r="L3" s="171"/>
      <c r="M3" s="171">
        <v>27890</v>
      </c>
    </row>
    <row r="4" spans="1:15" ht="18">
      <c r="A4">
        <v>3</v>
      </c>
      <c r="B4" s="166" t="s">
        <v>335</v>
      </c>
      <c r="C4" s="170">
        <v>274</v>
      </c>
      <c r="D4" s="170"/>
      <c r="E4" s="170">
        <v>288</v>
      </c>
      <c r="F4" s="170"/>
      <c r="G4" s="170">
        <v>272</v>
      </c>
      <c r="H4" s="170"/>
      <c r="I4" s="170">
        <v>295</v>
      </c>
      <c r="J4" s="170"/>
      <c r="K4" s="170">
        <v>933</v>
      </c>
      <c r="L4" s="170"/>
      <c r="M4" s="170">
        <v>1622</v>
      </c>
    </row>
    <row r="5" spans="1:15" ht="18">
      <c r="A5">
        <v>4</v>
      </c>
      <c r="B5" s="166" t="s">
        <v>336</v>
      </c>
      <c r="C5" s="170">
        <v>-8349</v>
      </c>
      <c r="D5" s="170"/>
      <c r="E5" s="170">
        <v>-8788</v>
      </c>
      <c r="F5" s="170"/>
      <c r="G5" s="170">
        <v>-8282</v>
      </c>
      <c r="H5" s="170"/>
      <c r="I5" s="170">
        <v>-8518</v>
      </c>
      <c r="J5" s="170"/>
      <c r="K5" s="170">
        <v>-8745</v>
      </c>
      <c r="L5" s="170"/>
      <c r="M5" s="170">
        <v>-834</v>
      </c>
    </row>
    <row r="6" spans="1:15" ht="18">
      <c r="A6">
        <v>5</v>
      </c>
      <c r="B6" s="167" t="s">
        <v>337</v>
      </c>
      <c r="C6" s="171">
        <v>21169</v>
      </c>
      <c r="D6" s="171"/>
      <c r="E6" s="171">
        <v>21299</v>
      </c>
      <c r="F6" s="171"/>
      <c r="G6" s="171">
        <v>19710</v>
      </c>
      <c r="H6" s="171"/>
      <c r="I6" s="171">
        <v>19027</v>
      </c>
      <c r="J6" s="171"/>
      <c r="K6" s="171">
        <v>21059</v>
      </c>
      <c r="L6" s="171"/>
      <c r="M6" s="171">
        <v>21172</v>
      </c>
    </row>
    <row r="7" spans="1:15" ht="18">
      <c r="A7">
        <v>6</v>
      </c>
      <c r="B7" s="166" t="s">
        <v>338</v>
      </c>
      <c r="C7" s="170">
        <v>-4618</v>
      </c>
      <c r="D7" s="170"/>
      <c r="E7" s="170">
        <v>-453</v>
      </c>
      <c r="F7" s="170"/>
      <c r="G7" s="170">
        <v>-4174</v>
      </c>
      <c r="H7" s="170"/>
      <c r="I7" s="170">
        <v>-4087</v>
      </c>
      <c r="J7" s="170"/>
      <c r="K7" s="170">
        <v>-4203</v>
      </c>
      <c r="L7" s="170"/>
      <c r="M7" s="170">
        <v>-4082</v>
      </c>
    </row>
    <row r="8" spans="1:15" ht="18">
      <c r="A8">
        <v>7</v>
      </c>
      <c r="B8" s="166" t="s">
        <v>339</v>
      </c>
      <c r="C8" s="170">
        <v>-8743</v>
      </c>
      <c r="D8" s="170"/>
      <c r="E8" s="170">
        <v>-8656</v>
      </c>
      <c r="F8" s="170"/>
      <c r="G8" s="170">
        <v>-7692</v>
      </c>
      <c r="H8" s="170"/>
      <c r="I8" s="170">
        <v>-7362</v>
      </c>
      <c r="J8" s="170"/>
      <c r="K8" s="170">
        <v>-765</v>
      </c>
      <c r="L8" s="170"/>
      <c r="M8" s="170">
        <v>-7351</v>
      </c>
    </row>
    <row r="9" spans="1:15" ht="18">
      <c r="A9">
        <v>8</v>
      </c>
      <c r="B9" s="166" t="s">
        <v>340</v>
      </c>
      <c r="C9" s="170">
        <v>-1</v>
      </c>
      <c r="D9" s="170"/>
      <c r="E9" s="170">
        <v>-121</v>
      </c>
      <c r="F9" s="170"/>
      <c r="G9" s="170">
        <v>194</v>
      </c>
      <c r="H9" s="170"/>
      <c r="I9" s="170">
        <v>422</v>
      </c>
      <c r="J9" s="170"/>
      <c r="K9" s="170">
        <v>134</v>
      </c>
      <c r="L9" s="170"/>
      <c r="M9" s="170">
        <v>29</v>
      </c>
    </row>
    <row r="10" spans="1:15" ht="18">
      <c r="A10">
        <v>9</v>
      </c>
      <c r="B10" s="166" t="s">
        <v>341</v>
      </c>
      <c r="C10" s="170">
        <v>129</v>
      </c>
      <c r="D10" s="170"/>
      <c r="E10" s="170">
        <v>146</v>
      </c>
      <c r="F10" s="170"/>
      <c r="G10" s="170">
        <v>106</v>
      </c>
      <c r="H10" s="170"/>
      <c r="I10" s="170">
        <v>48</v>
      </c>
      <c r="J10" s="170"/>
      <c r="K10" s="170">
        <v>432</v>
      </c>
      <c r="L10" s="170"/>
      <c r="M10" s="170">
        <v>1088</v>
      </c>
    </row>
    <row r="11" spans="1:15" ht="18">
      <c r="A11">
        <v>10</v>
      </c>
      <c r="B11" s="166" t="s">
        <v>342</v>
      </c>
      <c r="C11" s="170">
        <v>-112</v>
      </c>
      <c r="D11" s="170"/>
      <c r="E11" s="170">
        <v>-125</v>
      </c>
      <c r="F11" s="170"/>
      <c r="G11" s="170">
        <v>-126</v>
      </c>
      <c r="H11" s="170"/>
      <c r="I11" s="170">
        <v>-162</v>
      </c>
      <c r="J11" s="170"/>
      <c r="K11" s="170">
        <v>-171</v>
      </c>
      <c r="L11" s="170"/>
      <c r="M11" s="170">
        <v>-246</v>
      </c>
    </row>
    <row r="12" spans="1:15" ht="18">
      <c r="A12">
        <v>11</v>
      </c>
      <c r="B12" s="167" t="s">
        <v>343</v>
      </c>
      <c r="C12" s="171">
        <v>7824</v>
      </c>
      <c r="D12" s="171"/>
      <c r="E12" s="171">
        <v>8013</v>
      </c>
      <c r="F12" s="171"/>
      <c r="G12" s="171">
        <v>8018</v>
      </c>
      <c r="H12" s="171"/>
      <c r="I12" s="171">
        <v>7886</v>
      </c>
      <c r="J12" s="171"/>
      <c r="K12" s="171">
        <v>9601</v>
      </c>
      <c r="L12" s="171"/>
      <c r="M12" s="171">
        <v>10610</v>
      </c>
    </row>
    <row r="13" spans="1:15" ht="18">
      <c r="B13" s="167"/>
      <c r="C13" s="167"/>
      <c r="O13" s="167"/>
    </row>
    <row r="14" spans="1:15" ht="18">
      <c r="B14" s="166"/>
      <c r="C14" s="166"/>
      <c r="O14" s="166"/>
    </row>
    <row r="15" spans="1:15" ht="18">
      <c r="B15" s="166"/>
      <c r="C15" s="166"/>
      <c r="O15" s="166"/>
    </row>
    <row r="16" spans="1:15" ht="18">
      <c r="B16" s="166"/>
      <c r="C16" s="166"/>
      <c r="O16" s="166"/>
    </row>
    <row r="17" spans="2:15" ht="18">
      <c r="B17" s="167"/>
      <c r="C17" s="167"/>
      <c r="O17" s="167"/>
    </row>
    <row r="18" spans="2:15" ht="18">
      <c r="B18" s="167"/>
      <c r="C18" s="167"/>
      <c r="O18" s="167"/>
    </row>
    <row r="19" spans="2:15" ht="18">
      <c r="B19" s="166"/>
      <c r="C19" s="166"/>
      <c r="O19" s="166"/>
    </row>
    <row r="20" spans="2:15" ht="18">
      <c r="B20" s="166"/>
      <c r="C20" s="166"/>
      <c r="O20" s="166"/>
    </row>
    <row r="21" spans="2:15" ht="18">
      <c r="B21" s="166"/>
      <c r="C21" s="166"/>
      <c r="O21" s="166"/>
    </row>
    <row r="22" spans="2:15" ht="18">
      <c r="B22" s="166"/>
      <c r="C22" s="166"/>
      <c r="O22" s="166"/>
    </row>
    <row r="23" spans="2:15" ht="18">
      <c r="B23" s="166"/>
      <c r="C23" s="166"/>
      <c r="O23" s="166"/>
    </row>
    <row r="24" spans="2:15" ht="18">
      <c r="B24" s="166"/>
      <c r="C24" s="166"/>
      <c r="O24" s="166"/>
    </row>
    <row r="25" spans="2:15" ht="18">
      <c r="B25" s="166"/>
      <c r="C25" s="166"/>
      <c r="O25" s="166"/>
    </row>
    <row r="26" spans="2:15" ht="18">
      <c r="B26" s="167"/>
      <c r="C26" s="167"/>
      <c r="O26" s="167"/>
    </row>
    <row r="27" spans="2:15" ht="18">
      <c r="B27" s="167"/>
      <c r="C27" s="16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8"/>
  <sheetViews>
    <sheetView workbookViewId="0"/>
  </sheetViews>
  <sheetFormatPr baseColWidth="10" defaultRowHeight="14" x14ac:dyDescent="0"/>
  <cols>
    <col min="2" max="2" width="65" customWidth="1"/>
  </cols>
  <sheetData>
    <row r="3" spans="1:15" ht="19">
      <c r="A3">
        <v>1</v>
      </c>
      <c r="C3" s="169">
        <v>2016</v>
      </c>
      <c r="D3" s="169"/>
      <c r="E3" s="169">
        <v>2015</v>
      </c>
      <c r="F3" s="169"/>
      <c r="G3" s="169">
        <v>2014</v>
      </c>
      <c r="H3" s="169"/>
      <c r="I3" s="169">
        <v>2013</v>
      </c>
      <c r="J3" s="169"/>
      <c r="K3" s="169">
        <v>2012</v>
      </c>
      <c r="L3" s="184"/>
      <c r="M3" s="169">
        <v>2011</v>
      </c>
    </row>
    <row r="4" spans="1:15" ht="18">
      <c r="A4">
        <v>2</v>
      </c>
      <c r="B4" s="167" t="s">
        <v>334</v>
      </c>
      <c r="C4" s="171">
        <v>4577</v>
      </c>
      <c r="D4" s="171"/>
      <c r="E4" s="171">
        <v>4743</v>
      </c>
      <c r="F4" s="171"/>
      <c r="G4" s="171">
        <v>3974</v>
      </c>
      <c r="H4" s="171"/>
      <c r="I4" s="171">
        <v>3716</v>
      </c>
      <c r="J4" s="171"/>
      <c r="K4" s="171">
        <v>3897</v>
      </c>
      <c r="L4" s="171"/>
      <c r="M4" s="171">
        <v>3469</v>
      </c>
    </row>
    <row r="5" spans="1:15" ht="18">
      <c r="A5">
        <v>3</v>
      </c>
      <c r="B5" s="166" t="s">
        <v>335</v>
      </c>
      <c r="C5" s="170">
        <v>613</v>
      </c>
      <c r="D5" s="170"/>
      <c r="E5" s="170">
        <v>31</v>
      </c>
      <c r="F5" s="170"/>
      <c r="G5" s="170">
        <v>33</v>
      </c>
      <c r="H5" s="170"/>
      <c r="I5" s="170">
        <v>30</v>
      </c>
      <c r="J5" s="170"/>
      <c r="K5" s="170">
        <v>44</v>
      </c>
      <c r="L5" s="170"/>
      <c r="M5" s="170">
        <v>25</v>
      </c>
    </row>
    <row r="6" spans="1:15" ht="18">
      <c r="A6">
        <v>4</v>
      </c>
      <c r="B6" s="166" t="s">
        <v>336</v>
      </c>
      <c r="C6" s="170">
        <v>-2353</v>
      </c>
      <c r="D6" s="170"/>
      <c r="E6" s="170">
        <v>-2131</v>
      </c>
      <c r="F6" s="170"/>
      <c r="G6" s="170">
        <v>-1948</v>
      </c>
      <c r="H6" s="170"/>
      <c r="I6" s="170">
        <v>-1776</v>
      </c>
      <c r="J6" s="170"/>
      <c r="K6" s="170">
        <v>-1629</v>
      </c>
      <c r="L6" s="170"/>
      <c r="M6" s="170">
        <v>-14</v>
      </c>
    </row>
    <row r="7" spans="1:15" ht="18">
      <c r="A7">
        <v>5</v>
      </c>
      <c r="B7" s="167" t="s">
        <v>337</v>
      </c>
      <c r="C7" s="171">
        <v>2837</v>
      </c>
      <c r="D7" s="171"/>
      <c r="E7" s="171">
        <v>2643</v>
      </c>
      <c r="F7" s="171"/>
      <c r="G7" s="171">
        <v>2059</v>
      </c>
      <c r="H7" s="171"/>
      <c r="I7" s="171">
        <v>1970</v>
      </c>
      <c r="J7" s="171"/>
      <c r="K7" s="171">
        <v>2312</v>
      </c>
      <c r="L7" s="171"/>
      <c r="M7" s="171">
        <v>2094</v>
      </c>
    </row>
    <row r="8" spans="1:15" ht="18">
      <c r="A8">
        <v>6</v>
      </c>
      <c r="B8" s="166" t="s">
        <v>338</v>
      </c>
      <c r="C8" s="170">
        <v>-554</v>
      </c>
      <c r="D8" s="170"/>
      <c r="E8" s="170">
        <v>-552</v>
      </c>
      <c r="F8" s="170"/>
      <c r="G8" s="170">
        <v>-493</v>
      </c>
      <c r="H8" s="170"/>
      <c r="I8" s="170">
        <v>-518</v>
      </c>
      <c r="J8" s="170"/>
      <c r="K8" s="170">
        <v>-538</v>
      </c>
      <c r="L8" s="170"/>
      <c r="M8" s="170">
        <v>-562</v>
      </c>
    </row>
    <row r="9" spans="1:15" ht="18">
      <c r="A9">
        <v>7</v>
      </c>
      <c r="B9" s="166" t="s">
        <v>339</v>
      </c>
      <c r="C9" s="170">
        <v>-743</v>
      </c>
      <c r="D9" s="170"/>
      <c r="E9" s="170">
        <v>-726</v>
      </c>
      <c r="F9" s="170"/>
      <c r="G9" s="170">
        <v>-614</v>
      </c>
      <c r="H9" s="170"/>
      <c r="I9" s="170">
        <v>-588</v>
      </c>
      <c r="J9" s="170"/>
      <c r="K9" s="170">
        <v>-609</v>
      </c>
      <c r="L9" s="170"/>
      <c r="M9" s="170">
        <v>-541</v>
      </c>
    </row>
    <row r="10" spans="1:15" ht="18">
      <c r="A10">
        <v>8</v>
      </c>
      <c r="B10" s="166" t="s">
        <v>340</v>
      </c>
      <c r="C10" s="170">
        <v>-14</v>
      </c>
      <c r="D10" s="170"/>
      <c r="E10" s="170">
        <v>27</v>
      </c>
      <c r="F10" s="170"/>
      <c r="G10" s="170">
        <v>2</v>
      </c>
      <c r="H10" s="170"/>
      <c r="I10" s="170">
        <v>3</v>
      </c>
      <c r="J10" s="170"/>
      <c r="K10" s="170">
        <v>-7</v>
      </c>
      <c r="L10" s="170"/>
      <c r="M10" s="170"/>
    </row>
    <row r="11" spans="1:15" ht="18">
      <c r="A11">
        <v>9</v>
      </c>
      <c r="B11" s="166" t="s">
        <v>341</v>
      </c>
      <c r="C11" s="170">
        <v>48</v>
      </c>
      <c r="D11" s="170"/>
      <c r="E11" s="170">
        <v>23</v>
      </c>
      <c r="F11" s="170"/>
      <c r="G11" s="170">
        <v>40</v>
      </c>
      <c r="H11" s="170"/>
      <c r="I11" s="170">
        <v>41</v>
      </c>
      <c r="J11" s="170"/>
      <c r="K11" s="170">
        <v>-1</v>
      </c>
      <c r="L11" s="170"/>
      <c r="M11" s="170">
        <v>1</v>
      </c>
    </row>
    <row r="12" spans="1:15" ht="18">
      <c r="A12">
        <v>10</v>
      </c>
      <c r="B12" s="166" t="s">
        <v>342</v>
      </c>
      <c r="C12" s="170">
        <v>-1</v>
      </c>
      <c r="D12" s="170"/>
      <c r="E12" s="170">
        <v>-1</v>
      </c>
      <c r="F12" s="170"/>
      <c r="G12" s="170"/>
      <c r="H12" s="170"/>
      <c r="I12" s="170">
        <v>1</v>
      </c>
      <c r="J12" s="170"/>
      <c r="K12" s="170"/>
      <c r="L12" s="170"/>
      <c r="M12" s="170"/>
    </row>
    <row r="13" spans="1:15" ht="18">
      <c r="A13">
        <v>11</v>
      </c>
      <c r="B13" s="167" t="s">
        <v>343</v>
      </c>
      <c r="C13" s="171">
        <v>1573</v>
      </c>
      <c r="D13" s="171"/>
      <c r="E13" s="171">
        <v>1414</v>
      </c>
      <c r="F13" s="171"/>
      <c r="G13" s="171">
        <v>994</v>
      </c>
      <c r="H13" s="171"/>
      <c r="I13" s="171">
        <v>909</v>
      </c>
      <c r="J13" s="171"/>
      <c r="K13" s="171">
        <v>1157</v>
      </c>
      <c r="L13" s="171"/>
      <c r="M13" s="171">
        <v>992</v>
      </c>
    </row>
    <row r="14" spans="1:15" ht="18">
      <c r="B14" s="167"/>
      <c r="C14" s="167"/>
      <c r="O14" s="167"/>
    </row>
    <row r="15" spans="1:15" ht="18">
      <c r="B15" s="166"/>
      <c r="C15" s="166"/>
      <c r="O15" s="166"/>
    </row>
    <row r="16" spans="1:15" ht="18">
      <c r="B16" s="166"/>
      <c r="C16" s="166"/>
      <c r="O16" s="166"/>
    </row>
    <row r="17" spans="2:15" ht="18">
      <c r="B17" s="166"/>
      <c r="C17" s="166"/>
      <c r="O17" s="166"/>
    </row>
    <row r="18" spans="2:15" ht="18">
      <c r="B18" s="167"/>
      <c r="C18" s="167"/>
      <c r="O18" s="167"/>
    </row>
    <row r="19" spans="2:15" ht="18">
      <c r="B19" s="167"/>
      <c r="C19" s="167"/>
      <c r="O19" s="167"/>
    </row>
    <row r="20" spans="2:15" ht="18">
      <c r="B20" s="166"/>
      <c r="C20" s="166"/>
      <c r="O20" s="166"/>
    </row>
    <row r="21" spans="2:15" ht="18">
      <c r="B21" s="166"/>
      <c r="C21" s="166"/>
      <c r="O21" s="166"/>
    </row>
    <row r="22" spans="2:15" ht="18">
      <c r="B22" s="166"/>
      <c r="C22" s="166"/>
      <c r="O22" s="166"/>
    </row>
    <row r="23" spans="2:15" ht="18">
      <c r="B23" s="166"/>
      <c r="C23" s="166"/>
      <c r="O23" s="166"/>
    </row>
    <row r="24" spans="2:15" ht="18">
      <c r="B24" s="166"/>
      <c r="C24" s="166"/>
      <c r="O24" s="166"/>
    </row>
    <row r="25" spans="2:15" ht="18">
      <c r="B25" s="166"/>
      <c r="C25" s="166"/>
      <c r="O25" s="166"/>
    </row>
    <row r="26" spans="2:15" ht="18">
      <c r="B26" s="166"/>
      <c r="C26" s="166"/>
      <c r="O26" s="166"/>
    </row>
    <row r="27" spans="2:15" ht="18">
      <c r="B27" s="167"/>
      <c r="C27" s="167"/>
      <c r="O27" s="167"/>
    </row>
    <row r="28" spans="2:15" ht="18">
      <c r="B28" s="167"/>
      <c r="C28" s="16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9"/>
  <sheetViews>
    <sheetView workbookViewId="0">
      <selection activeCell="B17" sqref="B17"/>
    </sheetView>
  </sheetViews>
  <sheetFormatPr baseColWidth="10" defaultRowHeight="14" x14ac:dyDescent="0"/>
  <cols>
    <col min="2" max="2" width="66.6640625" customWidth="1"/>
  </cols>
  <sheetData>
    <row r="2" spans="2:13">
      <c r="B2" t="s">
        <v>350</v>
      </c>
    </row>
    <row r="4" spans="2:13" ht="19">
      <c r="C4" s="169">
        <v>2015</v>
      </c>
      <c r="D4" s="169"/>
      <c r="E4" s="169">
        <v>2014</v>
      </c>
      <c r="F4" s="169"/>
      <c r="G4" s="169">
        <v>2013</v>
      </c>
      <c r="H4" s="169"/>
      <c r="I4" s="169">
        <v>2012</v>
      </c>
      <c r="J4" s="184"/>
      <c r="K4" s="169">
        <v>2011</v>
      </c>
    </row>
    <row r="5" spans="2:13" ht="18">
      <c r="B5" s="167" t="s">
        <v>334</v>
      </c>
      <c r="C5" s="171">
        <v>2515</v>
      </c>
      <c r="D5" s="171"/>
      <c r="E5" s="171">
        <v>2076</v>
      </c>
      <c r="F5" s="171"/>
      <c r="G5" s="171">
        <v>1985</v>
      </c>
      <c r="H5" s="171"/>
      <c r="I5" s="171">
        <v>2179</v>
      </c>
      <c r="J5" s="171"/>
      <c r="K5" s="171">
        <v>2030</v>
      </c>
    </row>
    <row r="6" spans="2:13" ht="18">
      <c r="B6" s="166" t="s">
        <v>335</v>
      </c>
      <c r="C6" s="170">
        <v>41</v>
      </c>
      <c r="D6" s="170"/>
      <c r="E6" s="170">
        <v>34</v>
      </c>
      <c r="F6" s="170"/>
      <c r="G6" s="170">
        <v>30</v>
      </c>
      <c r="H6" s="170"/>
      <c r="I6" s="170">
        <v>33</v>
      </c>
      <c r="J6" s="170"/>
      <c r="K6" s="170">
        <v>22</v>
      </c>
    </row>
    <row r="7" spans="2:13" ht="18">
      <c r="B7" s="166" t="s">
        <v>336</v>
      </c>
      <c r="C7" s="170">
        <v>-885</v>
      </c>
      <c r="D7" s="170"/>
      <c r="E7" s="170">
        <v>-799</v>
      </c>
      <c r="F7" s="170"/>
      <c r="G7" s="170">
        <v>-689</v>
      </c>
      <c r="H7" s="170"/>
      <c r="I7" s="170">
        <v>-701</v>
      </c>
      <c r="J7" s="170"/>
      <c r="K7" s="170">
        <v>-649</v>
      </c>
    </row>
    <row r="8" spans="2:13" ht="18">
      <c r="B8" s="167" t="s">
        <v>337</v>
      </c>
      <c r="C8" s="171">
        <v>1671</v>
      </c>
      <c r="D8" s="171"/>
      <c r="E8" s="171">
        <v>1311</v>
      </c>
      <c r="F8" s="171"/>
      <c r="G8" s="171">
        <v>1326</v>
      </c>
      <c r="H8" s="171"/>
      <c r="I8" s="171">
        <v>1511</v>
      </c>
      <c r="J8" s="171"/>
      <c r="K8" s="171">
        <v>1403</v>
      </c>
    </row>
    <row r="9" spans="2:13" ht="18">
      <c r="B9" s="166" t="s">
        <v>338</v>
      </c>
      <c r="C9" s="170">
        <v>-177</v>
      </c>
      <c r="D9" s="170"/>
      <c r="E9" s="170">
        <v>-157</v>
      </c>
      <c r="F9" s="170"/>
      <c r="G9" s="170">
        <v>-165</v>
      </c>
      <c r="H9" s="170"/>
      <c r="I9" s="170">
        <v>-164</v>
      </c>
      <c r="J9" s="170"/>
      <c r="K9" s="170">
        <v>-144</v>
      </c>
    </row>
    <row r="10" spans="2:13" ht="18">
      <c r="B10" s="166" t="s">
        <v>339</v>
      </c>
      <c r="C10" s="170">
        <v>-865</v>
      </c>
      <c r="D10" s="170"/>
      <c r="E10" s="170">
        <v>-682</v>
      </c>
      <c r="F10" s="170"/>
      <c r="G10" s="170">
        <v>-653</v>
      </c>
      <c r="H10" s="170"/>
      <c r="I10" s="170">
        <v>-669</v>
      </c>
      <c r="J10" s="170"/>
      <c r="K10" s="170">
        <v>-615</v>
      </c>
    </row>
    <row r="11" spans="2:13" ht="18">
      <c r="B11" s="166" t="s">
        <v>340</v>
      </c>
      <c r="C11" s="170">
        <v>5</v>
      </c>
      <c r="D11" s="170"/>
      <c r="E11" s="170">
        <v>20</v>
      </c>
      <c r="F11" s="170"/>
      <c r="G11" s="170">
        <v>-1</v>
      </c>
      <c r="H11" s="170"/>
      <c r="I11" s="170">
        <v>3</v>
      </c>
      <c r="J11" s="170"/>
      <c r="K11" s="170">
        <v>-7</v>
      </c>
    </row>
    <row r="12" spans="2:13" ht="18">
      <c r="B12" s="166" t="s">
        <v>341</v>
      </c>
      <c r="C12" s="170">
        <v>1</v>
      </c>
      <c r="D12" s="170"/>
      <c r="E12" s="170">
        <v>1</v>
      </c>
      <c r="F12" s="170"/>
      <c r="G12" s="170">
        <v>-4</v>
      </c>
      <c r="H12" s="170"/>
      <c r="I12" s="170">
        <v>-7</v>
      </c>
      <c r="J12" s="170"/>
      <c r="K12" s="170"/>
    </row>
    <row r="13" spans="2:13" ht="18">
      <c r="B13" s="166" t="s">
        <v>342</v>
      </c>
      <c r="C13" s="170">
        <v>0</v>
      </c>
      <c r="D13" s="170"/>
      <c r="E13" s="170">
        <v>-1</v>
      </c>
      <c r="F13" s="170"/>
      <c r="G13" s="170">
        <v>-1</v>
      </c>
      <c r="H13" s="170"/>
      <c r="I13" s="170">
        <v>-1</v>
      </c>
      <c r="J13" s="170"/>
      <c r="K13" s="170">
        <v>-1</v>
      </c>
    </row>
    <row r="14" spans="2:13" ht="18">
      <c r="B14" s="167" t="s">
        <v>343</v>
      </c>
      <c r="C14" s="171">
        <v>635</v>
      </c>
      <c r="D14" s="171"/>
      <c r="E14" s="171">
        <v>492</v>
      </c>
      <c r="F14" s="171"/>
      <c r="G14" s="171">
        <v>502</v>
      </c>
      <c r="H14" s="171"/>
      <c r="I14" s="171">
        <v>673</v>
      </c>
      <c r="J14" s="171"/>
      <c r="K14" s="171">
        <v>636</v>
      </c>
    </row>
    <row r="15" spans="2:13" ht="18">
      <c r="B15" s="167"/>
      <c r="C15" s="167"/>
      <c r="M15" s="167"/>
    </row>
    <row r="16" spans="2:13" ht="18">
      <c r="B16" s="166"/>
      <c r="C16" s="166"/>
      <c r="M16" s="166"/>
    </row>
    <row r="17" spans="2:13" ht="18">
      <c r="B17" s="166"/>
      <c r="C17" s="166"/>
      <c r="M17" s="166"/>
    </row>
    <row r="18" spans="2:13" ht="18">
      <c r="B18" s="166"/>
      <c r="C18" s="166"/>
      <c r="M18" s="166"/>
    </row>
    <row r="19" spans="2:13" ht="18">
      <c r="B19" s="167"/>
      <c r="C19" s="167"/>
      <c r="M19" s="167"/>
    </row>
    <row r="20" spans="2:13" ht="18">
      <c r="B20" s="167"/>
      <c r="C20" s="167"/>
      <c r="M20" s="167"/>
    </row>
    <row r="21" spans="2:13" ht="18">
      <c r="B21" s="166"/>
      <c r="C21" s="166"/>
      <c r="M21" s="166"/>
    </row>
    <row r="22" spans="2:13" ht="18">
      <c r="B22" s="166"/>
      <c r="C22" s="166"/>
      <c r="M22" s="166"/>
    </row>
    <row r="23" spans="2:13" ht="18">
      <c r="B23" s="166"/>
      <c r="C23" s="166"/>
      <c r="M23" s="166"/>
    </row>
    <row r="24" spans="2:13" ht="18">
      <c r="B24" s="166"/>
      <c r="C24" s="166"/>
      <c r="M24" s="166"/>
    </row>
    <row r="25" spans="2:13" ht="18">
      <c r="B25" s="166"/>
      <c r="C25" s="166"/>
      <c r="M25" s="166"/>
    </row>
    <row r="26" spans="2:13" ht="18">
      <c r="B26" s="166"/>
      <c r="C26" s="166"/>
      <c r="M26" s="166"/>
    </row>
    <row r="27" spans="2:13" ht="18">
      <c r="B27" s="166"/>
      <c r="C27" s="166"/>
      <c r="M27" s="166"/>
    </row>
    <row r="28" spans="2:13" ht="18">
      <c r="B28" s="167"/>
      <c r="C28" s="167"/>
      <c r="M28" s="167"/>
    </row>
    <row r="29" spans="2:13" ht="18">
      <c r="B29" s="167"/>
      <c r="C29" s="16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3"/>
  <sheetViews>
    <sheetView workbookViewId="0"/>
  </sheetViews>
  <sheetFormatPr baseColWidth="10" defaultRowHeight="14" x14ac:dyDescent="0"/>
  <cols>
    <col min="1" max="1" width="5.6640625" customWidth="1"/>
    <col min="2" max="2" width="81.5" customWidth="1"/>
  </cols>
  <sheetData>
    <row r="3" spans="1:13" ht="19">
      <c r="A3">
        <v>1</v>
      </c>
      <c r="C3" s="169">
        <v>2016</v>
      </c>
      <c r="D3" s="169"/>
      <c r="E3" s="169">
        <v>2015</v>
      </c>
      <c r="F3" s="169"/>
      <c r="G3" s="169">
        <v>2014</v>
      </c>
      <c r="H3" s="169"/>
      <c r="I3" s="169">
        <v>2013</v>
      </c>
      <c r="J3" s="169"/>
      <c r="K3" s="169">
        <v>2012</v>
      </c>
      <c r="L3" s="184"/>
      <c r="M3" s="169">
        <v>2011</v>
      </c>
    </row>
    <row r="4" spans="1:13" ht="18">
      <c r="A4">
        <v>2</v>
      </c>
      <c r="B4" s="167" t="s">
        <v>349</v>
      </c>
      <c r="C4" s="171">
        <v>7308</v>
      </c>
      <c r="D4" s="171"/>
      <c r="E4" s="171">
        <v>7371</v>
      </c>
      <c r="F4" s="171"/>
      <c r="G4" s="171">
        <v>6847</v>
      </c>
      <c r="H4" s="171"/>
      <c r="I4" s="171">
        <v>6686</v>
      </c>
      <c r="J4" s="171"/>
      <c r="K4" s="171">
        <v>8101</v>
      </c>
      <c r="L4" s="171"/>
      <c r="M4" s="171">
        <v>8795</v>
      </c>
    </row>
    <row r="5" spans="1:13" ht="18">
      <c r="A5">
        <v>3</v>
      </c>
      <c r="B5" s="166" t="s">
        <v>351</v>
      </c>
      <c r="C5" s="170">
        <v>1355</v>
      </c>
      <c r="D5" s="170"/>
      <c r="E5" s="170">
        <v>1333</v>
      </c>
      <c r="F5" s="170"/>
      <c r="G5" s="170">
        <v>1230</v>
      </c>
      <c r="H5" s="170"/>
      <c r="I5" s="170">
        <v>1211</v>
      </c>
      <c r="J5" s="170"/>
      <c r="K5" s="170">
        <v>1278</v>
      </c>
      <c r="L5" s="170"/>
      <c r="M5" s="170">
        <v>1156</v>
      </c>
    </row>
    <row r="6" spans="1:13" ht="18">
      <c r="A6">
        <v>4</v>
      </c>
      <c r="B6" s="166" t="s">
        <v>352</v>
      </c>
      <c r="C6" s="170">
        <v>-33</v>
      </c>
      <c r="D6" s="170"/>
      <c r="E6" s="170">
        <v>-137</v>
      </c>
      <c r="F6" s="170"/>
      <c r="G6" s="170">
        <v>-205</v>
      </c>
      <c r="H6" s="170"/>
      <c r="I6" s="170">
        <v>-261</v>
      </c>
      <c r="J6" s="170"/>
      <c r="K6" s="170">
        <v>-86</v>
      </c>
      <c r="L6" s="170"/>
      <c r="M6" s="170">
        <v>-52</v>
      </c>
    </row>
    <row r="7" spans="1:13" ht="18">
      <c r="A7">
        <v>5</v>
      </c>
      <c r="B7" s="166" t="s">
        <v>353</v>
      </c>
      <c r="C7" s="170">
        <v>44</v>
      </c>
      <c r="D7" s="170"/>
      <c r="E7" s="170">
        <v>-19</v>
      </c>
      <c r="F7" s="170"/>
      <c r="G7" s="170">
        <v>-389</v>
      </c>
      <c r="H7" s="170"/>
      <c r="I7" s="170">
        <v>-106</v>
      </c>
      <c r="J7" s="170"/>
      <c r="K7" s="170">
        <v>20</v>
      </c>
      <c r="L7" s="170"/>
      <c r="M7" s="170">
        <v>579</v>
      </c>
    </row>
    <row r="8" spans="1:13" ht="18">
      <c r="A8">
        <v>6</v>
      </c>
      <c r="B8" s="167" t="s">
        <v>354</v>
      </c>
      <c r="C8" s="171">
        <v>8674</v>
      </c>
      <c r="D8" s="171"/>
      <c r="E8" s="171">
        <v>8548</v>
      </c>
      <c r="F8" s="171"/>
      <c r="G8" s="171">
        <v>7483</v>
      </c>
      <c r="H8" s="171"/>
      <c r="I8" s="171">
        <v>753</v>
      </c>
      <c r="J8" s="171"/>
      <c r="K8" s="171">
        <v>9313</v>
      </c>
      <c r="L8" s="171"/>
      <c r="M8" s="171">
        <v>10478</v>
      </c>
    </row>
    <row r="9" spans="1:13" ht="18">
      <c r="A9">
        <v>7</v>
      </c>
      <c r="B9" s="166" t="s">
        <v>355</v>
      </c>
      <c r="C9" s="170">
        <v>610</v>
      </c>
      <c r="D9" s="170"/>
      <c r="E9" s="170">
        <v>1048</v>
      </c>
      <c r="F9" s="170"/>
      <c r="G9" s="170">
        <v>988</v>
      </c>
      <c r="H9" s="170"/>
      <c r="I9" s="170">
        <v>125</v>
      </c>
      <c r="J9" s="170"/>
      <c r="K9" s="170">
        <v>-536</v>
      </c>
      <c r="L9" s="170"/>
      <c r="M9" s="170">
        <v>-476</v>
      </c>
    </row>
    <row r="10" spans="1:13" ht="18">
      <c r="A10">
        <v>8</v>
      </c>
      <c r="B10" s="166" t="s">
        <v>356</v>
      </c>
      <c r="C10" s="170">
        <v>-1486</v>
      </c>
      <c r="D10" s="170"/>
      <c r="E10" s="170">
        <v>-1464</v>
      </c>
      <c r="F10" s="170"/>
      <c r="G10" s="170">
        <v>-1223</v>
      </c>
      <c r="H10" s="170"/>
      <c r="I10" s="170">
        <v>-1198</v>
      </c>
      <c r="J10" s="170"/>
      <c r="K10" s="170">
        <v>-1402</v>
      </c>
      <c r="L10" s="170"/>
      <c r="M10" s="170">
        <v>-1644</v>
      </c>
    </row>
    <row r="11" spans="1:13" ht="18">
      <c r="A11">
        <v>9</v>
      </c>
      <c r="B11" s="167" t="s">
        <v>357</v>
      </c>
      <c r="C11" s="171">
        <v>7798</v>
      </c>
      <c r="D11" s="171"/>
      <c r="E11" s="171">
        <v>8132</v>
      </c>
      <c r="F11" s="171"/>
      <c r="G11" s="171">
        <v>7248</v>
      </c>
      <c r="H11" s="171"/>
      <c r="I11" s="171">
        <v>6457</v>
      </c>
      <c r="J11" s="171"/>
      <c r="K11" s="171">
        <v>7375</v>
      </c>
      <c r="L11" s="171"/>
      <c r="M11" s="171">
        <v>8358</v>
      </c>
    </row>
    <row r="12" spans="1:13" ht="18">
      <c r="A12">
        <v>10</v>
      </c>
      <c r="B12" s="166" t="s">
        <v>358</v>
      </c>
      <c r="C12" s="170">
        <v>-716</v>
      </c>
      <c r="D12" s="170"/>
      <c r="E12" s="170">
        <v>-1559</v>
      </c>
      <c r="F12" s="170"/>
      <c r="G12" s="170">
        <v>-334</v>
      </c>
      <c r="H12" s="170"/>
      <c r="I12" s="170">
        <v>-200</v>
      </c>
      <c r="J12" s="170"/>
      <c r="K12" s="170">
        <v>-210</v>
      </c>
      <c r="L12" s="170"/>
      <c r="M12" s="170">
        <v>-138</v>
      </c>
    </row>
    <row r="13" spans="1:13" ht="18">
      <c r="A13">
        <v>11</v>
      </c>
      <c r="B13" s="166" t="s">
        <v>359</v>
      </c>
      <c r="C13" s="170">
        <v>-534</v>
      </c>
      <c r="D13" s="170"/>
      <c r="E13" s="170">
        <v>-365</v>
      </c>
      <c r="F13" s="170"/>
      <c r="G13" s="170">
        <v>-2292</v>
      </c>
      <c r="H13" s="170"/>
      <c r="I13" s="170">
        <v>-319</v>
      </c>
      <c r="J13" s="170"/>
      <c r="K13" s="170">
        <v>-328</v>
      </c>
      <c r="L13" s="170"/>
      <c r="M13" s="170">
        <v>-14079</v>
      </c>
    </row>
    <row r="14" spans="1:13" ht="18">
      <c r="A14">
        <v>12</v>
      </c>
      <c r="B14" s="166" t="s">
        <v>360</v>
      </c>
      <c r="C14" s="170">
        <v>-729</v>
      </c>
      <c r="D14" s="170"/>
      <c r="E14" s="170">
        <v>-682</v>
      </c>
      <c r="F14" s="170"/>
      <c r="G14" s="170">
        <v>-774</v>
      </c>
      <c r="H14" s="170"/>
      <c r="I14" s="170">
        <v>-659</v>
      </c>
      <c r="J14" s="170"/>
      <c r="K14" s="170">
        <v>-791</v>
      </c>
      <c r="L14" s="170"/>
      <c r="M14" s="170">
        <v>-707</v>
      </c>
    </row>
    <row r="15" spans="1:13" ht="18">
      <c r="A15">
        <v>13</v>
      </c>
      <c r="B15" s="166" t="s">
        <v>361</v>
      </c>
      <c r="C15" s="170">
        <v>314</v>
      </c>
      <c r="D15" s="170"/>
      <c r="E15" s="170">
        <v>208</v>
      </c>
      <c r="F15" s="170"/>
      <c r="G15" s="170">
        <v>252</v>
      </c>
      <c r="H15" s="170"/>
      <c r="I15" s="170">
        <v>368</v>
      </c>
      <c r="J15" s="170"/>
      <c r="K15" s="170">
        <v>358</v>
      </c>
      <c r="L15" s="170"/>
      <c r="M15" s="170">
        <v>359</v>
      </c>
    </row>
    <row r="16" spans="1:13" ht="18">
      <c r="A16">
        <v>14</v>
      </c>
      <c r="B16" s="166" t="s">
        <v>362</v>
      </c>
      <c r="C16" s="170">
        <v>306</v>
      </c>
      <c r="D16" s="170"/>
      <c r="E16" s="170">
        <v>573</v>
      </c>
      <c r="F16" s="170"/>
      <c r="G16" s="170">
        <v>680</v>
      </c>
      <c r="H16" s="170"/>
      <c r="I16" s="170">
        <v>1004</v>
      </c>
      <c r="J16" s="170"/>
      <c r="K16" s="170">
        <v>645</v>
      </c>
      <c r="L16" s="170"/>
      <c r="M16" s="170">
        <v>70</v>
      </c>
    </row>
    <row r="17" spans="1:15" ht="18">
      <c r="A17">
        <v>15</v>
      </c>
      <c r="B17" s="166" t="s">
        <v>363</v>
      </c>
      <c r="C17" s="170">
        <v>-3759</v>
      </c>
      <c r="D17" s="170"/>
      <c r="E17" s="170">
        <v>-3694</v>
      </c>
      <c r="F17" s="170"/>
      <c r="G17" s="170">
        <v>-3676</v>
      </c>
      <c r="H17" s="170"/>
      <c r="I17" s="170">
        <v>-3638</v>
      </c>
      <c r="J17" s="170"/>
      <c r="K17" s="170">
        <v>-3487</v>
      </c>
      <c r="L17" s="170"/>
      <c r="M17" s="170">
        <v>-1372</v>
      </c>
    </row>
    <row r="18" spans="1:15" ht="18">
      <c r="A18">
        <v>16</v>
      </c>
      <c r="B18" s="166" t="s">
        <v>364</v>
      </c>
      <c r="C18" s="170">
        <v>-2908</v>
      </c>
      <c r="D18" s="170"/>
      <c r="E18" s="170">
        <v>-1784</v>
      </c>
      <c r="F18" s="170"/>
      <c r="G18" s="170">
        <v>-1801</v>
      </c>
      <c r="H18" s="170"/>
      <c r="I18" s="170">
        <v>-1641</v>
      </c>
      <c r="J18" s="170"/>
      <c r="K18" s="170">
        <v>-823</v>
      </c>
      <c r="L18" s="170"/>
      <c r="M18" s="170">
        <v>-1074</v>
      </c>
    </row>
    <row r="19" spans="1:15" ht="18">
      <c r="A19">
        <v>17</v>
      </c>
      <c r="B19" s="166" t="s">
        <v>365</v>
      </c>
      <c r="C19" s="170"/>
      <c r="D19" s="170"/>
      <c r="E19" s="170">
        <v>1</v>
      </c>
      <c r="F19" s="170"/>
      <c r="G19" s="170">
        <v>1</v>
      </c>
      <c r="H19" s="170"/>
      <c r="I19" s="170">
        <v>2</v>
      </c>
      <c r="J19" s="170"/>
      <c r="K19" s="170">
        <v>1</v>
      </c>
      <c r="L19" s="170"/>
      <c r="M19" s="170">
        <v>3</v>
      </c>
    </row>
    <row r="20" spans="1:15" ht="18">
      <c r="A20">
        <v>18</v>
      </c>
      <c r="B20" s="166" t="s">
        <v>366</v>
      </c>
      <c r="C20" s="170">
        <v>-31</v>
      </c>
      <c r="D20" s="170"/>
      <c r="E20" s="170"/>
      <c r="F20" s="170"/>
      <c r="G20" s="170"/>
      <c r="H20" s="170"/>
      <c r="I20" s="170"/>
      <c r="J20" s="170"/>
      <c r="K20" s="170"/>
      <c r="L20" s="170"/>
      <c r="M20" s="170"/>
    </row>
    <row r="21" spans="1:15" ht="18">
      <c r="A21">
        <v>19</v>
      </c>
      <c r="B21" s="166" t="s">
        <v>367</v>
      </c>
      <c r="C21" s="170">
        <v>-192</v>
      </c>
      <c r="D21" s="170"/>
      <c r="E21" s="170">
        <v>-99</v>
      </c>
      <c r="F21" s="170"/>
      <c r="G21" s="170">
        <v>-525</v>
      </c>
      <c r="H21" s="170"/>
      <c r="I21" s="170">
        <v>355</v>
      </c>
      <c r="J21" s="170"/>
      <c r="K21" s="170">
        <v>281</v>
      </c>
      <c r="L21" s="170"/>
      <c r="M21" s="170">
        <v>-745</v>
      </c>
    </row>
    <row r="22" spans="1:15" ht="18">
      <c r="A22">
        <v>20</v>
      </c>
      <c r="B22" s="166" t="s">
        <v>368</v>
      </c>
      <c r="C22" s="170">
        <v>-501</v>
      </c>
      <c r="D22" s="170"/>
      <c r="E22" s="170">
        <v>-814</v>
      </c>
      <c r="F22" s="170"/>
      <c r="G22" s="170">
        <v>93</v>
      </c>
      <c r="H22" s="170"/>
      <c r="I22" s="170">
        <v>-53</v>
      </c>
      <c r="J22" s="170"/>
      <c r="K22" s="170">
        <v>119</v>
      </c>
      <c r="L22" s="170"/>
      <c r="M22" s="170">
        <v>43</v>
      </c>
    </row>
    <row r="23" spans="1:15" ht="18">
      <c r="A23">
        <v>21</v>
      </c>
      <c r="B23" s="167" t="s">
        <v>369</v>
      </c>
      <c r="C23" s="171">
        <v>-952</v>
      </c>
      <c r="D23" s="171"/>
      <c r="E23" s="171">
        <v>-83</v>
      </c>
      <c r="F23" s="171"/>
      <c r="G23" s="171">
        <v>-1128</v>
      </c>
      <c r="H23" s="171"/>
      <c r="I23" s="171">
        <v>1676</v>
      </c>
      <c r="J23" s="171"/>
      <c r="K23" s="171">
        <v>314</v>
      </c>
      <c r="L23" s="171"/>
      <c r="M23" s="171">
        <v>-9282</v>
      </c>
    </row>
    <row r="24" spans="1:15" ht="18">
      <c r="B24" s="167"/>
      <c r="C24" s="167"/>
      <c r="O24" s="167"/>
    </row>
    <row r="25" spans="1:15" ht="18">
      <c r="B25" s="166"/>
      <c r="C25" s="166"/>
      <c r="O25" s="166"/>
    </row>
    <row r="26" spans="1:15" ht="18">
      <c r="B26" s="166"/>
      <c r="C26" s="166"/>
      <c r="O26" s="166"/>
    </row>
    <row r="27" spans="1:15" ht="18">
      <c r="B27" s="166"/>
      <c r="C27" s="166"/>
      <c r="O27" s="166"/>
    </row>
    <row r="28" spans="1:15" ht="18">
      <c r="B28" s="167"/>
      <c r="C28" s="167"/>
      <c r="O28" s="167"/>
    </row>
    <row r="29" spans="1:15" ht="18">
      <c r="B29" s="166"/>
      <c r="C29" s="166"/>
      <c r="O29" s="166"/>
    </row>
    <row r="30" spans="1:15" ht="18">
      <c r="B30" s="166"/>
      <c r="C30" s="166"/>
      <c r="O30" s="166"/>
    </row>
    <row r="31" spans="1:15" ht="18">
      <c r="B31" s="167"/>
      <c r="C31" s="167"/>
      <c r="O31" s="167"/>
    </row>
    <row r="32" spans="1:15" ht="18">
      <c r="B32" s="166"/>
      <c r="C32" s="166"/>
      <c r="O32" s="166"/>
    </row>
    <row r="33" spans="2:15" ht="18">
      <c r="B33" s="166"/>
      <c r="C33" s="166"/>
      <c r="O33" s="166"/>
    </row>
    <row r="34" spans="2:15" ht="18">
      <c r="B34" s="166"/>
      <c r="C34" s="166"/>
      <c r="O34" s="166"/>
    </row>
    <row r="35" spans="2:15" ht="18">
      <c r="B35" s="166"/>
      <c r="C35" s="166"/>
      <c r="O35" s="166"/>
    </row>
    <row r="36" spans="2:15" ht="18">
      <c r="B36" s="166"/>
      <c r="C36" s="166"/>
      <c r="O36" s="166"/>
    </row>
    <row r="37" spans="2:15" ht="18">
      <c r="B37" s="166"/>
      <c r="C37" s="166"/>
      <c r="O37" s="166"/>
    </row>
    <row r="38" spans="2:15" ht="18">
      <c r="B38" s="166"/>
      <c r="C38" s="166"/>
      <c r="O38" s="166"/>
    </row>
    <row r="39" spans="2:15" ht="18">
      <c r="B39" s="166"/>
      <c r="C39" s="166"/>
      <c r="O39" s="166"/>
    </row>
    <row r="40" spans="2:15" ht="18">
      <c r="B40" s="166"/>
      <c r="C40" s="166"/>
      <c r="O40" s="166"/>
    </row>
    <row r="41" spans="2:15" ht="18">
      <c r="B41" s="166"/>
      <c r="C41" s="166"/>
      <c r="O41" s="166"/>
    </row>
    <row r="42" spans="2:15" ht="18">
      <c r="B42" s="166"/>
      <c r="C42" s="166"/>
      <c r="O42" s="166"/>
    </row>
    <row r="43" spans="2:15" ht="18">
      <c r="B43" s="167"/>
      <c r="C43" s="16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opLeftCell="A11" zoomScale="125" zoomScaleNormal="125" zoomScalePageLayoutView="125" workbookViewId="0">
      <selection activeCell="A42" sqref="A42"/>
    </sheetView>
  </sheetViews>
  <sheetFormatPr baseColWidth="10" defaultColWidth="11.5" defaultRowHeight="15" x14ac:dyDescent="0"/>
  <cols>
    <col min="1" max="1" width="52.5" style="146" customWidth="1"/>
    <col min="2" max="2" width="26" style="146" customWidth="1"/>
    <col min="3" max="3" width="14.33203125" style="146" customWidth="1"/>
    <col min="4" max="4" width="12.33203125" style="146" customWidth="1"/>
    <col min="5" max="5" width="13.1640625" style="146" customWidth="1"/>
    <col min="6" max="6" width="11.5" style="146" customWidth="1"/>
    <col min="7" max="7" width="24.5" style="146" customWidth="1"/>
    <col min="8" max="8" width="9.1640625" style="146" customWidth="1"/>
    <col min="9" max="11" width="11.5" style="132"/>
  </cols>
  <sheetData>
    <row r="1" spans="1:8" ht="50" customHeight="1">
      <c r="A1" s="152" t="s">
        <v>22</v>
      </c>
      <c r="B1" s="153" t="s">
        <v>65</v>
      </c>
      <c r="C1" s="156" t="s">
        <v>94</v>
      </c>
      <c r="D1" s="156" t="s">
        <v>92</v>
      </c>
      <c r="E1" s="156" t="s">
        <v>90</v>
      </c>
      <c r="F1" s="156" t="s">
        <v>91</v>
      </c>
      <c r="G1" s="154" t="s">
        <v>66</v>
      </c>
    </row>
    <row r="2" spans="1:8">
      <c r="A2" s="155" t="s">
        <v>110</v>
      </c>
      <c r="B2" s="147">
        <v>5.05</v>
      </c>
      <c r="C2" s="147">
        <v>3.4</v>
      </c>
      <c r="D2" s="147">
        <v>9.94</v>
      </c>
      <c r="E2" s="147">
        <v>1.35</v>
      </c>
      <c r="F2" s="148">
        <v>0.72160000000000002</v>
      </c>
      <c r="G2" s="148">
        <v>0.60670000000000002</v>
      </c>
      <c r="H2" s="146" t="s">
        <v>68</v>
      </c>
    </row>
    <row r="3" spans="1:8">
      <c r="A3" s="157" t="s">
        <v>127</v>
      </c>
      <c r="B3" s="158">
        <v>8.39</v>
      </c>
      <c r="C3" s="158">
        <v>3.59</v>
      </c>
      <c r="D3" s="158">
        <v>-6.94</v>
      </c>
      <c r="E3" s="158">
        <v>7.42</v>
      </c>
      <c r="F3" s="159">
        <v>-0.53159999999999996</v>
      </c>
      <c r="G3" s="159">
        <v>0.1198</v>
      </c>
      <c r="H3" s="146" t="s">
        <v>68</v>
      </c>
    </row>
    <row r="4" spans="1:8">
      <c r="A4" s="157" t="s">
        <v>112</v>
      </c>
      <c r="B4" s="158">
        <v>9.51</v>
      </c>
      <c r="C4" s="158">
        <v>4.88</v>
      </c>
      <c r="D4" s="158">
        <v>10.24</v>
      </c>
      <c r="E4" s="158">
        <v>2.97</v>
      </c>
      <c r="F4" s="159">
        <v>0.26650000000000001</v>
      </c>
      <c r="G4" s="159">
        <v>0.4199</v>
      </c>
      <c r="H4" s="146" t="s">
        <v>68</v>
      </c>
    </row>
    <row r="5" spans="1:8">
      <c r="A5" s="157" t="s">
        <v>120</v>
      </c>
      <c r="B5" s="158">
        <v>9.9600000000000009</v>
      </c>
      <c r="C5" s="158">
        <v>2.74</v>
      </c>
      <c r="D5" s="158">
        <v>0.27</v>
      </c>
      <c r="E5" s="158">
        <v>5.81</v>
      </c>
      <c r="F5" s="159">
        <v>1.03E-2</v>
      </c>
      <c r="G5" s="159">
        <v>0.21240000000000001</v>
      </c>
      <c r="H5" s="146" t="s">
        <v>68</v>
      </c>
    </row>
    <row r="6" spans="1:8">
      <c r="A6" s="157" t="s">
        <v>104</v>
      </c>
      <c r="B6" s="158">
        <v>10.18</v>
      </c>
      <c r="C6" s="158">
        <v>2.36</v>
      </c>
      <c r="D6" s="158">
        <v>5.44</v>
      </c>
      <c r="E6" s="158">
        <v>2.0099999999999998</v>
      </c>
      <c r="F6" s="159">
        <v>0.1668</v>
      </c>
      <c r="G6" s="159">
        <v>0.1734</v>
      </c>
      <c r="H6" s="146" t="s">
        <v>68</v>
      </c>
    </row>
    <row r="7" spans="1:8">
      <c r="A7" s="157" t="s">
        <v>121</v>
      </c>
      <c r="B7" s="158">
        <v>10.72</v>
      </c>
      <c r="C7" s="158">
        <v>5.22</v>
      </c>
      <c r="D7" s="158">
        <v>16.920000000000002</v>
      </c>
      <c r="E7" s="158">
        <v>1.27</v>
      </c>
      <c r="F7" s="159">
        <v>0.34420000000000001</v>
      </c>
      <c r="G7" s="159">
        <v>0.43809999999999999</v>
      </c>
      <c r="H7" s="146" t="s">
        <v>68</v>
      </c>
    </row>
    <row r="8" spans="1:8">
      <c r="A8" s="157" t="s">
        <v>98</v>
      </c>
      <c r="B8" s="158">
        <v>10.79</v>
      </c>
      <c r="C8" s="158">
        <v>4.1100000000000003</v>
      </c>
      <c r="D8" s="158">
        <v>1.17</v>
      </c>
      <c r="E8" s="160">
        <v>2.1</v>
      </c>
      <c r="F8" s="159">
        <v>0.1159</v>
      </c>
      <c r="G8" s="159">
        <v>0.2702</v>
      </c>
      <c r="H8" s="146" t="s">
        <v>68</v>
      </c>
    </row>
    <row r="9" spans="1:8">
      <c r="A9" s="157" t="s">
        <v>103</v>
      </c>
      <c r="B9" s="158">
        <v>11.05</v>
      </c>
      <c r="C9" s="158">
        <v>3.25</v>
      </c>
      <c r="D9" s="158">
        <v>0.19</v>
      </c>
      <c r="E9" s="158">
        <v>2.2000000000000002</v>
      </c>
      <c r="F9" s="159">
        <v>0.29239999999999999</v>
      </c>
      <c r="G9" s="159">
        <v>0.24299999999999999</v>
      </c>
      <c r="H9" s="146" t="s">
        <v>68</v>
      </c>
    </row>
    <row r="10" spans="1:8">
      <c r="A10" s="157" t="s">
        <v>122</v>
      </c>
      <c r="B10" s="158">
        <v>11.52</v>
      </c>
      <c r="C10" s="158">
        <v>2.93</v>
      </c>
      <c r="D10" s="158">
        <v>2.88</v>
      </c>
      <c r="E10" s="158">
        <v>1.5</v>
      </c>
      <c r="F10" s="159">
        <v>9.9099999999999994E-2</v>
      </c>
      <c r="G10" s="159">
        <v>0.1991</v>
      </c>
      <c r="H10" s="146" t="s">
        <v>68</v>
      </c>
    </row>
    <row r="11" spans="1:8">
      <c r="A11" s="157" t="s">
        <v>97</v>
      </c>
      <c r="B11" s="158">
        <v>11.61</v>
      </c>
      <c r="C11" s="158">
        <v>4.66</v>
      </c>
      <c r="D11" s="158">
        <v>1.41</v>
      </c>
      <c r="E11" s="158">
        <v>1.56</v>
      </c>
      <c r="F11" s="159">
        <v>9.2499999999999999E-2</v>
      </c>
      <c r="G11" s="159">
        <v>0.2656</v>
      </c>
      <c r="H11" s="146" t="s">
        <v>68</v>
      </c>
    </row>
    <row r="12" spans="1:8">
      <c r="A12" s="157" t="s">
        <v>118</v>
      </c>
      <c r="B12" s="158">
        <v>12.09</v>
      </c>
      <c r="C12" s="158">
        <v>1.73</v>
      </c>
      <c r="D12" s="158">
        <v>79.44</v>
      </c>
      <c r="E12" s="158">
        <v>2.06</v>
      </c>
      <c r="F12" s="159">
        <v>4.4400000000000002E-2</v>
      </c>
      <c r="G12" s="159">
        <v>9.3100000000000002E-2</v>
      </c>
      <c r="H12" s="146" t="s">
        <v>68</v>
      </c>
    </row>
    <row r="13" spans="1:8">
      <c r="A13" s="157" t="s">
        <v>106</v>
      </c>
      <c r="B13" s="158">
        <v>12.34</v>
      </c>
      <c r="C13" s="158">
        <v>5.17</v>
      </c>
      <c r="D13" s="158">
        <v>3.63</v>
      </c>
      <c r="E13" s="158">
        <v>3.35</v>
      </c>
      <c r="F13" s="159">
        <v>1.3805000000000001</v>
      </c>
      <c r="G13" s="159">
        <v>0.3821</v>
      </c>
      <c r="H13" s="146" t="s">
        <v>68</v>
      </c>
    </row>
    <row r="14" spans="1:8">
      <c r="A14" s="157" t="s">
        <v>93</v>
      </c>
      <c r="B14" s="158">
        <v>12.77</v>
      </c>
      <c r="C14" s="158">
        <v>4.75</v>
      </c>
      <c r="D14" s="158">
        <v>11.13</v>
      </c>
      <c r="E14" s="158">
        <v>1.19</v>
      </c>
      <c r="F14" s="159">
        <v>0.42659999999999998</v>
      </c>
      <c r="G14" s="159">
        <v>0.29380000000000001</v>
      </c>
      <c r="H14" s="146" t="s">
        <v>68</v>
      </c>
    </row>
    <row r="15" spans="1:8">
      <c r="A15" s="157" t="s">
        <v>116</v>
      </c>
      <c r="B15" s="158">
        <v>12.95</v>
      </c>
      <c r="C15" s="158">
        <v>5.83</v>
      </c>
      <c r="D15" s="158">
        <v>14.96</v>
      </c>
      <c r="E15" s="158">
        <v>0</v>
      </c>
      <c r="F15" s="159">
        <v>0.82230000000000003</v>
      </c>
      <c r="G15" s="159">
        <v>0.43140000000000001</v>
      </c>
      <c r="H15" s="146" t="s">
        <v>68</v>
      </c>
    </row>
    <row r="16" spans="1:8">
      <c r="A16" s="157" t="s">
        <v>101</v>
      </c>
      <c r="B16" s="158">
        <v>13.03</v>
      </c>
      <c r="C16" s="158">
        <v>4.53</v>
      </c>
      <c r="D16" s="158">
        <v>5.93</v>
      </c>
      <c r="E16" s="158">
        <v>1.08</v>
      </c>
      <c r="F16" s="159">
        <v>0.23369999999999999</v>
      </c>
      <c r="G16" s="159">
        <v>0.29680000000000001</v>
      </c>
      <c r="H16" s="146" t="s">
        <v>68</v>
      </c>
    </row>
    <row r="17" spans="1:8">
      <c r="A17" s="157" t="s">
        <v>124</v>
      </c>
      <c r="B17" s="158">
        <v>13.53</v>
      </c>
      <c r="C17" s="158">
        <v>3.76</v>
      </c>
      <c r="D17" s="158">
        <v>3.75</v>
      </c>
      <c r="E17" s="158">
        <v>2.94</v>
      </c>
      <c r="F17" s="159">
        <v>0.1217</v>
      </c>
      <c r="G17" s="159">
        <v>0.16120000000000001</v>
      </c>
      <c r="H17" s="146" t="s">
        <v>68</v>
      </c>
    </row>
    <row r="18" spans="1:8">
      <c r="A18" s="157" t="s">
        <v>96</v>
      </c>
      <c r="B18" s="160">
        <v>14.27</v>
      </c>
      <c r="C18" s="158">
        <v>4.22</v>
      </c>
      <c r="D18" s="158">
        <v>2.76</v>
      </c>
      <c r="E18" s="158">
        <v>1.71</v>
      </c>
      <c r="F18" s="159">
        <v>8.6300000000000002E-2</v>
      </c>
      <c r="G18" s="159">
        <v>0.18609999999999999</v>
      </c>
      <c r="H18" s="146" t="s">
        <v>68</v>
      </c>
    </row>
    <row r="19" spans="1:8">
      <c r="A19" s="157" t="s">
        <v>102</v>
      </c>
      <c r="B19" s="158">
        <v>15.38</v>
      </c>
      <c r="C19" s="158">
        <v>4.47</v>
      </c>
      <c r="D19" s="158">
        <v>2.65</v>
      </c>
      <c r="E19" s="158">
        <v>1.1599999999999999</v>
      </c>
      <c r="F19" s="159">
        <v>0.2928</v>
      </c>
      <c r="G19" s="159">
        <v>0.2666</v>
      </c>
      <c r="H19" s="146" t="s">
        <v>68</v>
      </c>
    </row>
    <row r="20" spans="1:8">
      <c r="A20" s="157" t="s">
        <v>113</v>
      </c>
      <c r="B20" s="158">
        <v>15.85</v>
      </c>
      <c r="C20" s="158">
        <v>6.41</v>
      </c>
      <c r="D20" s="158">
        <v>38.18</v>
      </c>
      <c r="E20" s="158">
        <v>5.5</v>
      </c>
      <c r="F20" s="159">
        <v>-1.23E-2</v>
      </c>
      <c r="G20" s="159">
        <v>-4.5600000000000002E-2</v>
      </c>
      <c r="H20" s="146" t="s">
        <v>68</v>
      </c>
    </row>
    <row r="21" spans="1:8">
      <c r="A21" s="157" t="s">
        <v>123</v>
      </c>
      <c r="B21" s="158">
        <v>15.99</v>
      </c>
      <c r="C21" s="158">
        <v>4.41</v>
      </c>
      <c r="D21" s="158">
        <v>105.26</v>
      </c>
      <c r="E21" s="158">
        <v>0.01</v>
      </c>
      <c r="F21" s="159">
        <v>0.11269999999999999</v>
      </c>
      <c r="G21" s="159">
        <v>0.24390000000000001</v>
      </c>
      <c r="H21" s="146" t="s">
        <v>68</v>
      </c>
    </row>
    <row r="22" spans="1:8">
      <c r="A22" s="157" t="s">
        <v>107</v>
      </c>
      <c r="B22" s="158">
        <v>16.84</v>
      </c>
      <c r="C22" s="158">
        <v>4.1900000000000004</v>
      </c>
      <c r="D22" s="158">
        <v>2.58</v>
      </c>
      <c r="E22" s="158">
        <v>1.92</v>
      </c>
      <c r="F22" s="159">
        <v>0.19159999999999999</v>
      </c>
      <c r="G22" s="159">
        <v>0.18240000000000001</v>
      </c>
      <c r="H22" s="146" t="s">
        <v>68</v>
      </c>
    </row>
    <row r="23" spans="1:8">
      <c r="A23" s="157" t="s">
        <v>115</v>
      </c>
      <c r="B23" s="158">
        <v>16.98</v>
      </c>
      <c r="C23" s="158">
        <v>3.5</v>
      </c>
      <c r="D23" s="158">
        <v>0.93</v>
      </c>
      <c r="E23" s="158">
        <v>4.78</v>
      </c>
      <c r="F23" s="159">
        <v>5.0599999999999999E-2</v>
      </c>
      <c r="G23" s="159">
        <v>0.15579999999999999</v>
      </c>
      <c r="H23" s="146" t="s">
        <v>68</v>
      </c>
    </row>
    <row r="24" spans="1:8">
      <c r="A24" s="157" t="s">
        <v>99</v>
      </c>
      <c r="B24" s="158">
        <v>17.23</v>
      </c>
      <c r="C24" s="158">
        <v>4.38</v>
      </c>
      <c r="D24" s="158">
        <v>2.0499999999999998</v>
      </c>
      <c r="E24" s="158">
        <v>3.13</v>
      </c>
      <c r="F24" s="159">
        <v>0.21110000000000001</v>
      </c>
      <c r="G24" s="159">
        <v>0.15479999999999999</v>
      </c>
      <c r="H24" s="146" t="s">
        <v>68</v>
      </c>
    </row>
    <row r="25" spans="1:8">
      <c r="A25" s="157" t="s">
        <v>119</v>
      </c>
      <c r="B25" s="158">
        <v>18.39</v>
      </c>
      <c r="C25" s="158">
        <v>2.2200000000000002</v>
      </c>
      <c r="D25" s="158">
        <v>170.7</v>
      </c>
      <c r="E25" s="158">
        <v>1.95</v>
      </c>
      <c r="F25" s="161">
        <v>5.5E-2</v>
      </c>
      <c r="G25" s="159">
        <v>7.0599999999999996E-2</v>
      </c>
      <c r="H25" s="146" t="s">
        <v>68</v>
      </c>
    </row>
    <row r="26" spans="1:8">
      <c r="A26" s="157" t="s">
        <v>108</v>
      </c>
      <c r="B26" s="158">
        <v>18.989999999999998</v>
      </c>
      <c r="C26" s="158">
        <v>3.08</v>
      </c>
      <c r="D26" s="158">
        <v>146.26</v>
      </c>
      <c r="E26" s="158">
        <v>4.08</v>
      </c>
      <c r="F26" s="159">
        <v>5.9799999999999999E-2</v>
      </c>
      <c r="G26" s="159">
        <v>6.3E-2</v>
      </c>
      <c r="H26" s="146" t="s">
        <v>68</v>
      </c>
    </row>
    <row r="27" spans="1:8">
      <c r="A27" s="157" t="s">
        <v>114</v>
      </c>
      <c r="B27" s="158">
        <v>22.16</v>
      </c>
      <c r="C27" s="158">
        <v>3.19</v>
      </c>
      <c r="D27" s="158">
        <v>137.41</v>
      </c>
      <c r="E27" s="158">
        <v>2.75</v>
      </c>
      <c r="F27" s="159">
        <v>6.8000000000000005E-2</v>
      </c>
      <c r="G27" s="159">
        <v>9.5000000000000001E-2</v>
      </c>
      <c r="H27" s="146" t="s">
        <v>68</v>
      </c>
    </row>
    <row r="28" spans="1:8">
      <c r="A28" s="157" t="s">
        <v>109</v>
      </c>
      <c r="B28" s="158">
        <v>23.85</v>
      </c>
      <c r="C28" s="158">
        <v>5.87</v>
      </c>
      <c r="D28" s="158">
        <v>0.31</v>
      </c>
      <c r="E28" s="160">
        <v>7.35</v>
      </c>
      <c r="F28" s="159">
        <v>2.9700000000000001E-2</v>
      </c>
      <c r="G28" s="159">
        <v>0.17080000000000001</v>
      </c>
      <c r="H28" s="146" t="s">
        <v>68</v>
      </c>
    </row>
    <row r="29" spans="1:8">
      <c r="A29" s="157" t="s">
        <v>105</v>
      </c>
      <c r="B29" s="158">
        <v>27.88</v>
      </c>
      <c r="C29" s="158">
        <v>8.48</v>
      </c>
      <c r="D29" s="158">
        <v>2.4900000000000002</v>
      </c>
      <c r="E29" s="158">
        <v>4.0999999999999996</v>
      </c>
      <c r="F29" s="159">
        <v>0.31940000000000002</v>
      </c>
      <c r="G29" s="159">
        <v>0.27289999999999998</v>
      </c>
      <c r="H29" s="146" t="s">
        <v>68</v>
      </c>
    </row>
    <row r="30" spans="1:8">
      <c r="A30" s="155" t="s">
        <v>125</v>
      </c>
      <c r="B30" s="147">
        <v>31.69</v>
      </c>
      <c r="C30" s="147">
        <v>11.49</v>
      </c>
      <c r="D30" s="147">
        <v>6.46</v>
      </c>
      <c r="E30" s="147"/>
      <c r="F30" s="148">
        <v>0.52690000000000003</v>
      </c>
      <c r="G30" s="148">
        <v>0.28799999999999998</v>
      </c>
      <c r="H30" s="146" t="s">
        <v>68</v>
      </c>
    </row>
    <row r="31" spans="1:8">
      <c r="A31" s="155" t="s">
        <v>128</v>
      </c>
      <c r="B31" s="147">
        <v>31.81</v>
      </c>
      <c r="C31" s="147">
        <v>7.38</v>
      </c>
      <c r="D31" s="147">
        <v>3.69</v>
      </c>
      <c r="E31" s="147">
        <v>2.12</v>
      </c>
      <c r="F31" s="148">
        <v>0.48630000000000001</v>
      </c>
      <c r="G31" s="148">
        <v>0.2084</v>
      </c>
      <c r="H31" s="146" t="s">
        <v>68</v>
      </c>
    </row>
    <row r="32" spans="1:8">
      <c r="A32" s="155" t="s">
        <v>117</v>
      </c>
      <c r="B32" s="147">
        <v>123</v>
      </c>
      <c r="C32" s="147">
        <v>22.31</v>
      </c>
      <c r="D32" s="147">
        <v>0.54</v>
      </c>
      <c r="E32" s="147">
        <v>2.93</v>
      </c>
      <c r="F32" s="148">
        <v>0.35289999999999999</v>
      </c>
      <c r="G32" s="148">
        <v>0.14829999999999999</v>
      </c>
      <c r="H32" s="146" t="s">
        <v>68</v>
      </c>
    </row>
    <row r="33" spans="1:8">
      <c r="A33" s="155" t="s">
        <v>126</v>
      </c>
      <c r="B33" s="147">
        <v>402.4</v>
      </c>
      <c r="C33" s="147">
        <v>14.47</v>
      </c>
      <c r="D33" s="147">
        <v>-0.46</v>
      </c>
      <c r="E33" s="147">
        <v>11.58</v>
      </c>
      <c r="F33" s="148">
        <v>-5.9499999999999997E-2</v>
      </c>
      <c r="G33" s="148">
        <v>6.6E-3</v>
      </c>
      <c r="H33" s="146" t="s">
        <v>68</v>
      </c>
    </row>
    <row r="34" spans="1:8">
      <c r="A34" s="155" t="s">
        <v>111</v>
      </c>
      <c r="B34" s="147"/>
      <c r="C34" s="147"/>
      <c r="D34" s="147">
        <v>103.55</v>
      </c>
      <c r="E34" s="147"/>
      <c r="F34" s="148">
        <v>0.17280000000000001</v>
      </c>
      <c r="G34" s="148">
        <v>0.21079999999999999</v>
      </c>
    </row>
    <row r="35" spans="1:8">
      <c r="A35" s="155"/>
      <c r="B35" s="147"/>
      <c r="C35" s="147"/>
      <c r="D35" s="147"/>
      <c r="E35" s="147"/>
      <c r="F35" s="148"/>
      <c r="G35" s="148"/>
    </row>
    <row r="36" spans="1:8" s="132" customFormat="1">
      <c r="A36" s="149" t="s">
        <v>67</v>
      </c>
      <c r="B36" s="150">
        <f>AVERAGE(B3:B29)</f>
        <v>14.601851851851855</v>
      </c>
      <c r="C36" s="151"/>
      <c r="D36" s="151"/>
      <c r="E36" s="151"/>
      <c r="F36" s="148"/>
      <c r="G36" s="162">
        <f>AVERAGE(G3,G5,G6,G8,G9,G10,G11,G14,G16,G17,G18,G19,G21,G22,G23,G24,G28,G29,G30,G31,G32,G34)</f>
        <v>0.21473181818181819</v>
      </c>
      <c r="H36" s="146"/>
    </row>
    <row r="38" spans="1:8" hidden="1">
      <c r="A38" s="155" t="s">
        <v>95</v>
      </c>
      <c r="B38" s="147">
        <v>11.86</v>
      </c>
      <c r="C38" s="147">
        <v>3.41</v>
      </c>
      <c r="D38" s="147">
        <v>3.63</v>
      </c>
      <c r="E38" s="147">
        <v>1.91</v>
      </c>
      <c r="F38" s="148">
        <v>7.5999999999999998E-2</v>
      </c>
      <c r="G38" s="148">
        <v>0.19919999999999999</v>
      </c>
      <c r="H38" s="146" t="s">
        <v>68</v>
      </c>
    </row>
    <row r="50" spans="1:8" s="132" customFormat="1">
      <c r="A50" s="146"/>
      <c r="B50" s="104"/>
      <c r="C50" s="146"/>
      <c r="D50" s="146"/>
      <c r="E50" s="146"/>
      <c r="F50" s="146"/>
      <c r="G50" s="146"/>
      <c r="H50" s="146"/>
    </row>
  </sheetData>
  <autoFilter ref="A1:G1">
    <sortState ref="A2:G34">
      <sortCondition ref="B1:B34"/>
    </sortState>
  </autoFilter>
  <conditionalFormatting sqref="G2:G34">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7"/>
  <sheetViews>
    <sheetView showGridLines="0" workbookViewId="0">
      <selection activeCell="A4" sqref="A4"/>
    </sheetView>
  </sheetViews>
  <sheetFormatPr baseColWidth="10" defaultRowHeight="15" x14ac:dyDescent="0"/>
  <cols>
    <col min="1" max="1" width="43.33203125" style="221" customWidth="1"/>
    <col min="2" max="2" width="20" style="221" customWidth="1"/>
    <col min="3" max="3" width="19.1640625" style="221" customWidth="1"/>
    <col min="4" max="4" width="22.5" style="221" customWidth="1"/>
    <col min="5" max="8" width="24.83203125" style="221" customWidth="1"/>
    <col min="9" max="11" width="31.1640625" style="221" customWidth="1"/>
    <col min="12" max="16384" width="10.83203125" style="221"/>
  </cols>
  <sheetData>
    <row r="1" spans="1:11" ht="28">
      <c r="A1" s="231" t="s">
        <v>333</v>
      </c>
    </row>
    <row r="2" spans="1:11">
      <c r="A2" s="281" t="s">
        <v>430</v>
      </c>
      <c r="B2" s="281"/>
      <c r="C2" s="281"/>
      <c r="D2" s="281"/>
      <c r="E2" s="281"/>
      <c r="F2" s="281"/>
      <c r="G2" s="281"/>
      <c r="H2" s="281"/>
      <c r="I2" s="281"/>
      <c r="J2" s="281"/>
      <c r="K2" s="281"/>
    </row>
    <row r="3" spans="1:11">
      <c r="A3" s="220"/>
    </row>
    <row r="4" spans="1:11">
      <c r="A4" s="222"/>
    </row>
    <row r="5" spans="1:11" ht="18" customHeight="1">
      <c r="A5" s="282" t="s">
        <v>431</v>
      </c>
      <c r="B5" s="282"/>
      <c r="C5" s="282"/>
      <c r="D5" s="282"/>
      <c r="E5" s="282"/>
      <c r="F5" s="282"/>
      <c r="G5" s="282"/>
      <c r="H5" s="282"/>
      <c r="I5" s="282"/>
      <c r="J5" s="282"/>
      <c r="K5" s="282"/>
    </row>
    <row r="6" spans="1:11">
      <c r="A6" s="222"/>
    </row>
    <row r="7" spans="1:11">
      <c r="A7" s="280"/>
      <c r="B7" s="280"/>
      <c r="C7" s="280"/>
      <c r="D7" s="280"/>
      <c r="E7" s="280"/>
      <c r="F7" s="280"/>
      <c r="G7" s="280"/>
      <c r="H7" s="280"/>
      <c r="I7" s="280"/>
      <c r="J7" s="280"/>
      <c r="K7" s="280"/>
    </row>
    <row r="9" spans="1:11">
      <c r="A9" s="223" t="s">
        <v>327</v>
      </c>
      <c r="B9" s="223" t="s">
        <v>432</v>
      </c>
      <c r="C9" s="223" t="s">
        <v>328</v>
      </c>
      <c r="D9" s="223" t="s">
        <v>433</v>
      </c>
      <c r="E9" s="223" t="s">
        <v>329</v>
      </c>
      <c r="F9" s="223" t="s">
        <v>330</v>
      </c>
      <c r="G9" s="223" t="s">
        <v>331</v>
      </c>
      <c r="H9" s="223" t="s">
        <v>332</v>
      </c>
    </row>
    <row r="11" spans="1:11">
      <c r="A11" s="279" t="s">
        <v>434</v>
      </c>
      <c r="B11" s="279"/>
      <c r="C11" s="279"/>
      <c r="D11" s="279"/>
      <c r="E11" s="279"/>
      <c r="F11" s="279"/>
      <c r="G11" s="279"/>
      <c r="H11" s="279"/>
      <c r="I11" s="279"/>
      <c r="J11" s="279"/>
      <c r="K11" s="279"/>
    </row>
    <row r="12" spans="1:11">
      <c r="A12" s="224" t="s">
        <v>435</v>
      </c>
      <c r="B12" s="224"/>
      <c r="C12" s="224"/>
      <c r="D12" s="225">
        <v>14</v>
      </c>
      <c r="E12" s="225">
        <v>18</v>
      </c>
      <c r="F12" s="225">
        <v>18</v>
      </c>
      <c r="G12" s="225">
        <v>18</v>
      </c>
      <c r="H12" s="225">
        <v>17</v>
      </c>
    </row>
    <row r="13" spans="1:11">
      <c r="A13" s="226" t="s">
        <v>436</v>
      </c>
      <c r="B13" s="226"/>
      <c r="C13" s="226"/>
      <c r="D13" s="227">
        <v>8629</v>
      </c>
      <c r="E13" s="227">
        <v>37016</v>
      </c>
      <c r="F13" s="227">
        <v>38240</v>
      </c>
      <c r="G13" s="227">
        <v>40864</v>
      </c>
      <c r="H13" s="227">
        <v>44093</v>
      </c>
    </row>
    <row r="14" spans="1:11">
      <c r="A14" s="228" t="s">
        <v>437</v>
      </c>
      <c r="B14" s="224">
        <v>7783</v>
      </c>
      <c r="C14" s="224">
        <v>33821</v>
      </c>
      <c r="D14" s="224">
        <v>8403</v>
      </c>
      <c r="E14" s="224">
        <v>36231</v>
      </c>
      <c r="F14" s="224">
        <v>37204</v>
      </c>
      <c r="G14" s="224">
        <v>38755</v>
      </c>
      <c r="H14" s="224">
        <v>40609</v>
      </c>
    </row>
    <row r="15" spans="1:11">
      <c r="A15" s="226" t="s">
        <v>438</v>
      </c>
      <c r="B15" s="226"/>
      <c r="C15" s="226"/>
      <c r="D15" s="227">
        <v>8229</v>
      </c>
      <c r="E15" s="227">
        <v>35287</v>
      </c>
      <c r="F15" s="227">
        <v>35221</v>
      </c>
      <c r="G15" s="227">
        <v>35652</v>
      </c>
      <c r="H15" s="227">
        <v>36457</v>
      </c>
    </row>
    <row r="17" spans="1:11">
      <c r="A17" s="279" t="s">
        <v>439</v>
      </c>
      <c r="B17" s="279"/>
      <c r="C17" s="279"/>
      <c r="D17" s="279"/>
      <c r="E17" s="279"/>
      <c r="F17" s="279"/>
      <c r="G17" s="279"/>
      <c r="H17" s="279"/>
      <c r="I17" s="279"/>
      <c r="J17" s="279"/>
      <c r="K17" s="279"/>
    </row>
    <row r="18" spans="1:11">
      <c r="A18" s="224" t="s">
        <v>435</v>
      </c>
      <c r="B18" s="224"/>
      <c r="C18" s="224"/>
      <c r="D18" s="225">
        <v>14</v>
      </c>
      <c r="E18" s="225">
        <v>16</v>
      </c>
      <c r="F18" s="225">
        <v>16</v>
      </c>
      <c r="G18" s="225">
        <v>16</v>
      </c>
      <c r="H18" s="225">
        <v>16</v>
      </c>
    </row>
    <row r="19" spans="1:11">
      <c r="A19" s="226" t="s">
        <v>436</v>
      </c>
      <c r="B19" s="226"/>
      <c r="C19" s="226"/>
      <c r="D19" s="227">
        <v>228</v>
      </c>
      <c r="E19" s="227">
        <v>1053</v>
      </c>
      <c r="F19" s="227">
        <v>980</v>
      </c>
      <c r="G19" s="227">
        <v>1022</v>
      </c>
      <c r="H19" s="227">
        <v>1075</v>
      </c>
    </row>
    <row r="20" spans="1:11">
      <c r="A20" s="228" t="s">
        <v>437</v>
      </c>
      <c r="B20" s="224">
        <v>145</v>
      </c>
      <c r="C20" s="224">
        <v>887</v>
      </c>
      <c r="D20" s="224">
        <v>160</v>
      </c>
      <c r="E20" s="224">
        <v>859</v>
      </c>
      <c r="F20" s="224">
        <v>856</v>
      </c>
      <c r="G20" s="224">
        <v>864</v>
      </c>
      <c r="H20" s="224">
        <v>877</v>
      </c>
    </row>
    <row r="21" spans="1:11">
      <c r="A21" s="226" t="s">
        <v>438</v>
      </c>
      <c r="B21" s="226"/>
      <c r="C21" s="226"/>
      <c r="D21" s="227">
        <v>112</v>
      </c>
      <c r="E21" s="227">
        <v>640</v>
      </c>
      <c r="F21" s="227">
        <v>640</v>
      </c>
      <c r="G21" s="227">
        <v>640</v>
      </c>
      <c r="H21" s="227">
        <v>640</v>
      </c>
    </row>
    <row r="23" spans="1:11">
      <c r="A23" s="279" t="s">
        <v>71</v>
      </c>
      <c r="B23" s="279"/>
      <c r="C23" s="279"/>
      <c r="D23" s="279"/>
      <c r="E23" s="279"/>
      <c r="F23" s="279"/>
      <c r="G23" s="279"/>
      <c r="H23" s="279"/>
      <c r="I23" s="279"/>
      <c r="J23" s="279"/>
      <c r="K23" s="279"/>
    </row>
    <row r="24" spans="1:11">
      <c r="A24" s="224" t="s">
        <v>435</v>
      </c>
      <c r="B24" s="224"/>
      <c r="C24" s="224"/>
      <c r="D24" s="225">
        <v>14</v>
      </c>
      <c r="E24" s="225">
        <v>16</v>
      </c>
      <c r="F24" s="225">
        <v>16</v>
      </c>
      <c r="G24" s="225">
        <v>16</v>
      </c>
      <c r="H24" s="225">
        <v>16</v>
      </c>
    </row>
    <row r="25" spans="1:11">
      <c r="A25" s="226" t="s">
        <v>436</v>
      </c>
      <c r="B25" s="226"/>
      <c r="C25" s="226"/>
      <c r="D25" s="227">
        <v>-2568</v>
      </c>
      <c r="E25" s="227">
        <v>-11139</v>
      </c>
      <c r="F25" s="227">
        <v>-10600</v>
      </c>
      <c r="G25" s="227">
        <v>-10942</v>
      </c>
      <c r="H25" s="227">
        <v>-11292</v>
      </c>
    </row>
    <row r="26" spans="1:11">
      <c r="A26" s="228" t="s">
        <v>437</v>
      </c>
      <c r="B26" s="224">
        <v>-2447</v>
      </c>
      <c r="C26" s="224">
        <v>-10702</v>
      </c>
      <c r="D26" s="224">
        <v>-2662</v>
      </c>
      <c r="E26" s="224">
        <v>-11624</v>
      </c>
      <c r="F26" s="224">
        <v>-11849</v>
      </c>
      <c r="G26" s="224">
        <v>-12254</v>
      </c>
      <c r="H26" s="224">
        <v>-12762</v>
      </c>
    </row>
    <row r="27" spans="1:11">
      <c r="A27" s="226" t="s">
        <v>438</v>
      </c>
      <c r="B27" s="226"/>
      <c r="C27" s="226"/>
      <c r="D27" s="227">
        <v>-2754</v>
      </c>
      <c r="E27" s="227">
        <v>-12045</v>
      </c>
      <c r="F27" s="227">
        <v>-12472</v>
      </c>
      <c r="G27" s="227">
        <v>-12784</v>
      </c>
      <c r="H27" s="227">
        <v>-13554</v>
      </c>
    </row>
    <row r="29" spans="1:11">
      <c r="A29" s="279" t="s">
        <v>440</v>
      </c>
      <c r="B29" s="279"/>
      <c r="C29" s="279"/>
      <c r="D29" s="279"/>
      <c r="E29" s="279"/>
      <c r="F29" s="279"/>
      <c r="G29" s="279"/>
      <c r="H29" s="279"/>
      <c r="I29" s="279"/>
      <c r="J29" s="279"/>
      <c r="K29" s="279"/>
    </row>
    <row r="30" spans="1:11">
      <c r="A30" s="224" t="s">
        <v>435</v>
      </c>
      <c r="B30" s="224"/>
      <c r="C30" s="224"/>
      <c r="D30" s="225">
        <v>14</v>
      </c>
      <c r="E30" s="225">
        <v>17</v>
      </c>
      <c r="F30" s="225">
        <v>17</v>
      </c>
      <c r="G30" s="225">
        <v>17</v>
      </c>
      <c r="H30" s="225">
        <v>17</v>
      </c>
    </row>
    <row r="31" spans="1:11">
      <c r="A31" s="226" t="s">
        <v>436</v>
      </c>
      <c r="B31" s="226"/>
      <c r="C31" s="226"/>
      <c r="D31" s="227">
        <v>6076</v>
      </c>
      <c r="E31" s="227">
        <v>26000</v>
      </c>
      <c r="F31" s="227">
        <v>27071</v>
      </c>
      <c r="G31" s="227">
        <v>29061</v>
      </c>
      <c r="H31" s="227">
        <v>31416</v>
      </c>
    </row>
    <row r="32" spans="1:11">
      <c r="A32" s="228" t="s">
        <v>437</v>
      </c>
      <c r="B32" s="224">
        <v>5481</v>
      </c>
      <c r="C32" s="224">
        <v>24006</v>
      </c>
      <c r="D32" s="224">
        <v>5901</v>
      </c>
      <c r="E32" s="224">
        <v>25391</v>
      </c>
      <c r="F32" s="224">
        <v>26145</v>
      </c>
      <c r="G32" s="224">
        <v>27290</v>
      </c>
      <c r="H32" s="224">
        <v>28675</v>
      </c>
    </row>
    <row r="33" spans="1:11">
      <c r="A33" s="226" t="s">
        <v>438</v>
      </c>
      <c r="B33" s="226"/>
      <c r="C33" s="226"/>
      <c r="D33" s="227">
        <v>5744</v>
      </c>
      <c r="E33" s="227">
        <v>24864</v>
      </c>
      <c r="F33" s="227">
        <v>25028</v>
      </c>
      <c r="G33" s="227">
        <v>25435</v>
      </c>
      <c r="H33" s="227">
        <v>26098</v>
      </c>
    </row>
    <row r="35" spans="1:11">
      <c r="A35" s="279" t="s">
        <v>441</v>
      </c>
      <c r="B35" s="279"/>
      <c r="C35" s="279"/>
      <c r="D35" s="279"/>
      <c r="E35" s="279"/>
      <c r="F35" s="279"/>
      <c r="G35" s="279"/>
      <c r="H35" s="279"/>
      <c r="I35" s="279"/>
      <c r="J35" s="279"/>
      <c r="K35" s="279"/>
    </row>
    <row r="36" spans="1:11">
      <c r="A36" s="224" t="s">
        <v>435</v>
      </c>
      <c r="B36" s="224"/>
      <c r="C36" s="224"/>
      <c r="D36" s="225">
        <v>14</v>
      </c>
      <c r="E36" s="225">
        <v>17</v>
      </c>
      <c r="F36" s="225">
        <v>17</v>
      </c>
      <c r="G36" s="225">
        <v>17</v>
      </c>
      <c r="H36" s="225">
        <v>17</v>
      </c>
    </row>
    <row r="37" spans="1:11">
      <c r="A37" s="226" t="s">
        <v>436</v>
      </c>
      <c r="B37" s="226"/>
      <c r="C37" s="226"/>
      <c r="D37" s="229">
        <v>70.8</v>
      </c>
      <c r="E37" s="229">
        <v>70.900000000000006</v>
      </c>
      <c r="F37" s="229">
        <v>71.8</v>
      </c>
      <c r="G37" s="229">
        <v>71.8</v>
      </c>
      <c r="H37" s="229">
        <v>71.7</v>
      </c>
    </row>
    <row r="38" spans="1:11">
      <c r="A38" s="228" t="s">
        <v>437</v>
      </c>
      <c r="B38" s="224">
        <v>70.400000000000006</v>
      </c>
      <c r="C38" s="224">
        <v>71</v>
      </c>
      <c r="D38" s="224">
        <v>70.2</v>
      </c>
      <c r="E38" s="224">
        <v>70.099999999999994</v>
      </c>
      <c r="F38" s="224">
        <v>70.3</v>
      </c>
      <c r="G38" s="224">
        <v>70.5</v>
      </c>
      <c r="H38" s="224">
        <v>70.599999999999994</v>
      </c>
    </row>
    <row r="39" spans="1:11">
      <c r="A39" s="226" t="s">
        <v>438</v>
      </c>
      <c r="B39" s="226"/>
      <c r="C39" s="226"/>
      <c r="D39" s="229">
        <v>69.2</v>
      </c>
      <c r="E39" s="229">
        <v>68.3</v>
      </c>
      <c r="F39" s="229">
        <v>68.599999999999994</v>
      </c>
      <c r="G39" s="229">
        <v>68.7</v>
      </c>
      <c r="H39" s="229">
        <v>68.900000000000006</v>
      </c>
    </row>
    <row r="41" spans="1:11">
      <c r="A41" s="279" t="s">
        <v>442</v>
      </c>
      <c r="B41" s="279"/>
      <c r="C41" s="279"/>
      <c r="D41" s="279"/>
      <c r="E41" s="279"/>
      <c r="F41" s="279"/>
      <c r="G41" s="279"/>
      <c r="H41" s="279"/>
      <c r="I41" s="279"/>
      <c r="J41" s="279"/>
      <c r="K41" s="279"/>
    </row>
    <row r="42" spans="1:11">
      <c r="A42" s="224" t="s">
        <v>435</v>
      </c>
      <c r="B42" s="224"/>
      <c r="C42" s="224"/>
      <c r="D42" s="225">
        <v>14</v>
      </c>
      <c r="E42" s="225">
        <v>16</v>
      </c>
      <c r="F42" s="225">
        <v>16</v>
      </c>
      <c r="G42" s="225">
        <v>16</v>
      </c>
      <c r="H42" s="225">
        <v>16</v>
      </c>
    </row>
    <row r="43" spans="1:11">
      <c r="A43" s="226" t="s">
        <v>436</v>
      </c>
      <c r="B43" s="226"/>
      <c r="C43" s="226"/>
      <c r="D43" s="227">
        <v>-1254</v>
      </c>
      <c r="E43" s="227">
        <v>-5327</v>
      </c>
      <c r="F43" s="227">
        <v>-5404</v>
      </c>
      <c r="G43" s="227">
        <v>-5465</v>
      </c>
      <c r="H43" s="227">
        <v>-5549</v>
      </c>
    </row>
    <row r="44" spans="1:11">
      <c r="A44" s="228" t="s">
        <v>437</v>
      </c>
      <c r="B44" s="224">
        <v>-1235</v>
      </c>
      <c r="C44" s="224">
        <v>-5172</v>
      </c>
      <c r="D44" s="224">
        <v>-1316</v>
      </c>
      <c r="E44" s="224">
        <v>-5503</v>
      </c>
      <c r="F44" s="224">
        <v>-5623</v>
      </c>
      <c r="G44" s="224">
        <v>-5767</v>
      </c>
      <c r="H44" s="224">
        <v>-5945</v>
      </c>
    </row>
    <row r="45" spans="1:11">
      <c r="A45" s="226" t="s">
        <v>438</v>
      </c>
      <c r="B45" s="226"/>
      <c r="C45" s="226"/>
      <c r="D45" s="227">
        <v>-1463</v>
      </c>
      <c r="E45" s="227">
        <v>-5641</v>
      </c>
      <c r="F45" s="227">
        <v>-5814</v>
      </c>
      <c r="G45" s="227">
        <v>-6019</v>
      </c>
      <c r="H45" s="227">
        <v>-6271</v>
      </c>
    </row>
    <row r="47" spans="1:11">
      <c r="A47" s="279" t="s">
        <v>443</v>
      </c>
      <c r="B47" s="279"/>
      <c r="C47" s="279"/>
      <c r="D47" s="279"/>
      <c r="E47" s="279"/>
      <c r="F47" s="279"/>
      <c r="G47" s="279"/>
      <c r="H47" s="279"/>
      <c r="I47" s="279"/>
      <c r="J47" s="279"/>
      <c r="K47" s="279"/>
    </row>
    <row r="48" spans="1:11">
      <c r="A48" s="224" t="s">
        <v>435</v>
      </c>
      <c r="B48" s="224"/>
      <c r="C48" s="224"/>
      <c r="D48" s="225">
        <v>14</v>
      </c>
      <c r="E48" s="225">
        <v>16</v>
      </c>
      <c r="F48" s="225">
        <v>16</v>
      </c>
      <c r="G48" s="225">
        <v>16</v>
      </c>
      <c r="H48" s="225">
        <v>16</v>
      </c>
    </row>
    <row r="49" spans="1:11">
      <c r="A49" s="226" t="s">
        <v>436</v>
      </c>
      <c r="B49" s="226"/>
      <c r="C49" s="226"/>
      <c r="D49" s="227">
        <v>-2353</v>
      </c>
      <c r="E49" s="227">
        <v>-9755</v>
      </c>
      <c r="F49" s="227">
        <v>-10056</v>
      </c>
      <c r="G49" s="227">
        <v>-9603</v>
      </c>
      <c r="H49" s="227">
        <v>-9315</v>
      </c>
    </row>
    <row r="50" spans="1:11">
      <c r="A50" s="228" t="s">
        <v>437</v>
      </c>
      <c r="B50" s="224">
        <v>-2212</v>
      </c>
      <c r="C50" s="224">
        <v>-9486</v>
      </c>
      <c r="D50" s="224">
        <v>-2438</v>
      </c>
      <c r="E50" s="224">
        <v>-10217</v>
      </c>
      <c r="F50" s="224">
        <v>-10444</v>
      </c>
      <c r="G50" s="224">
        <v>-10689</v>
      </c>
      <c r="H50" s="224">
        <v>-10937</v>
      </c>
    </row>
    <row r="51" spans="1:11">
      <c r="A51" s="226" t="s">
        <v>438</v>
      </c>
      <c r="B51" s="226"/>
      <c r="C51" s="226"/>
      <c r="D51" s="227">
        <v>-2537</v>
      </c>
      <c r="E51" s="227">
        <v>-10602</v>
      </c>
      <c r="F51" s="227">
        <v>-10898</v>
      </c>
      <c r="G51" s="227">
        <v>-11238</v>
      </c>
      <c r="H51" s="227">
        <v>-11420</v>
      </c>
    </row>
    <row r="53" spans="1:11">
      <c r="A53" s="279" t="s">
        <v>444</v>
      </c>
      <c r="B53" s="279"/>
      <c r="C53" s="279"/>
      <c r="D53" s="279"/>
      <c r="E53" s="279"/>
      <c r="F53" s="279"/>
      <c r="G53" s="279"/>
      <c r="H53" s="279"/>
      <c r="I53" s="279"/>
      <c r="J53" s="279"/>
      <c r="K53" s="279"/>
    </row>
    <row r="54" spans="1:11">
      <c r="A54" s="224" t="s">
        <v>435</v>
      </c>
      <c r="B54" s="224"/>
      <c r="C54" s="224"/>
      <c r="D54" s="225">
        <v>14</v>
      </c>
      <c r="E54" s="225">
        <v>15</v>
      </c>
      <c r="F54" s="225">
        <v>15</v>
      </c>
      <c r="G54" s="225">
        <v>15</v>
      </c>
      <c r="H54" s="225">
        <v>15</v>
      </c>
    </row>
    <row r="55" spans="1:11">
      <c r="A55" s="226" t="s">
        <v>436</v>
      </c>
      <c r="B55" s="226"/>
      <c r="C55" s="226"/>
      <c r="D55" s="227">
        <v>97</v>
      </c>
      <c r="E55" s="227">
        <v>118</v>
      </c>
      <c r="F55" s="227">
        <v>64</v>
      </c>
      <c r="G55" s="227">
        <v>-40</v>
      </c>
      <c r="H55" s="227">
        <v>-40</v>
      </c>
    </row>
    <row r="56" spans="1:11">
      <c r="A56" s="228" t="s">
        <v>437</v>
      </c>
      <c r="B56" s="224">
        <v>93</v>
      </c>
      <c r="C56" s="224">
        <v>-127</v>
      </c>
      <c r="D56" s="224">
        <v>20</v>
      </c>
      <c r="E56" s="224">
        <v>-39</v>
      </c>
      <c r="F56" s="224">
        <v>-162</v>
      </c>
      <c r="G56" s="224">
        <v>-367</v>
      </c>
      <c r="H56" s="224">
        <v>-649</v>
      </c>
    </row>
    <row r="57" spans="1:11">
      <c r="A57" s="226" t="s">
        <v>438</v>
      </c>
      <c r="B57" s="226"/>
      <c r="C57" s="226"/>
      <c r="D57" s="227">
        <v>-10</v>
      </c>
      <c r="E57" s="227">
        <v>-212</v>
      </c>
      <c r="F57" s="227">
        <v>-371</v>
      </c>
      <c r="G57" s="227">
        <v>-751</v>
      </c>
      <c r="H57" s="227">
        <v>-1286</v>
      </c>
    </row>
    <row r="59" spans="1:11">
      <c r="A59" s="279" t="s">
        <v>445</v>
      </c>
      <c r="B59" s="279"/>
      <c r="C59" s="279"/>
      <c r="D59" s="279"/>
      <c r="E59" s="279"/>
      <c r="F59" s="279"/>
      <c r="G59" s="279"/>
      <c r="H59" s="279"/>
      <c r="I59" s="279"/>
      <c r="J59" s="279"/>
      <c r="K59" s="279"/>
    </row>
    <row r="60" spans="1:11">
      <c r="A60" s="224" t="s">
        <v>435</v>
      </c>
      <c r="B60" s="224"/>
      <c r="C60" s="224"/>
      <c r="D60" s="225">
        <v>14</v>
      </c>
      <c r="E60" s="225">
        <v>15</v>
      </c>
      <c r="F60" s="225">
        <v>15</v>
      </c>
      <c r="G60" s="225">
        <v>15</v>
      </c>
      <c r="H60" s="225">
        <v>15</v>
      </c>
    </row>
    <row r="61" spans="1:11">
      <c r="A61" s="226" t="s">
        <v>436</v>
      </c>
      <c r="B61" s="226"/>
      <c r="C61" s="226"/>
      <c r="D61" s="227">
        <v>140</v>
      </c>
      <c r="E61" s="227">
        <v>428</v>
      </c>
      <c r="F61" s="227">
        <v>617</v>
      </c>
      <c r="G61" s="227">
        <v>642</v>
      </c>
      <c r="H61" s="227">
        <v>742</v>
      </c>
    </row>
    <row r="62" spans="1:11">
      <c r="A62" s="228" t="s">
        <v>437</v>
      </c>
      <c r="B62" s="224">
        <v>23</v>
      </c>
      <c r="C62" s="224">
        <v>177</v>
      </c>
      <c r="D62" s="224">
        <v>54</v>
      </c>
      <c r="E62" s="224">
        <v>248</v>
      </c>
      <c r="F62" s="224">
        <v>331</v>
      </c>
      <c r="G62" s="224">
        <v>402</v>
      </c>
      <c r="H62" s="224">
        <v>458</v>
      </c>
    </row>
    <row r="63" spans="1:11">
      <c r="A63" s="226" t="s">
        <v>438</v>
      </c>
      <c r="B63" s="226"/>
      <c r="C63" s="226"/>
      <c r="D63" s="227">
        <v>29</v>
      </c>
      <c r="E63" s="227">
        <v>165</v>
      </c>
      <c r="F63" s="227">
        <v>169</v>
      </c>
      <c r="G63" s="227">
        <v>169</v>
      </c>
      <c r="H63" s="227">
        <v>152</v>
      </c>
    </row>
    <row r="65" spans="1:11">
      <c r="A65" s="279" t="s">
        <v>446</v>
      </c>
      <c r="B65" s="279"/>
      <c r="C65" s="279"/>
      <c r="D65" s="279"/>
      <c r="E65" s="279"/>
      <c r="F65" s="279"/>
      <c r="G65" s="279"/>
      <c r="H65" s="279"/>
      <c r="I65" s="279"/>
      <c r="J65" s="279"/>
      <c r="K65" s="279"/>
    </row>
    <row r="66" spans="1:11">
      <c r="A66" s="224" t="s">
        <v>435</v>
      </c>
      <c r="B66" s="224"/>
      <c r="C66" s="224"/>
      <c r="D66" s="225">
        <v>14</v>
      </c>
      <c r="E66" s="225">
        <v>15</v>
      </c>
      <c r="F66" s="225">
        <v>15</v>
      </c>
      <c r="G66" s="225">
        <v>15</v>
      </c>
      <c r="H66" s="225">
        <v>15</v>
      </c>
    </row>
    <row r="67" spans="1:11">
      <c r="A67" s="226" t="s">
        <v>436</v>
      </c>
      <c r="B67" s="226"/>
      <c r="C67" s="226"/>
      <c r="D67" s="227">
        <v>-23</v>
      </c>
      <c r="E67" s="227">
        <v>-80</v>
      </c>
      <c r="F67" s="227">
        <v>-20</v>
      </c>
      <c r="G67" s="227">
        <v>-4</v>
      </c>
      <c r="H67" s="227">
        <v>-4</v>
      </c>
    </row>
    <row r="68" spans="1:11">
      <c r="A68" s="228" t="s">
        <v>437</v>
      </c>
      <c r="B68" s="224">
        <v>-27</v>
      </c>
      <c r="C68" s="224">
        <v>-113</v>
      </c>
      <c r="D68" s="224">
        <v>-26</v>
      </c>
      <c r="E68" s="224">
        <v>-104</v>
      </c>
      <c r="F68" s="224">
        <v>-111</v>
      </c>
      <c r="G68" s="224">
        <v>-82</v>
      </c>
      <c r="H68" s="224">
        <v>-81</v>
      </c>
    </row>
    <row r="69" spans="1:11">
      <c r="A69" s="226" t="s">
        <v>438</v>
      </c>
      <c r="B69" s="226"/>
      <c r="C69" s="226"/>
      <c r="D69" s="227">
        <v>-31</v>
      </c>
      <c r="E69" s="227">
        <v>-120</v>
      </c>
      <c r="F69" s="227">
        <v>-289</v>
      </c>
      <c r="G69" s="227">
        <v>-140</v>
      </c>
      <c r="H69" s="227">
        <v>-145</v>
      </c>
    </row>
    <row r="71" spans="1:11">
      <c r="A71" s="279" t="s">
        <v>422</v>
      </c>
      <c r="B71" s="279"/>
      <c r="C71" s="279"/>
      <c r="D71" s="279"/>
      <c r="E71" s="279"/>
      <c r="F71" s="279"/>
      <c r="G71" s="279"/>
      <c r="H71" s="279"/>
      <c r="I71" s="279"/>
      <c r="J71" s="279"/>
      <c r="K71" s="279"/>
    </row>
    <row r="72" spans="1:11">
      <c r="A72" s="224" t="s">
        <v>435</v>
      </c>
      <c r="B72" s="224"/>
      <c r="C72" s="224"/>
      <c r="D72" s="225">
        <v>14</v>
      </c>
      <c r="E72" s="225">
        <v>18</v>
      </c>
      <c r="F72" s="225">
        <v>18</v>
      </c>
      <c r="G72" s="225">
        <v>18</v>
      </c>
      <c r="H72" s="225">
        <v>17</v>
      </c>
    </row>
    <row r="73" spans="1:11">
      <c r="A73" s="226" t="s">
        <v>436</v>
      </c>
      <c r="B73" s="226"/>
      <c r="C73" s="226"/>
      <c r="D73" s="227">
        <v>2276</v>
      </c>
      <c r="E73" s="227">
        <v>10274</v>
      </c>
      <c r="F73" s="227">
        <v>10787</v>
      </c>
      <c r="G73" s="227">
        <v>11535</v>
      </c>
      <c r="H73" s="227">
        <v>12803</v>
      </c>
    </row>
    <row r="74" spans="1:11">
      <c r="A74" s="228" t="s">
        <v>437</v>
      </c>
      <c r="B74" s="224">
        <v>2123</v>
      </c>
      <c r="C74" s="224">
        <v>9285</v>
      </c>
      <c r="D74" s="224">
        <v>2194</v>
      </c>
      <c r="E74" s="224">
        <v>9808</v>
      </c>
      <c r="F74" s="224">
        <v>10166</v>
      </c>
      <c r="G74" s="224">
        <v>10825</v>
      </c>
      <c r="H74" s="224">
        <v>11574</v>
      </c>
    </row>
    <row r="75" spans="1:11">
      <c r="A75" s="226" t="s">
        <v>438</v>
      </c>
      <c r="B75" s="226"/>
      <c r="C75" s="226"/>
      <c r="D75" s="227">
        <v>2117</v>
      </c>
      <c r="E75" s="227">
        <v>9383</v>
      </c>
      <c r="F75" s="227">
        <v>9418</v>
      </c>
      <c r="G75" s="227">
        <v>9531</v>
      </c>
      <c r="H75" s="227">
        <v>9687</v>
      </c>
    </row>
    <row r="77" spans="1:11">
      <c r="A77" s="279" t="s">
        <v>447</v>
      </c>
      <c r="B77" s="279"/>
      <c r="C77" s="279"/>
      <c r="D77" s="279"/>
      <c r="E77" s="279"/>
      <c r="F77" s="279"/>
      <c r="G77" s="279"/>
      <c r="H77" s="279"/>
      <c r="I77" s="279"/>
      <c r="J77" s="279"/>
      <c r="K77" s="279"/>
    </row>
    <row r="78" spans="1:11">
      <c r="A78" s="224" t="s">
        <v>435</v>
      </c>
      <c r="B78" s="224"/>
      <c r="C78" s="224"/>
      <c r="D78" s="225">
        <v>14</v>
      </c>
      <c r="E78" s="225">
        <v>18</v>
      </c>
      <c r="F78" s="225">
        <v>18</v>
      </c>
      <c r="G78" s="225">
        <v>18</v>
      </c>
      <c r="H78" s="225">
        <v>17</v>
      </c>
    </row>
    <row r="79" spans="1:11">
      <c r="A79" s="226" t="s">
        <v>436</v>
      </c>
      <c r="B79" s="226"/>
      <c r="C79" s="226"/>
      <c r="D79" s="229">
        <v>27</v>
      </c>
      <c r="E79" s="229">
        <v>28.2</v>
      </c>
      <c r="F79" s="229">
        <v>29.6</v>
      </c>
      <c r="G79" s="229">
        <v>31.1</v>
      </c>
      <c r="H79" s="229">
        <v>32</v>
      </c>
    </row>
    <row r="80" spans="1:11">
      <c r="A80" s="228" t="s">
        <v>437</v>
      </c>
      <c r="B80" s="224">
        <v>27.3</v>
      </c>
      <c r="C80" s="224">
        <v>27.5</v>
      </c>
      <c r="D80" s="224">
        <v>26.1</v>
      </c>
      <c r="E80" s="224">
        <v>27.1</v>
      </c>
      <c r="F80" s="224">
        <v>27.3</v>
      </c>
      <c r="G80" s="224">
        <v>27.9</v>
      </c>
      <c r="H80" s="224">
        <v>28.5</v>
      </c>
    </row>
    <row r="81" spans="1:11">
      <c r="A81" s="226" t="s">
        <v>438</v>
      </c>
      <c r="B81" s="226"/>
      <c r="C81" s="226"/>
      <c r="D81" s="229">
        <v>25.5</v>
      </c>
      <c r="E81" s="229">
        <v>26.5</v>
      </c>
      <c r="F81" s="229">
        <v>26.3</v>
      </c>
      <c r="G81" s="229">
        <v>26.5</v>
      </c>
      <c r="H81" s="229">
        <v>26.6</v>
      </c>
    </row>
    <row r="83" spans="1:11">
      <c r="A83" s="279" t="s">
        <v>448</v>
      </c>
      <c r="B83" s="279"/>
      <c r="C83" s="279"/>
      <c r="D83" s="279"/>
      <c r="E83" s="279"/>
      <c r="F83" s="279"/>
      <c r="G83" s="279"/>
      <c r="H83" s="279"/>
      <c r="I83" s="279"/>
      <c r="J83" s="279"/>
      <c r="K83" s="279"/>
    </row>
    <row r="84" spans="1:11">
      <c r="A84" s="224" t="s">
        <v>435</v>
      </c>
      <c r="B84" s="224"/>
      <c r="C84" s="224"/>
      <c r="D84" s="225">
        <v>14</v>
      </c>
      <c r="E84" s="225">
        <v>16</v>
      </c>
      <c r="F84" s="225">
        <v>16</v>
      </c>
      <c r="G84" s="225">
        <v>16</v>
      </c>
      <c r="H84" s="225">
        <v>16</v>
      </c>
    </row>
    <row r="85" spans="1:11">
      <c r="A85" s="226" t="s">
        <v>436</v>
      </c>
      <c r="B85" s="226"/>
      <c r="C85" s="226"/>
      <c r="D85" s="227">
        <v>-63</v>
      </c>
      <c r="E85" s="227">
        <v>-247</v>
      </c>
      <c r="F85" s="227">
        <v>-212</v>
      </c>
      <c r="G85" s="227">
        <v>-119</v>
      </c>
      <c r="H85" s="227">
        <v>-19</v>
      </c>
    </row>
    <row r="86" spans="1:11">
      <c r="A86" s="228" t="s">
        <v>437</v>
      </c>
      <c r="B86" s="224">
        <v>-117</v>
      </c>
      <c r="C86" s="224">
        <v>-399</v>
      </c>
      <c r="D86" s="224">
        <v>-100</v>
      </c>
      <c r="E86" s="224">
        <v>-368</v>
      </c>
      <c r="F86" s="224">
        <v>-338</v>
      </c>
      <c r="G86" s="224">
        <v>-305</v>
      </c>
      <c r="H86" s="224">
        <v>-271</v>
      </c>
    </row>
    <row r="87" spans="1:11">
      <c r="A87" s="226" t="s">
        <v>438</v>
      </c>
      <c r="B87" s="226"/>
      <c r="C87" s="226"/>
      <c r="D87" s="227">
        <v>-165</v>
      </c>
      <c r="E87" s="227">
        <v>-665</v>
      </c>
      <c r="F87" s="227">
        <v>-647</v>
      </c>
      <c r="G87" s="227">
        <v>-665</v>
      </c>
      <c r="H87" s="227">
        <v>-688</v>
      </c>
    </row>
    <row r="89" spans="1:11">
      <c r="A89" s="279" t="s">
        <v>449</v>
      </c>
      <c r="B89" s="279"/>
      <c r="C89" s="279"/>
      <c r="D89" s="279"/>
      <c r="E89" s="279"/>
      <c r="F89" s="279"/>
      <c r="G89" s="279"/>
      <c r="H89" s="279"/>
      <c r="I89" s="279"/>
      <c r="J89" s="279"/>
      <c r="K89" s="279"/>
    </row>
    <row r="90" spans="1:11">
      <c r="A90" s="224" t="s">
        <v>435</v>
      </c>
      <c r="B90" s="224"/>
      <c r="C90" s="224"/>
      <c r="D90" s="225">
        <v>14</v>
      </c>
      <c r="E90" s="225">
        <v>16</v>
      </c>
      <c r="F90" s="225">
        <v>16</v>
      </c>
      <c r="G90" s="225">
        <v>16</v>
      </c>
      <c r="H90" s="225">
        <v>16</v>
      </c>
    </row>
    <row r="91" spans="1:11">
      <c r="A91" s="226" t="s">
        <v>436</v>
      </c>
      <c r="B91" s="226"/>
      <c r="C91" s="226"/>
      <c r="D91" s="229">
        <v>-22.3</v>
      </c>
      <c r="E91" s="229">
        <v>-23.5</v>
      </c>
      <c r="F91" s="229">
        <v>-23.4</v>
      </c>
      <c r="G91" s="229">
        <v>-23.9</v>
      </c>
      <c r="H91" s="229">
        <v>-23.8</v>
      </c>
    </row>
    <row r="92" spans="1:11">
      <c r="A92" s="228" t="s">
        <v>437</v>
      </c>
      <c r="B92" s="224">
        <v>-22.6</v>
      </c>
      <c r="C92" s="224">
        <v>-23.3</v>
      </c>
      <c r="D92" s="224">
        <v>-24.1</v>
      </c>
      <c r="E92" s="224">
        <v>-24.3</v>
      </c>
      <c r="F92" s="224">
        <v>-24.5</v>
      </c>
      <c r="G92" s="224">
        <v>-24.7</v>
      </c>
      <c r="H92" s="224">
        <v>-24.8</v>
      </c>
    </row>
    <row r="93" spans="1:11">
      <c r="A93" s="226" t="s">
        <v>438</v>
      </c>
      <c r="B93" s="226"/>
      <c r="C93" s="226"/>
      <c r="D93" s="229">
        <v>-24.7</v>
      </c>
      <c r="E93" s="229">
        <v>-25</v>
      </c>
      <c r="F93" s="229">
        <v>-25.3</v>
      </c>
      <c r="G93" s="229">
        <v>-25.5</v>
      </c>
      <c r="H93" s="229">
        <v>-26</v>
      </c>
    </row>
    <row r="95" spans="1:11">
      <c r="A95" s="279" t="s">
        <v>450</v>
      </c>
      <c r="B95" s="279"/>
      <c r="C95" s="279"/>
      <c r="D95" s="279"/>
      <c r="E95" s="279"/>
      <c r="F95" s="279"/>
      <c r="G95" s="279"/>
      <c r="H95" s="279"/>
      <c r="I95" s="279"/>
      <c r="J95" s="279"/>
      <c r="K95" s="279"/>
    </row>
    <row r="96" spans="1:11">
      <c r="A96" s="224" t="s">
        <v>435</v>
      </c>
      <c r="B96" s="224"/>
      <c r="C96" s="224"/>
      <c r="D96" s="225">
        <v>14</v>
      </c>
      <c r="E96" s="225">
        <v>17</v>
      </c>
      <c r="F96" s="225">
        <v>17</v>
      </c>
      <c r="G96" s="225">
        <v>17</v>
      </c>
      <c r="H96" s="225">
        <v>17</v>
      </c>
    </row>
    <row r="97" spans="1:11">
      <c r="A97" s="226" t="s">
        <v>436</v>
      </c>
      <c r="B97" s="226"/>
      <c r="C97" s="226"/>
      <c r="D97" s="227">
        <v>1656</v>
      </c>
      <c r="E97" s="227">
        <v>7428</v>
      </c>
      <c r="F97" s="227">
        <v>7769</v>
      </c>
      <c r="G97" s="227">
        <v>8568</v>
      </c>
      <c r="H97" s="227">
        <v>9563</v>
      </c>
    </row>
    <row r="98" spans="1:11">
      <c r="A98" s="228" t="s">
        <v>437</v>
      </c>
      <c r="B98" s="224">
        <v>1722</v>
      </c>
      <c r="C98" s="224">
        <v>7308</v>
      </c>
      <c r="D98" s="224">
        <v>1596</v>
      </c>
      <c r="E98" s="224">
        <v>7169</v>
      </c>
      <c r="F98" s="224">
        <v>7461</v>
      </c>
      <c r="G98" s="224">
        <v>8006</v>
      </c>
      <c r="H98" s="224">
        <v>8592</v>
      </c>
    </row>
    <row r="99" spans="1:11">
      <c r="A99" s="226" t="s">
        <v>438</v>
      </c>
      <c r="B99" s="226"/>
      <c r="C99" s="226"/>
      <c r="D99" s="227">
        <v>1519</v>
      </c>
      <c r="E99" s="227">
        <v>6903</v>
      </c>
      <c r="F99" s="227">
        <v>6920</v>
      </c>
      <c r="G99" s="227">
        <v>7090</v>
      </c>
      <c r="H99" s="227">
        <v>7270</v>
      </c>
    </row>
    <row r="101" spans="1:11">
      <c r="A101" s="279" t="s">
        <v>451</v>
      </c>
      <c r="B101" s="279"/>
      <c r="C101" s="279"/>
      <c r="D101" s="279"/>
      <c r="E101" s="279"/>
      <c r="F101" s="279"/>
      <c r="G101" s="279"/>
      <c r="H101" s="279"/>
      <c r="I101" s="279"/>
      <c r="J101" s="279"/>
      <c r="K101" s="279"/>
    </row>
    <row r="102" spans="1:11">
      <c r="A102" s="224" t="s">
        <v>435</v>
      </c>
      <c r="B102" s="224"/>
      <c r="C102" s="224"/>
      <c r="D102" s="225">
        <v>14</v>
      </c>
      <c r="E102" s="225">
        <v>17</v>
      </c>
      <c r="F102" s="225">
        <v>17</v>
      </c>
      <c r="G102" s="225">
        <v>17</v>
      </c>
      <c r="H102" s="225">
        <v>17</v>
      </c>
    </row>
    <row r="103" spans="1:11">
      <c r="A103" s="226" t="s">
        <v>436</v>
      </c>
      <c r="B103" s="226"/>
      <c r="C103" s="226"/>
      <c r="D103" s="229">
        <v>19.600000000000001</v>
      </c>
      <c r="E103" s="229">
        <v>20.2</v>
      </c>
      <c r="F103" s="229">
        <v>22</v>
      </c>
      <c r="G103" s="229">
        <v>23.3</v>
      </c>
      <c r="H103" s="229">
        <v>24.2</v>
      </c>
    </row>
    <row r="104" spans="1:11">
      <c r="A104" s="228" t="s">
        <v>437</v>
      </c>
      <c r="B104" s="224">
        <v>22.1</v>
      </c>
      <c r="C104" s="224">
        <v>21.6</v>
      </c>
      <c r="D104" s="224">
        <v>19</v>
      </c>
      <c r="E104" s="224">
        <v>19.8</v>
      </c>
      <c r="F104" s="224">
        <v>20.100000000000001</v>
      </c>
      <c r="G104" s="224">
        <v>20.7</v>
      </c>
      <c r="H104" s="224">
        <v>21.2</v>
      </c>
    </row>
    <row r="105" spans="1:11">
      <c r="A105" s="226" t="s">
        <v>438</v>
      </c>
      <c r="B105" s="226"/>
      <c r="C105" s="226"/>
      <c r="D105" s="229">
        <v>18</v>
      </c>
      <c r="E105" s="229">
        <v>19.600000000000001</v>
      </c>
      <c r="F105" s="229">
        <v>19.2</v>
      </c>
      <c r="G105" s="229">
        <v>19.399999999999999</v>
      </c>
      <c r="H105" s="229">
        <v>19.399999999999999</v>
      </c>
    </row>
    <row r="107" spans="1:11">
      <c r="A107" s="279" t="s">
        <v>452</v>
      </c>
      <c r="B107" s="279"/>
      <c r="C107" s="279"/>
      <c r="D107" s="279"/>
      <c r="E107" s="279"/>
      <c r="F107" s="279"/>
      <c r="G107" s="279"/>
      <c r="H107" s="279"/>
      <c r="I107" s="279"/>
      <c r="J107" s="279"/>
      <c r="K107" s="279"/>
    </row>
    <row r="108" spans="1:11">
      <c r="A108" s="224" t="s">
        <v>435</v>
      </c>
      <c r="B108" s="224"/>
      <c r="C108" s="224"/>
      <c r="D108" s="225">
        <v>13</v>
      </c>
      <c r="E108" s="225">
        <v>17</v>
      </c>
      <c r="F108" s="225">
        <v>17</v>
      </c>
      <c r="G108" s="225">
        <v>16</v>
      </c>
      <c r="H108" s="225">
        <v>14</v>
      </c>
    </row>
    <row r="109" spans="1:11">
      <c r="A109" s="226" t="s">
        <v>436</v>
      </c>
      <c r="B109" s="226"/>
      <c r="C109" s="226"/>
      <c r="D109" s="227">
        <v>1275</v>
      </c>
      <c r="E109" s="227">
        <v>1275</v>
      </c>
      <c r="F109" s="227">
        <v>1282</v>
      </c>
      <c r="G109" s="227">
        <v>1254</v>
      </c>
      <c r="H109" s="227">
        <v>1282</v>
      </c>
    </row>
    <row r="110" spans="1:11">
      <c r="A110" s="228" t="s">
        <v>437</v>
      </c>
      <c r="B110" s="224">
        <v>1288</v>
      </c>
      <c r="C110" s="224">
        <v>1287</v>
      </c>
      <c r="D110" s="224">
        <v>1265</v>
      </c>
      <c r="E110" s="224">
        <v>1251</v>
      </c>
      <c r="F110" s="224">
        <v>1239</v>
      </c>
      <c r="G110" s="224">
        <v>1230</v>
      </c>
      <c r="H110" s="224">
        <v>1225</v>
      </c>
    </row>
    <row r="111" spans="1:11">
      <c r="A111" s="226" t="s">
        <v>438</v>
      </c>
      <c r="B111" s="226"/>
      <c r="C111" s="226"/>
      <c r="D111" s="227">
        <v>1262</v>
      </c>
      <c r="E111" s="227">
        <v>1230</v>
      </c>
      <c r="F111" s="227">
        <v>1212</v>
      </c>
      <c r="G111" s="227">
        <v>1194</v>
      </c>
      <c r="H111" s="227">
        <v>1176</v>
      </c>
    </row>
    <row r="113" spans="1:11">
      <c r="A113" s="279" t="s">
        <v>453</v>
      </c>
      <c r="B113" s="279"/>
      <c r="C113" s="279"/>
      <c r="D113" s="279"/>
      <c r="E113" s="279"/>
      <c r="F113" s="279"/>
      <c r="G113" s="279"/>
      <c r="H113" s="279"/>
      <c r="I113" s="279"/>
      <c r="J113" s="279"/>
      <c r="K113" s="279"/>
    </row>
    <row r="114" spans="1:11">
      <c r="A114" s="224" t="s">
        <v>435</v>
      </c>
      <c r="B114" s="224"/>
      <c r="C114" s="224"/>
      <c r="D114" s="225">
        <v>14</v>
      </c>
      <c r="E114" s="225">
        <v>20</v>
      </c>
      <c r="F114" s="225">
        <v>20</v>
      </c>
      <c r="G114" s="225">
        <v>19</v>
      </c>
      <c r="H114" s="225">
        <v>17</v>
      </c>
    </row>
    <row r="115" spans="1:11">
      <c r="A115" s="226" t="s">
        <v>436</v>
      </c>
      <c r="B115" s="226"/>
      <c r="C115" s="226"/>
      <c r="D115" s="230">
        <v>1.31</v>
      </c>
      <c r="E115" s="230">
        <v>5.89</v>
      </c>
      <c r="F115" s="230">
        <v>6.21</v>
      </c>
      <c r="G115" s="230">
        <v>6.98</v>
      </c>
      <c r="H115" s="230">
        <v>7.97</v>
      </c>
    </row>
    <row r="116" spans="1:11">
      <c r="A116" s="228" t="s">
        <v>437</v>
      </c>
      <c r="B116" s="224">
        <v>1.34</v>
      </c>
      <c r="C116" s="224">
        <v>5.68</v>
      </c>
      <c r="D116" s="224">
        <v>1.26</v>
      </c>
      <c r="E116" s="224">
        <v>5.72</v>
      </c>
      <c r="F116" s="224">
        <v>6.03</v>
      </c>
      <c r="G116" s="224">
        <v>6.52</v>
      </c>
      <c r="H116" s="224">
        <v>7.06</v>
      </c>
    </row>
    <row r="117" spans="1:11">
      <c r="A117" s="226" t="s">
        <v>438</v>
      </c>
      <c r="B117" s="226"/>
      <c r="C117" s="226"/>
      <c r="D117" s="230">
        <v>1.2</v>
      </c>
      <c r="E117" s="230">
        <v>5.53</v>
      </c>
      <c r="F117" s="230">
        <v>5.6</v>
      </c>
      <c r="G117" s="230">
        <v>5.74</v>
      </c>
      <c r="H117" s="230">
        <v>5.88</v>
      </c>
    </row>
    <row r="119" spans="1:11">
      <c r="A119" s="279" t="s">
        <v>454</v>
      </c>
      <c r="B119" s="279"/>
      <c r="C119" s="279"/>
      <c r="D119" s="279"/>
      <c r="E119" s="279"/>
      <c r="F119" s="279"/>
      <c r="G119" s="279"/>
      <c r="H119" s="279"/>
      <c r="I119" s="279"/>
      <c r="J119" s="279"/>
      <c r="K119" s="279"/>
    </row>
    <row r="120" spans="1:11">
      <c r="A120" s="224" t="s">
        <v>435</v>
      </c>
      <c r="B120" s="224"/>
      <c r="C120" s="224"/>
      <c r="D120" s="224" t="s">
        <v>21</v>
      </c>
      <c r="E120" s="225">
        <v>13</v>
      </c>
      <c r="F120" s="225">
        <v>13</v>
      </c>
      <c r="G120" s="225">
        <v>12</v>
      </c>
      <c r="H120" s="225">
        <v>11</v>
      </c>
    </row>
    <row r="121" spans="1:11">
      <c r="A121" s="226" t="s">
        <v>436</v>
      </c>
      <c r="B121" s="226"/>
      <c r="C121" s="226"/>
      <c r="D121" s="226" t="s">
        <v>21</v>
      </c>
      <c r="E121" s="230">
        <v>3.26</v>
      </c>
      <c r="F121" s="230">
        <v>3.44</v>
      </c>
      <c r="G121" s="230">
        <v>3.69</v>
      </c>
      <c r="H121" s="230">
        <v>3.93</v>
      </c>
    </row>
    <row r="122" spans="1:11">
      <c r="A122" s="228" t="s">
        <v>437</v>
      </c>
      <c r="B122" s="228" t="s">
        <v>21</v>
      </c>
      <c r="C122" s="224">
        <v>2.96</v>
      </c>
      <c r="D122" s="228" t="s">
        <v>21</v>
      </c>
      <c r="E122" s="224">
        <v>3.05</v>
      </c>
      <c r="F122" s="224">
        <v>3.18</v>
      </c>
      <c r="G122" s="224">
        <v>3.42</v>
      </c>
      <c r="H122" s="224">
        <v>3.41</v>
      </c>
    </row>
    <row r="123" spans="1:11">
      <c r="A123" s="226" t="s">
        <v>438</v>
      </c>
      <c r="B123" s="226"/>
      <c r="C123" s="226"/>
      <c r="D123" s="226" t="s">
        <v>21</v>
      </c>
      <c r="E123" s="230">
        <v>2.9</v>
      </c>
      <c r="F123" s="230">
        <v>3</v>
      </c>
      <c r="G123" s="230">
        <v>3.15</v>
      </c>
      <c r="H123" s="230">
        <v>0.7</v>
      </c>
    </row>
    <row r="124" spans="1:11">
      <c r="A124" s="220"/>
    </row>
    <row r="125" spans="1:11">
      <c r="A125" s="220"/>
    </row>
    <row r="126" spans="1:11">
      <c r="A126" s="281" t="s">
        <v>455</v>
      </c>
      <c r="B126" s="281"/>
      <c r="C126" s="281"/>
      <c r="D126" s="281"/>
      <c r="E126" s="281"/>
      <c r="F126" s="281"/>
      <c r="G126" s="281"/>
      <c r="H126" s="281"/>
      <c r="I126" s="281"/>
      <c r="J126" s="281"/>
      <c r="K126" s="281"/>
    </row>
    <row r="127" spans="1:11">
      <c r="A127" s="220"/>
    </row>
    <row r="128" spans="1:11">
      <c r="A128" s="222"/>
    </row>
    <row r="129" spans="1:11" ht="18" customHeight="1">
      <c r="A129" s="282" t="s">
        <v>431</v>
      </c>
      <c r="B129" s="282"/>
      <c r="C129" s="282"/>
      <c r="D129" s="282"/>
      <c r="E129" s="282"/>
      <c r="F129" s="282"/>
      <c r="G129" s="282"/>
      <c r="H129" s="282"/>
      <c r="I129" s="282"/>
      <c r="J129" s="282"/>
      <c r="K129" s="282"/>
    </row>
    <row r="130" spans="1:11">
      <c r="A130" s="222"/>
    </row>
    <row r="131" spans="1:11">
      <c r="A131" s="280"/>
      <c r="B131" s="280"/>
      <c r="C131" s="280"/>
      <c r="D131" s="280"/>
      <c r="E131" s="280"/>
      <c r="F131" s="280"/>
      <c r="G131" s="280"/>
      <c r="H131" s="280"/>
      <c r="I131" s="280"/>
      <c r="J131" s="280"/>
      <c r="K131" s="280"/>
    </row>
    <row r="133" spans="1:11">
      <c r="A133" s="223" t="s">
        <v>456</v>
      </c>
      <c r="B133" s="223" t="s">
        <v>432</v>
      </c>
      <c r="C133" s="223" t="s">
        <v>328</v>
      </c>
      <c r="D133" s="223" t="s">
        <v>433</v>
      </c>
      <c r="E133" s="223" t="s">
        <v>329</v>
      </c>
      <c r="F133" s="223" t="s">
        <v>330</v>
      </c>
      <c r="G133" s="223" t="s">
        <v>331</v>
      </c>
      <c r="H133" s="223" t="s">
        <v>332</v>
      </c>
    </row>
    <row r="135" spans="1:11">
      <c r="A135" s="279" t="s">
        <v>236</v>
      </c>
      <c r="B135" s="279"/>
      <c r="C135" s="279"/>
      <c r="D135" s="279"/>
      <c r="E135" s="279"/>
      <c r="F135" s="279"/>
      <c r="G135" s="279"/>
      <c r="H135" s="279"/>
      <c r="I135" s="279"/>
      <c r="J135" s="279"/>
      <c r="K135" s="279"/>
    </row>
    <row r="136" spans="1:11">
      <c r="A136" s="224" t="s">
        <v>435</v>
      </c>
      <c r="B136" s="224"/>
      <c r="C136" s="224"/>
      <c r="D136" s="225">
        <v>13</v>
      </c>
      <c r="E136" s="225">
        <v>19</v>
      </c>
      <c r="F136" s="225">
        <v>19</v>
      </c>
      <c r="G136" s="225">
        <v>19</v>
      </c>
      <c r="H136" s="225">
        <v>19</v>
      </c>
    </row>
    <row r="137" spans="1:11">
      <c r="A137" s="226" t="s">
        <v>436</v>
      </c>
      <c r="B137" s="226"/>
      <c r="C137" s="226"/>
      <c r="D137" s="227">
        <v>7871</v>
      </c>
      <c r="E137" s="227">
        <v>31804</v>
      </c>
      <c r="F137" s="227">
        <v>32939</v>
      </c>
      <c r="G137" s="227">
        <v>35225</v>
      </c>
      <c r="H137" s="227">
        <v>38252</v>
      </c>
    </row>
    <row r="138" spans="1:11">
      <c r="A138" s="228" t="s">
        <v>437</v>
      </c>
      <c r="B138" s="224">
        <v>7158</v>
      </c>
      <c r="C138" s="224">
        <v>29244</v>
      </c>
      <c r="D138" s="224">
        <v>7670</v>
      </c>
      <c r="E138" s="224">
        <v>30886</v>
      </c>
      <c r="F138" s="224">
        <v>31591</v>
      </c>
      <c r="G138" s="224">
        <v>32846</v>
      </c>
      <c r="H138" s="224">
        <v>34417</v>
      </c>
    </row>
    <row r="139" spans="1:11">
      <c r="A139" s="226" t="s">
        <v>438</v>
      </c>
      <c r="B139" s="226"/>
      <c r="C139" s="226"/>
      <c r="D139" s="227">
        <v>7526</v>
      </c>
      <c r="E139" s="227">
        <v>29192</v>
      </c>
      <c r="F139" s="227">
        <v>29650</v>
      </c>
      <c r="G139" s="227">
        <v>30713</v>
      </c>
      <c r="H139" s="227">
        <v>31861</v>
      </c>
    </row>
    <row r="141" spans="1:11">
      <c r="A141" s="279" t="s">
        <v>241</v>
      </c>
      <c r="B141" s="279"/>
      <c r="C141" s="279"/>
      <c r="D141" s="279"/>
      <c r="E141" s="279"/>
      <c r="F141" s="279"/>
      <c r="G141" s="279"/>
      <c r="H141" s="279"/>
      <c r="I141" s="279"/>
      <c r="J141" s="279"/>
      <c r="K141" s="279"/>
    </row>
    <row r="142" spans="1:11">
      <c r="A142" s="224" t="s">
        <v>435</v>
      </c>
      <c r="B142" s="224"/>
      <c r="C142" s="224"/>
      <c r="D142" s="225">
        <v>13</v>
      </c>
      <c r="E142" s="225">
        <v>21</v>
      </c>
      <c r="F142" s="225">
        <v>21</v>
      </c>
      <c r="G142" s="225">
        <v>21</v>
      </c>
      <c r="H142" s="225">
        <v>21</v>
      </c>
    </row>
    <row r="143" spans="1:11">
      <c r="A143" s="226" t="s">
        <v>436</v>
      </c>
      <c r="B143" s="226"/>
      <c r="C143" s="226"/>
      <c r="D143" s="227">
        <v>766</v>
      </c>
      <c r="E143" s="227">
        <v>5718</v>
      </c>
      <c r="F143" s="227">
        <v>6357</v>
      </c>
      <c r="G143" s="227">
        <v>6892</v>
      </c>
      <c r="H143" s="227">
        <v>7376</v>
      </c>
    </row>
    <row r="144" spans="1:11">
      <c r="A144" s="228" t="s">
        <v>437</v>
      </c>
      <c r="B144" s="224">
        <v>625</v>
      </c>
      <c r="C144" s="224">
        <v>4577</v>
      </c>
      <c r="D144" s="224">
        <v>725</v>
      </c>
      <c r="E144" s="224">
        <v>5123</v>
      </c>
      <c r="F144" s="224">
        <v>5532</v>
      </c>
      <c r="G144" s="224">
        <v>5946</v>
      </c>
      <c r="H144" s="224">
        <v>6332</v>
      </c>
    </row>
    <row r="145" spans="1:11">
      <c r="A145" s="226" t="s">
        <v>438</v>
      </c>
      <c r="B145" s="226"/>
      <c r="C145" s="226"/>
      <c r="D145" s="227">
        <v>693</v>
      </c>
      <c r="E145" s="227">
        <v>4658</v>
      </c>
      <c r="F145" s="227">
        <v>4930</v>
      </c>
      <c r="G145" s="227">
        <v>5262</v>
      </c>
      <c r="H145" s="227">
        <v>5514</v>
      </c>
    </row>
    <row r="146" spans="1:11">
      <c r="A146" s="222"/>
    </row>
    <row r="147" spans="1:11">
      <c r="A147" s="279" t="s">
        <v>431</v>
      </c>
      <c r="B147" s="279"/>
      <c r="C147" s="279"/>
      <c r="D147" s="279"/>
      <c r="E147" s="279"/>
      <c r="F147" s="279"/>
      <c r="G147" s="279"/>
      <c r="H147" s="279"/>
      <c r="I147" s="279"/>
      <c r="J147" s="279"/>
      <c r="K147" s="279"/>
    </row>
    <row r="148" spans="1:11">
      <c r="A148" s="279" t="s">
        <v>457</v>
      </c>
      <c r="B148" s="279"/>
      <c r="C148" s="279"/>
      <c r="D148" s="279"/>
      <c r="E148" s="279"/>
      <c r="F148" s="279"/>
      <c r="G148" s="279"/>
      <c r="H148" s="279"/>
      <c r="I148" s="279"/>
      <c r="J148" s="279"/>
      <c r="K148" s="279"/>
    </row>
    <row r="149" spans="1:11">
      <c r="A149" s="220"/>
    </row>
    <row r="150" spans="1:11">
      <c r="A150" s="220"/>
    </row>
    <row r="151" spans="1:11">
      <c r="A151" s="281" t="s">
        <v>458</v>
      </c>
      <c r="B151" s="281"/>
      <c r="C151" s="281"/>
      <c r="D151" s="281"/>
      <c r="E151" s="281"/>
      <c r="F151" s="281"/>
      <c r="G151" s="281"/>
      <c r="H151" s="281"/>
      <c r="I151" s="281"/>
      <c r="J151" s="281"/>
      <c r="K151" s="281"/>
    </row>
    <row r="152" spans="1:11">
      <c r="A152" s="220"/>
    </row>
    <row r="153" spans="1:11">
      <c r="A153" s="222"/>
    </row>
    <row r="154" spans="1:11" ht="18" customHeight="1">
      <c r="A154" s="282" t="s">
        <v>431</v>
      </c>
      <c r="B154" s="282"/>
      <c r="C154" s="282"/>
      <c r="D154" s="282"/>
      <c r="E154" s="282"/>
      <c r="F154" s="282"/>
      <c r="G154" s="282"/>
      <c r="H154" s="282"/>
      <c r="I154" s="282"/>
      <c r="J154" s="282"/>
      <c r="K154" s="282"/>
    </row>
    <row r="155" spans="1:11">
      <c r="A155" s="222"/>
    </row>
    <row r="156" spans="1:11">
      <c r="A156" s="280"/>
      <c r="B156" s="280"/>
      <c r="C156" s="280"/>
      <c r="D156" s="280"/>
      <c r="E156" s="280"/>
      <c r="F156" s="280"/>
      <c r="G156" s="280"/>
      <c r="H156" s="280"/>
      <c r="I156" s="280"/>
      <c r="J156" s="280"/>
      <c r="K156" s="280"/>
    </row>
    <row r="158" spans="1:11">
      <c r="A158" s="223" t="s">
        <v>459</v>
      </c>
      <c r="B158" s="223" t="s">
        <v>432</v>
      </c>
      <c r="C158" s="223" t="s">
        <v>328</v>
      </c>
      <c r="D158" s="223" t="s">
        <v>433</v>
      </c>
      <c r="E158" s="223" t="s">
        <v>329</v>
      </c>
      <c r="F158" s="223" t="s">
        <v>330</v>
      </c>
      <c r="G158" s="223" t="s">
        <v>331</v>
      </c>
      <c r="H158" s="223" t="s">
        <v>332</v>
      </c>
    </row>
    <row r="160" spans="1:11">
      <c r="A160" s="279" t="s">
        <v>460</v>
      </c>
      <c r="B160" s="279"/>
      <c r="C160" s="279"/>
      <c r="D160" s="279"/>
      <c r="E160" s="279"/>
      <c r="F160" s="279"/>
      <c r="G160" s="279"/>
      <c r="H160" s="279"/>
      <c r="I160" s="279"/>
      <c r="J160" s="279"/>
      <c r="K160" s="279"/>
    </row>
    <row r="161" spans="1:11">
      <c r="A161" s="224" t="s">
        <v>435</v>
      </c>
      <c r="B161" s="224"/>
      <c r="C161" s="224"/>
      <c r="D161" s="225">
        <v>9</v>
      </c>
      <c r="E161" s="225">
        <v>17</v>
      </c>
      <c r="F161" s="225">
        <v>17</v>
      </c>
      <c r="G161" s="225">
        <v>17</v>
      </c>
      <c r="H161" s="225">
        <v>17</v>
      </c>
    </row>
    <row r="162" spans="1:11">
      <c r="A162" s="226" t="s">
        <v>436</v>
      </c>
      <c r="B162" s="226"/>
      <c r="C162" s="226"/>
      <c r="D162" s="227">
        <v>750</v>
      </c>
      <c r="E162" s="227">
        <v>3239</v>
      </c>
      <c r="F162" s="227">
        <v>3934</v>
      </c>
      <c r="G162" s="227">
        <v>4636</v>
      </c>
      <c r="H162" s="227">
        <v>5297</v>
      </c>
    </row>
    <row r="163" spans="1:11">
      <c r="A163" s="228" t="s">
        <v>437</v>
      </c>
      <c r="B163" s="224">
        <v>646</v>
      </c>
      <c r="C163" s="224">
        <v>2777</v>
      </c>
      <c r="D163" s="224">
        <v>723</v>
      </c>
      <c r="E163" s="224">
        <v>3067</v>
      </c>
      <c r="F163" s="224">
        <v>3331</v>
      </c>
      <c r="G163" s="224">
        <v>3627</v>
      </c>
      <c r="H163" s="224">
        <v>3915</v>
      </c>
    </row>
    <row r="164" spans="1:11">
      <c r="A164" s="226" t="s">
        <v>438</v>
      </c>
      <c r="B164" s="226"/>
      <c r="C164" s="226"/>
      <c r="D164" s="227">
        <v>690</v>
      </c>
      <c r="E164" s="227">
        <v>2858</v>
      </c>
      <c r="F164" s="227">
        <v>3108</v>
      </c>
      <c r="G164" s="227">
        <v>3304</v>
      </c>
      <c r="H164" s="227">
        <v>3336</v>
      </c>
    </row>
    <row r="166" spans="1:11">
      <c r="A166" s="279" t="s">
        <v>196</v>
      </c>
      <c r="B166" s="279"/>
      <c r="C166" s="279"/>
      <c r="D166" s="279"/>
      <c r="E166" s="279"/>
      <c r="F166" s="279"/>
      <c r="G166" s="279"/>
      <c r="H166" s="279"/>
      <c r="I166" s="279"/>
      <c r="J166" s="279"/>
      <c r="K166" s="279"/>
    </row>
    <row r="167" spans="1:11">
      <c r="A167" s="224" t="s">
        <v>435</v>
      </c>
      <c r="B167" s="224"/>
      <c r="C167" s="224"/>
      <c r="D167" s="225">
        <v>12</v>
      </c>
      <c r="E167" s="225">
        <v>19</v>
      </c>
      <c r="F167" s="225">
        <v>19</v>
      </c>
      <c r="G167" s="225">
        <v>19</v>
      </c>
      <c r="H167" s="225">
        <v>19</v>
      </c>
    </row>
    <row r="168" spans="1:11">
      <c r="A168" s="226" t="s">
        <v>436</v>
      </c>
      <c r="B168" s="226"/>
      <c r="C168" s="226"/>
      <c r="D168" s="227">
        <v>201</v>
      </c>
      <c r="E168" s="227">
        <v>812</v>
      </c>
      <c r="F168" s="227">
        <v>855</v>
      </c>
      <c r="G168" s="227">
        <v>925</v>
      </c>
      <c r="H168" s="227">
        <v>995</v>
      </c>
    </row>
    <row r="169" spans="1:11">
      <c r="A169" s="228" t="s">
        <v>437</v>
      </c>
      <c r="B169" s="224">
        <v>182</v>
      </c>
      <c r="C169" s="224">
        <v>748</v>
      </c>
      <c r="D169" s="224">
        <v>192</v>
      </c>
      <c r="E169" s="224">
        <v>773</v>
      </c>
      <c r="F169" s="224">
        <v>783</v>
      </c>
      <c r="G169" s="224">
        <v>796</v>
      </c>
      <c r="H169" s="224">
        <v>804</v>
      </c>
    </row>
    <row r="170" spans="1:11">
      <c r="A170" s="226" t="s">
        <v>438</v>
      </c>
      <c r="B170" s="226"/>
      <c r="C170" s="226"/>
      <c r="D170" s="227">
        <v>182</v>
      </c>
      <c r="E170" s="227">
        <v>735</v>
      </c>
      <c r="F170" s="227">
        <v>720</v>
      </c>
      <c r="G170" s="227">
        <v>700</v>
      </c>
      <c r="H170" s="227">
        <v>650</v>
      </c>
    </row>
    <row r="172" spans="1:11">
      <c r="A172" s="279" t="s">
        <v>197</v>
      </c>
      <c r="B172" s="279"/>
      <c r="C172" s="279"/>
      <c r="D172" s="279"/>
      <c r="E172" s="279"/>
      <c r="F172" s="279"/>
      <c r="G172" s="279"/>
      <c r="H172" s="279"/>
      <c r="I172" s="279"/>
      <c r="J172" s="279"/>
      <c r="K172" s="279"/>
    </row>
    <row r="173" spans="1:11">
      <c r="A173" s="224" t="s">
        <v>435</v>
      </c>
      <c r="B173" s="224"/>
      <c r="C173" s="224"/>
      <c r="D173" s="225">
        <v>10</v>
      </c>
      <c r="E173" s="225">
        <v>19</v>
      </c>
      <c r="F173" s="225">
        <v>19</v>
      </c>
      <c r="G173" s="225">
        <v>19</v>
      </c>
      <c r="H173" s="225">
        <v>19</v>
      </c>
    </row>
    <row r="174" spans="1:11">
      <c r="A174" s="226" t="s">
        <v>436</v>
      </c>
      <c r="B174" s="226"/>
      <c r="C174" s="226"/>
      <c r="D174" s="227">
        <v>43</v>
      </c>
      <c r="E174" s="227">
        <v>240</v>
      </c>
      <c r="F174" s="227">
        <v>320</v>
      </c>
      <c r="G174" s="227">
        <v>400</v>
      </c>
      <c r="H174" s="227">
        <v>480</v>
      </c>
    </row>
    <row r="175" spans="1:11">
      <c r="A175" s="228" t="s">
        <v>437</v>
      </c>
      <c r="B175" s="224">
        <v>23</v>
      </c>
      <c r="C175" s="224">
        <v>106</v>
      </c>
      <c r="D175" s="224">
        <v>34</v>
      </c>
      <c r="E175" s="224">
        <v>167</v>
      </c>
      <c r="F175" s="224">
        <v>221</v>
      </c>
      <c r="G175" s="224">
        <v>271</v>
      </c>
      <c r="H175" s="224">
        <v>310</v>
      </c>
    </row>
    <row r="176" spans="1:11">
      <c r="A176" s="226" t="s">
        <v>438</v>
      </c>
      <c r="B176" s="226"/>
      <c r="C176" s="226"/>
      <c r="D176" s="227">
        <v>30</v>
      </c>
      <c r="E176" s="227">
        <v>131</v>
      </c>
      <c r="F176" s="227">
        <v>166</v>
      </c>
      <c r="G176" s="227">
        <v>182</v>
      </c>
      <c r="H176" s="227">
        <v>201</v>
      </c>
    </row>
    <row r="178" spans="1:11">
      <c r="A178" s="279" t="s">
        <v>198</v>
      </c>
      <c r="B178" s="279"/>
      <c r="C178" s="279"/>
      <c r="D178" s="279"/>
      <c r="E178" s="279"/>
      <c r="F178" s="279"/>
      <c r="G178" s="279"/>
      <c r="H178" s="279"/>
      <c r="I178" s="279"/>
      <c r="J178" s="279"/>
      <c r="K178" s="279"/>
    </row>
    <row r="179" spans="1:11">
      <c r="A179" s="224" t="s">
        <v>435</v>
      </c>
      <c r="B179" s="224"/>
      <c r="C179" s="224"/>
      <c r="D179" s="225">
        <v>10</v>
      </c>
      <c r="E179" s="225">
        <v>19</v>
      </c>
      <c r="F179" s="225">
        <v>19</v>
      </c>
      <c r="G179" s="225">
        <v>19</v>
      </c>
      <c r="H179" s="225">
        <v>19</v>
      </c>
    </row>
    <row r="180" spans="1:11">
      <c r="A180" s="226" t="s">
        <v>436</v>
      </c>
      <c r="B180" s="226"/>
      <c r="C180" s="226"/>
      <c r="D180" s="227">
        <v>210</v>
      </c>
      <c r="E180" s="227">
        <v>837</v>
      </c>
      <c r="F180" s="227">
        <v>959</v>
      </c>
      <c r="G180" s="227">
        <v>1112</v>
      </c>
      <c r="H180" s="227">
        <v>1305</v>
      </c>
    </row>
    <row r="181" spans="1:11">
      <c r="A181" s="228" t="s">
        <v>437</v>
      </c>
      <c r="B181" s="224">
        <v>166</v>
      </c>
      <c r="C181" s="224">
        <v>725</v>
      </c>
      <c r="D181" s="224">
        <v>188</v>
      </c>
      <c r="E181" s="224">
        <v>795</v>
      </c>
      <c r="F181" s="224">
        <v>860</v>
      </c>
      <c r="G181" s="224">
        <v>917</v>
      </c>
      <c r="H181" s="224">
        <v>970</v>
      </c>
    </row>
    <row r="182" spans="1:11">
      <c r="A182" s="226" t="s">
        <v>438</v>
      </c>
      <c r="B182" s="226"/>
      <c r="C182" s="226"/>
      <c r="D182" s="227">
        <v>166</v>
      </c>
      <c r="E182" s="227">
        <v>693</v>
      </c>
      <c r="F182" s="227">
        <v>804</v>
      </c>
      <c r="G182" s="227">
        <v>829</v>
      </c>
      <c r="H182" s="227">
        <v>847</v>
      </c>
    </row>
    <row r="184" spans="1:11">
      <c r="A184" s="279" t="s">
        <v>199</v>
      </c>
      <c r="B184" s="279"/>
      <c r="C184" s="279"/>
      <c r="D184" s="279"/>
      <c r="E184" s="279"/>
      <c r="F184" s="279"/>
      <c r="G184" s="279"/>
      <c r="H184" s="279"/>
      <c r="I184" s="279"/>
      <c r="J184" s="279"/>
      <c r="K184" s="279"/>
    </row>
    <row r="185" spans="1:11">
      <c r="A185" s="224" t="s">
        <v>435</v>
      </c>
      <c r="B185" s="224"/>
      <c r="C185" s="224"/>
      <c r="D185" s="225">
        <v>11</v>
      </c>
      <c r="E185" s="225">
        <v>19</v>
      </c>
      <c r="F185" s="225">
        <v>19</v>
      </c>
      <c r="G185" s="225">
        <v>19</v>
      </c>
      <c r="H185" s="225">
        <v>19</v>
      </c>
    </row>
    <row r="186" spans="1:11">
      <c r="A186" s="226" t="s">
        <v>436</v>
      </c>
      <c r="B186" s="226"/>
      <c r="C186" s="226"/>
      <c r="D186" s="227">
        <v>195</v>
      </c>
      <c r="E186" s="227">
        <v>809</v>
      </c>
      <c r="F186" s="227">
        <v>910</v>
      </c>
      <c r="G186" s="227">
        <v>1000</v>
      </c>
      <c r="H186" s="227">
        <v>1087</v>
      </c>
    </row>
    <row r="187" spans="1:11">
      <c r="A187" s="228" t="s">
        <v>437</v>
      </c>
      <c r="B187" s="224">
        <v>149</v>
      </c>
      <c r="C187" s="224">
        <v>674</v>
      </c>
      <c r="D187" s="224">
        <v>176</v>
      </c>
      <c r="E187" s="224">
        <v>756</v>
      </c>
      <c r="F187" s="224">
        <v>815</v>
      </c>
      <c r="G187" s="224">
        <v>873</v>
      </c>
      <c r="H187" s="224">
        <v>919</v>
      </c>
    </row>
    <row r="188" spans="1:11">
      <c r="A188" s="226" t="s">
        <v>438</v>
      </c>
      <c r="B188" s="226"/>
      <c r="C188" s="226"/>
      <c r="D188" s="227">
        <v>166</v>
      </c>
      <c r="E188" s="227">
        <v>719</v>
      </c>
      <c r="F188" s="227">
        <v>760</v>
      </c>
      <c r="G188" s="227">
        <v>797</v>
      </c>
      <c r="H188" s="227">
        <v>814</v>
      </c>
    </row>
    <row r="190" spans="1:11">
      <c r="A190" s="279" t="s">
        <v>461</v>
      </c>
      <c r="B190" s="279"/>
      <c r="C190" s="279"/>
      <c r="D190" s="279"/>
      <c r="E190" s="279"/>
      <c r="F190" s="279"/>
      <c r="G190" s="279"/>
      <c r="H190" s="279"/>
      <c r="I190" s="279"/>
      <c r="J190" s="279"/>
      <c r="K190" s="279"/>
    </row>
    <row r="191" spans="1:11">
      <c r="A191" s="224" t="s">
        <v>435</v>
      </c>
      <c r="B191" s="224"/>
      <c r="C191" s="224"/>
      <c r="D191" s="225">
        <v>9</v>
      </c>
      <c r="E191" s="225">
        <v>17</v>
      </c>
      <c r="F191" s="225">
        <v>17</v>
      </c>
      <c r="G191" s="225">
        <v>17</v>
      </c>
      <c r="H191" s="225">
        <v>17</v>
      </c>
    </row>
    <row r="192" spans="1:11">
      <c r="A192" s="226" t="s">
        <v>436</v>
      </c>
      <c r="B192" s="226"/>
      <c r="C192" s="226"/>
      <c r="D192" s="227">
        <v>144</v>
      </c>
      <c r="E192" s="227">
        <v>752</v>
      </c>
      <c r="F192" s="227">
        <v>1330</v>
      </c>
      <c r="G192" s="227">
        <v>1921</v>
      </c>
      <c r="H192" s="227">
        <v>2462</v>
      </c>
    </row>
    <row r="193" spans="1:11">
      <c r="A193" s="228" t="s">
        <v>437</v>
      </c>
      <c r="B193" s="224">
        <v>126</v>
      </c>
      <c r="C193" s="224">
        <v>524</v>
      </c>
      <c r="D193" s="224">
        <v>133</v>
      </c>
      <c r="E193" s="224">
        <v>576</v>
      </c>
      <c r="F193" s="224">
        <v>653</v>
      </c>
      <c r="G193" s="224">
        <v>772</v>
      </c>
      <c r="H193" s="224">
        <v>914</v>
      </c>
    </row>
    <row r="194" spans="1:11">
      <c r="A194" s="226" t="s">
        <v>438</v>
      </c>
      <c r="B194" s="226"/>
      <c r="C194" s="226"/>
      <c r="D194" s="227">
        <v>123</v>
      </c>
      <c r="E194" s="227">
        <v>539</v>
      </c>
      <c r="F194" s="227">
        <v>517</v>
      </c>
      <c r="G194" s="227">
        <v>556</v>
      </c>
      <c r="H194" s="227">
        <v>559</v>
      </c>
    </row>
    <row r="196" spans="1:11">
      <c r="A196" s="279" t="s">
        <v>462</v>
      </c>
      <c r="B196" s="279"/>
      <c r="C196" s="279"/>
      <c r="D196" s="279"/>
      <c r="E196" s="279"/>
      <c r="F196" s="279"/>
      <c r="G196" s="279"/>
      <c r="H196" s="279"/>
      <c r="I196" s="279"/>
      <c r="J196" s="279"/>
      <c r="K196" s="279"/>
    </row>
    <row r="197" spans="1:11">
      <c r="A197" s="224" t="s">
        <v>435</v>
      </c>
      <c r="B197" s="224"/>
      <c r="C197" s="224"/>
      <c r="D197" s="225">
        <v>13</v>
      </c>
      <c r="E197" s="225">
        <v>20</v>
      </c>
      <c r="F197" s="225">
        <v>20</v>
      </c>
      <c r="G197" s="225">
        <v>20</v>
      </c>
      <c r="H197" s="225">
        <v>20</v>
      </c>
    </row>
    <row r="198" spans="1:11">
      <c r="A198" s="226" t="s">
        <v>436</v>
      </c>
      <c r="B198" s="226"/>
      <c r="C198" s="226"/>
      <c r="D198" s="227">
        <v>535</v>
      </c>
      <c r="E198" s="227">
        <v>2469</v>
      </c>
      <c r="F198" s="227">
        <v>2865</v>
      </c>
      <c r="G198" s="227">
        <v>3328</v>
      </c>
      <c r="H198" s="227">
        <v>3683</v>
      </c>
    </row>
    <row r="199" spans="1:11">
      <c r="A199" s="228" t="s">
        <v>437</v>
      </c>
      <c r="B199" s="224">
        <v>367</v>
      </c>
      <c r="C199" s="224">
        <v>1720</v>
      </c>
      <c r="D199" s="224">
        <v>495</v>
      </c>
      <c r="E199" s="224">
        <v>2240</v>
      </c>
      <c r="F199" s="224">
        <v>2564</v>
      </c>
      <c r="G199" s="224">
        <v>2834</v>
      </c>
      <c r="H199" s="224">
        <v>2939</v>
      </c>
    </row>
    <row r="200" spans="1:11">
      <c r="A200" s="226" t="s">
        <v>438</v>
      </c>
      <c r="B200" s="226"/>
      <c r="C200" s="226"/>
      <c r="D200" s="227">
        <v>451</v>
      </c>
      <c r="E200" s="227">
        <v>2102</v>
      </c>
      <c r="F200" s="227">
        <v>2331</v>
      </c>
      <c r="G200" s="227">
        <v>2427</v>
      </c>
      <c r="H200" s="227">
        <v>1874</v>
      </c>
    </row>
    <row r="202" spans="1:11">
      <c r="A202" s="279" t="s">
        <v>194</v>
      </c>
      <c r="B202" s="279"/>
      <c r="C202" s="279"/>
      <c r="D202" s="279"/>
      <c r="E202" s="279"/>
      <c r="F202" s="279"/>
      <c r="G202" s="279"/>
      <c r="H202" s="279"/>
      <c r="I202" s="279"/>
      <c r="J202" s="279"/>
      <c r="K202" s="279"/>
    </row>
    <row r="203" spans="1:11">
      <c r="A203" s="224" t="s">
        <v>435</v>
      </c>
      <c r="B203" s="224"/>
      <c r="C203" s="224"/>
      <c r="D203" s="225">
        <v>13</v>
      </c>
      <c r="E203" s="225">
        <v>20</v>
      </c>
      <c r="F203" s="225">
        <v>20</v>
      </c>
      <c r="G203" s="225">
        <v>20</v>
      </c>
      <c r="H203" s="225">
        <v>20</v>
      </c>
    </row>
    <row r="204" spans="1:11">
      <c r="A204" s="226" t="s">
        <v>436</v>
      </c>
      <c r="B204" s="226"/>
      <c r="C204" s="226"/>
      <c r="D204" s="227">
        <v>410</v>
      </c>
      <c r="E204" s="227">
        <v>1786</v>
      </c>
      <c r="F204" s="227">
        <v>2203</v>
      </c>
      <c r="G204" s="227">
        <v>2591</v>
      </c>
      <c r="H204" s="227">
        <v>2897</v>
      </c>
    </row>
    <row r="205" spans="1:11">
      <c r="A205" s="228" t="s">
        <v>437</v>
      </c>
      <c r="B205" s="224">
        <v>279</v>
      </c>
      <c r="C205" s="224">
        <v>1295</v>
      </c>
      <c r="D205" s="224">
        <v>372</v>
      </c>
      <c r="E205" s="224">
        <v>1673</v>
      </c>
      <c r="F205" s="224">
        <v>1900</v>
      </c>
      <c r="G205" s="224">
        <v>2084</v>
      </c>
      <c r="H205" s="224">
        <v>2134</v>
      </c>
    </row>
    <row r="206" spans="1:11">
      <c r="A206" s="226" t="s">
        <v>438</v>
      </c>
      <c r="B206" s="226"/>
      <c r="C206" s="226"/>
      <c r="D206" s="227">
        <v>333</v>
      </c>
      <c r="E206" s="227">
        <v>1566</v>
      </c>
      <c r="F206" s="227">
        <v>1631</v>
      </c>
      <c r="G206" s="227">
        <v>1413</v>
      </c>
      <c r="H206" s="227">
        <v>1229</v>
      </c>
    </row>
    <row r="208" spans="1:11">
      <c r="A208" s="279" t="s">
        <v>195</v>
      </c>
      <c r="B208" s="279"/>
      <c r="C208" s="279"/>
      <c r="D208" s="279"/>
      <c r="E208" s="279"/>
      <c r="F208" s="279"/>
      <c r="G208" s="279"/>
      <c r="H208" s="279"/>
      <c r="I208" s="279"/>
      <c r="J208" s="279"/>
      <c r="K208" s="279"/>
    </row>
    <row r="209" spans="1:11">
      <c r="A209" s="224" t="s">
        <v>435</v>
      </c>
      <c r="B209" s="224"/>
      <c r="C209" s="224"/>
      <c r="D209" s="225">
        <v>13</v>
      </c>
      <c r="E209" s="225">
        <v>20</v>
      </c>
      <c r="F209" s="225">
        <v>20</v>
      </c>
      <c r="G209" s="225">
        <v>20</v>
      </c>
      <c r="H209" s="225">
        <v>20</v>
      </c>
    </row>
    <row r="210" spans="1:11">
      <c r="A210" s="226" t="s">
        <v>436</v>
      </c>
      <c r="B210" s="226"/>
      <c r="C210" s="226"/>
      <c r="D210" s="227">
        <v>136</v>
      </c>
      <c r="E210" s="227">
        <v>683</v>
      </c>
      <c r="F210" s="227">
        <v>856</v>
      </c>
      <c r="G210" s="227">
        <v>1058</v>
      </c>
      <c r="H210" s="227">
        <v>1186</v>
      </c>
    </row>
    <row r="211" spans="1:11">
      <c r="A211" s="228" t="s">
        <v>437</v>
      </c>
      <c r="B211" s="224">
        <v>88</v>
      </c>
      <c r="C211" s="224">
        <v>425</v>
      </c>
      <c r="D211" s="224">
        <v>124</v>
      </c>
      <c r="E211" s="224">
        <v>567</v>
      </c>
      <c r="F211" s="224">
        <v>664</v>
      </c>
      <c r="G211" s="224">
        <v>750</v>
      </c>
      <c r="H211" s="224">
        <v>805</v>
      </c>
    </row>
    <row r="212" spans="1:11">
      <c r="A212" s="226" t="s">
        <v>438</v>
      </c>
      <c r="B212" s="226"/>
      <c r="C212" s="226"/>
      <c r="D212" s="227">
        <v>105</v>
      </c>
      <c r="E212" s="227">
        <v>509</v>
      </c>
      <c r="F212" s="227">
        <v>519</v>
      </c>
      <c r="G212" s="227">
        <v>529</v>
      </c>
      <c r="H212" s="227">
        <v>539</v>
      </c>
    </row>
    <row r="214" spans="1:11">
      <c r="A214" s="279" t="s">
        <v>193</v>
      </c>
      <c r="B214" s="279"/>
      <c r="C214" s="279"/>
      <c r="D214" s="279"/>
      <c r="E214" s="279"/>
      <c r="F214" s="279"/>
      <c r="G214" s="279"/>
      <c r="H214" s="279"/>
      <c r="I214" s="279"/>
      <c r="J214" s="279"/>
      <c r="K214" s="279"/>
    </row>
    <row r="215" spans="1:11">
      <c r="A215" s="224" t="s">
        <v>435</v>
      </c>
      <c r="B215" s="224"/>
      <c r="C215" s="224"/>
      <c r="D215" s="225">
        <v>10</v>
      </c>
      <c r="E215" s="225">
        <v>18</v>
      </c>
      <c r="F215" s="225">
        <v>18</v>
      </c>
      <c r="G215" s="225">
        <v>18</v>
      </c>
      <c r="H215" s="225">
        <v>18</v>
      </c>
    </row>
    <row r="216" spans="1:11">
      <c r="A216" s="226" t="s">
        <v>436</v>
      </c>
      <c r="B216" s="226"/>
      <c r="C216" s="226"/>
      <c r="D216" s="227">
        <v>378</v>
      </c>
      <c r="E216" s="227">
        <v>1540</v>
      </c>
      <c r="F216" s="227">
        <v>1650</v>
      </c>
      <c r="G216" s="227">
        <v>1800</v>
      </c>
      <c r="H216" s="227">
        <v>1955</v>
      </c>
    </row>
    <row r="217" spans="1:11">
      <c r="A217" s="228" t="s">
        <v>437</v>
      </c>
      <c r="B217" s="224">
        <v>358</v>
      </c>
      <c r="C217" s="224">
        <v>1453</v>
      </c>
      <c r="D217" s="224">
        <v>370</v>
      </c>
      <c r="E217" s="224">
        <v>1490</v>
      </c>
      <c r="F217" s="224">
        <v>1500</v>
      </c>
      <c r="G217" s="224">
        <v>1518</v>
      </c>
      <c r="H217" s="224">
        <v>1542</v>
      </c>
    </row>
    <row r="218" spans="1:11">
      <c r="A218" s="226" t="s">
        <v>438</v>
      </c>
      <c r="B218" s="226"/>
      <c r="C218" s="226"/>
      <c r="D218" s="227">
        <v>357</v>
      </c>
      <c r="E218" s="227">
        <v>1387</v>
      </c>
      <c r="F218" s="227">
        <v>1375</v>
      </c>
      <c r="G218" s="227">
        <v>1403</v>
      </c>
      <c r="H218" s="227">
        <v>1390</v>
      </c>
    </row>
    <row r="220" spans="1:11">
      <c r="A220" s="279" t="s">
        <v>463</v>
      </c>
      <c r="B220" s="279"/>
      <c r="C220" s="279"/>
      <c r="D220" s="279"/>
      <c r="E220" s="279"/>
      <c r="F220" s="279"/>
      <c r="G220" s="279"/>
      <c r="H220" s="279"/>
      <c r="I220" s="279"/>
      <c r="J220" s="279"/>
      <c r="K220" s="279"/>
    </row>
    <row r="222" spans="1:11">
      <c r="A222" s="279" t="s">
        <v>464</v>
      </c>
      <c r="B222" s="279"/>
      <c r="C222" s="279"/>
      <c r="D222" s="279"/>
      <c r="E222" s="279"/>
      <c r="F222" s="279"/>
      <c r="G222" s="279"/>
      <c r="H222" s="279"/>
      <c r="I222" s="279"/>
      <c r="J222" s="279"/>
      <c r="K222" s="279"/>
    </row>
    <row r="223" spans="1:11">
      <c r="A223" s="224" t="s">
        <v>435</v>
      </c>
      <c r="B223" s="224"/>
      <c r="C223" s="224"/>
      <c r="D223" s="224" t="s">
        <v>21</v>
      </c>
      <c r="E223" s="225">
        <v>19</v>
      </c>
      <c r="F223" s="225">
        <v>19</v>
      </c>
      <c r="G223" s="225">
        <v>19</v>
      </c>
      <c r="H223" s="225">
        <v>19</v>
      </c>
    </row>
    <row r="224" spans="1:11">
      <c r="A224" s="226" t="s">
        <v>436</v>
      </c>
      <c r="B224" s="226"/>
      <c r="C224" s="226"/>
      <c r="D224" s="226" t="s">
        <v>21</v>
      </c>
      <c r="E224" s="227">
        <v>200</v>
      </c>
      <c r="F224" s="227">
        <v>500</v>
      </c>
      <c r="G224" s="227">
        <v>800</v>
      </c>
      <c r="H224" s="227">
        <v>1008</v>
      </c>
    </row>
    <row r="225" spans="1:11">
      <c r="A225" s="228" t="s">
        <v>437</v>
      </c>
      <c r="B225" s="228" t="s">
        <v>21</v>
      </c>
      <c r="C225" s="224">
        <v>0</v>
      </c>
      <c r="D225" s="228" t="s">
        <v>21</v>
      </c>
      <c r="E225" s="224">
        <v>75</v>
      </c>
      <c r="F225" s="224">
        <v>216</v>
      </c>
      <c r="G225" s="224">
        <v>372</v>
      </c>
      <c r="H225" s="224">
        <v>505</v>
      </c>
    </row>
    <row r="226" spans="1:11">
      <c r="A226" s="226" t="s">
        <v>438</v>
      </c>
      <c r="B226" s="226"/>
      <c r="C226" s="226"/>
      <c r="D226" s="226" t="s">
        <v>21</v>
      </c>
      <c r="E226" s="227">
        <v>0</v>
      </c>
      <c r="F226" s="227">
        <v>20</v>
      </c>
      <c r="G226" s="227">
        <v>107</v>
      </c>
      <c r="H226" s="227">
        <v>195</v>
      </c>
    </row>
    <row r="228" spans="1:11">
      <c r="A228" s="279" t="s">
        <v>465</v>
      </c>
      <c r="B228" s="279"/>
      <c r="C228" s="279"/>
      <c r="D228" s="279"/>
      <c r="E228" s="279"/>
      <c r="F228" s="279"/>
      <c r="G228" s="279"/>
      <c r="H228" s="279"/>
      <c r="I228" s="279"/>
      <c r="J228" s="279"/>
      <c r="K228" s="279"/>
    </row>
    <row r="229" spans="1:11">
      <c r="A229" s="224" t="s">
        <v>435</v>
      </c>
      <c r="B229" s="224"/>
      <c r="C229" s="224"/>
      <c r="D229" s="224" t="s">
        <v>21</v>
      </c>
      <c r="E229" s="225">
        <v>17</v>
      </c>
      <c r="F229" s="225">
        <v>17</v>
      </c>
      <c r="G229" s="225">
        <v>17</v>
      </c>
      <c r="H229" s="225">
        <v>17</v>
      </c>
    </row>
    <row r="230" spans="1:11">
      <c r="A230" s="226" t="s">
        <v>436</v>
      </c>
      <c r="B230" s="226"/>
      <c r="C230" s="226"/>
      <c r="D230" s="226" t="s">
        <v>21</v>
      </c>
      <c r="E230" s="227">
        <v>361</v>
      </c>
      <c r="F230" s="227">
        <v>1484</v>
      </c>
      <c r="G230" s="227">
        <v>3122</v>
      </c>
      <c r="H230" s="227">
        <v>4785</v>
      </c>
    </row>
    <row r="231" spans="1:11">
      <c r="A231" s="228" t="s">
        <v>437</v>
      </c>
      <c r="B231" s="228" t="s">
        <v>21</v>
      </c>
      <c r="C231" s="224">
        <v>0</v>
      </c>
      <c r="D231" s="228" t="s">
        <v>21</v>
      </c>
      <c r="E231" s="224">
        <v>138</v>
      </c>
      <c r="F231" s="224">
        <v>521</v>
      </c>
      <c r="G231" s="224">
        <v>1085</v>
      </c>
      <c r="H231" s="224">
        <v>1803</v>
      </c>
    </row>
    <row r="232" spans="1:11">
      <c r="A232" s="226" t="s">
        <v>438</v>
      </c>
      <c r="B232" s="226"/>
      <c r="C232" s="226"/>
      <c r="D232" s="226" t="s">
        <v>21</v>
      </c>
      <c r="E232" s="227">
        <v>21</v>
      </c>
      <c r="F232" s="227">
        <v>190</v>
      </c>
      <c r="G232" s="227">
        <v>405</v>
      </c>
      <c r="H232" s="227">
        <v>706</v>
      </c>
    </row>
    <row r="234" spans="1:11">
      <c r="A234" s="279" t="s">
        <v>207</v>
      </c>
      <c r="B234" s="279"/>
      <c r="C234" s="279"/>
      <c r="D234" s="279"/>
      <c r="E234" s="279"/>
      <c r="F234" s="279"/>
      <c r="G234" s="279"/>
      <c r="H234" s="279"/>
      <c r="I234" s="279"/>
      <c r="J234" s="279"/>
      <c r="K234" s="279"/>
    </row>
    <row r="235" spans="1:11">
      <c r="A235" s="224" t="s">
        <v>435</v>
      </c>
      <c r="B235" s="224"/>
      <c r="C235" s="224"/>
      <c r="D235" s="225">
        <v>10</v>
      </c>
      <c r="E235" s="225">
        <v>17</v>
      </c>
      <c r="F235" s="225">
        <v>17</v>
      </c>
      <c r="G235" s="225">
        <v>17</v>
      </c>
      <c r="H235" s="225">
        <v>17</v>
      </c>
    </row>
    <row r="236" spans="1:11">
      <c r="A236" s="226" t="s">
        <v>436</v>
      </c>
      <c r="B236" s="226"/>
      <c r="C236" s="226"/>
      <c r="D236" s="227">
        <v>1764</v>
      </c>
      <c r="E236" s="227">
        <v>7080</v>
      </c>
      <c r="F236" s="227">
        <v>6927</v>
      </c>
      <c r="G236" s="227">
        <v>6858</v>
      </c>
      <c r="H236" s="227">
        <v>6985</v>
      </c>
    </row>
    <row r="237" spans="1:11">
      <c r="A237" s="228" t="s">
        <v>437</v>
      </c>
      <c r="B237" s="224">
        <v>1734</v>
      </c>
      <c r="C237" s="224">
        <v>7341</v>
      </c>
      <c r="D237" s="224">
        <v>1682</v>
      </c>
      <c r="E237" s="224">
        <v>6702</v>
      </c>
      <c r="F237" s="224">
        <v>6341</v>
      </c>
      <c r="G237" s="224">
        <v>6244</v>
      </c>
      <c r="H237" s="224">
        <v>6252</v>
      </c>
    </row>
    <row r="238" spans="1:11">
      <c r="A238" s="226" t="s">
        <v>438</v>
      </c>
      <c r="B238" s="226"/>
      <c r="C238" s="226"/>
      <c r="D238" s="227">
        <v>1643</v>
      </c>
      <c r="E238" s="227">
        <v>6334</v>
      </c>
      <c r="F238" s="227">
        <v>5613</v>
      </c>
      <c r="G238" s="227">
        <v>5733</v>
      </c>
      <c r="H238" s="227">
        <v>5584</v>
      </c>
    </row>
    <row r="240" spans="1:11">
      <c r="A240" s="279" t="s">
        <v>170</v>
      </c>
      <c r="B240" s="279"/>
      <c r="C240" s="279"/>
      <c r="D240" s="279"/>
      <c r="E240" s="279"/>
      <c r="F240" s="279"/>
      <c r="G240" s="279"/>
      <c r="H240" s="279"/>
      <c r="I240" s="279"/>
      <c r="J240" s="279"/>
      <c r="K240" s="279"/>
    </row>
    <row r="241" spans="1:11">
      <c r="A241" s="224" t="s">
        <v>435</v>
      </c>
      <c r="B241" s="224"/>
      <c r="C241" s="224"/>
      <c r="D241" s="225">
        <v>13</v>
      </c>
      <c r="E241" s="225">
        <v>19</v>
      </c>
      <c r="F241" s="225">
        <v>19</v>
      </c>
      <c r="G241" s="225">
        <v>19</v>
      </c>
      <c r="H241" s="225">
        <v>19</v>
      </c>
    </row>
    <row r="242" spans="1:11">
      <c r="A242" s="226" t="s">
        <v>436</v>
      </c>
      <c r="B242" s="226"/>
      <c r="C242" s="226"/>
      <c r="D242" s="227">
        <v>1270</v>
      </c>
      <c r="E242" s="227">
        <v>4887</v>
      </c>
      <c r="F242" s="227">
        <v>4313</v>
      </c>
      <c r="G242" s="227">
        <v>3950</v>
      </c>
      <c r="H242" s="227">
        <v>3707</v>
      </c>
    </row>
    <row r="243" spans="1:11">
      <c r="A243" s="228" t="s">
        <v>437</v>
      </c>
      <c r="B243" s="224">
        <v>1395</v>
      </c>
      <c r="C243" s="224">
        <v>5714</v>
      </c>
      <c r="D243" s="224">
        <v>1220</v>
      </c>
      <c r="E243" s="224">
        <v>4657</v>
      </c>
      <c r="F243" s="224">
        <v>3898</v>
      </c>
      <c r="G243" s="224">
        <v>3366</v>
      </c>
      <c r="H243" s="224">
        <v>2969</v>
      </c>
    </row>
    <row r="244" spans="1:11">
      <c r="A244" s="226" t="s">
        <v>438</v>
      </c>
      <c r="B244" s="226"/>
      <c r="C244" s="226"/>
      <c r="D244" s="227">
        <v>1180</v>
      </c>
      <c r="E244" s="227">
        <v>4335</v>
      </c>
      <c r="F244" s="227">
        <v>3329</v>
      </c>
      <c r="G244" s="227">
        <v>2588</v>
      </c>
      <c r="H244" s="227">
        <v>2036</v>
      </c>
    </row>
    <row r="246" spans="1:11">
      <c r="A246" s="279" t="s">
        <v>206</v>
      </c>
      <c r="B246" s="279"/>
      <c r="C246" s="279"/>
      <c r="D246" s="279"/>
      <c r="E246" s="279"/>
      <c r="F246" s="279"/>
      <c r="G246" s="279"/>
      <c r="H246" s="279"/>
      <c r="I246" s="279"/>
      <c r="J246" s="279"/>
      <c r="K246" s="279"/>
    </row>
    <row r="247" spans="1:11">
      <c r="A247" s="224" t="s">
        <v>435</v>
      </c>
      <c r="B247" s="224"/>
      <c r="C247" s="224"/>
      <c r="D247" s="225">
        <v>13</v>
      </c>
      <c r="E247" s="225">
        <v>19</v>
      </c>
      <c r="F247" s="225">
        <v>19</v>
      </c>
      <c r="G247" s="225">
        <v>19</v>
      </c>
      <c r="H247" s="225">
        <v>19</v>
      </c>
    </row>
    <row r="248" spans="1:11">
      <c r="A248" s="226" t="s">
        <v>436</v>
      </c>
      <c r="B248" s="226"/>
      <c r="C248" s="226"/>
      <c r="D248" s="227">
        <v>255</v>
      </c>
      <c r="E248" s="227">
        <v>1116</v>
      </c>
      <c r="F248" s="227">
        <v>1409</v>
      </c>
      <c r="G248" s="227">
        <v>1750</v>
      </c>
      <c r="H248" s="227">
        <v>2000</v>
      </c>
    </row>
    <row r="249" spans="1:11">
      <c r="A249" s="228" t="s">
        <v>437</v>
      </c>
      <c r="B249" s="224">
        <v>103</v>
      </c>
      <c r="C249" s="224">
        <v>649</v>
      </c>
      <c r="D249" s="224">
        <v>211</v>
      </c>
      <c r="E249" s="224">
        <v>907</v>
      </c>
      <c r="F249" s="224">
        <v>1099</v>
      </c>
      <c r="G249" s="224">
        <v>1290</v>
      </c>
      <c r="H249" s="224">
        <v>1452</v>
      </c>
    </row>
    <row r="250" spans="1:11">
      <c r="A250" s="226" t="s">
        <v>438</v>
      </c>
      <c r="B250" s="226"/>
      <c r="C250" s="226"/>
      <c r="D250" s="227">
        <v>156</v>
      </c>
      <c r="E250" s="227">
        <v>620</v>
      </c>
      <c r="F250" s="227">
        <v>655</v>
      </c>
      <c r="G250" s="227">
        <v>745</v>
      </c>
      <c r="H250" s="227">
        <v>840</v>
      </c>
    </row>
    <row r="252" spans="1:11">
      <c r="A252" s="279" t="s">
        <v>183</v>
      </c>
      <c r="B252" s="279"/>
      <c r="C252" s="279"/>
      <c r="D252" s="279"/>
      <c r="E252" s="279"/>
      <c r="F252" s="279"/>
      <c r="G252" s="279"/>
      <c r="H252" s="279"/>
      <c r="I252" s="279"/>
      <c r="J252" s="279"/>
      <c r="K252" s="279"/>
    </row>
    <row r="253" spans="1:11">
      <c r="A253" s="224" t="s">
        <v>435</v>
      </c>
      <c r="B253" s="224"/>
      <c r="C253" s="224"/>
      <c r="D253" s="225">
        <v>10</v>
      </c>
      <c r="E253" s="225">
        <v>18</v>
      </c>
      <c r="F253" s="225">
        <v>18</v>
      </c>
      <c r="G253" s="225">
        <v>18</v>
      </c>
      <c r="H253" s="225">
        <v>18</v>
      </c>
    </row>
    <row r="254" spans="1:11">
      <c r="A254" s="226" t="s">
        <v>436</v>
      </c>
      <c r="B254" s="226"/>
      <c r="C254" s="226"/>
      <c r="D254" s="227">
        <v>21</v>
      </c>
      <c r="E254" s="227">
        <v>150</v>
      </c>
      <c r="F254" s="227">
        <v>267</v>
      </c>
      <c r="G254" s="227">
        <v>316</v>
      </c>
      <c r="H254" s="227">
        <v>358</v>
      </c>
    </row>
    <row r="255" spans="1:11">
      <c r="A255" s="228" t="s">
        <v>437</v>
      </c>
      <c r="B255" s="224">
        <v>9</v>
      </c>
      <c r="C255" s="224">
        <v>33</v>
      </c>
      <c r="D255" s="224">
        <v>14</v>
      </c>
      <c r="E255" s="224">
        <v>77</v>
      </c>
      <c r="F255" s="224">
        <v>110</v>
      </c>
      <c r="G255" s="224">
        <v>140</v>
      </c>
      <c r="H255" s="224">
        <v>165</v>
      </c>
    </row>
    <row r="256" spans="1:11">
      <c r="A256" s="226" t="s">
        <v>438</v>
      </c>
      <c r="B256" s="226"/>
      <c r="C256" s="226"/>
      <c r="D256" s="227">
        <v>8</v>
      </c>
      <c r="E256" s="227">
        <v>38</v>
      </c>
      <c r="F256" s="227">
        <v>42</v>
      </c>
      <c r="G256" s="227">
        <v>45</v>
      </c>
      <c r="H256" s="227">
        <v>49</v>
      </c>
    </row>
    <row r="258" spans="1:11">
      <c r="A258" s="279" t="s">
        <v>204</v>
      </c>
      <c r="B258" s="279"/>
      <c r="C258" s="279"/>
      <c r="D258" s="279"/>
      <c r="E258" s="279"/>
      <c r="F258" s="279"/>
      <c r="G258" s="279"/>
      <c r="H258" s="279"/>
      <c r="I258" s="279"/>
      <c r="J258" s="279"/>
      <c r="K258" s="279"/>
    </row>
    <row r="259" spans="1:11">
      <c r="A259" s="224" t="s">
        <v>435</v>
      </c>
      <c r="B259" s="224"/>
      <c r="C259" s="224"/>
      <c r="D259" s="225">
        <v>9</v>
      </c>
      <c r="E259" s="225">
        <v>17</v>
      </c>
      <c r="F259" s="225">
        <v>17</v>
      </c>
      <c r="G259" s="225">
        <v>17</v>
      </c>
      <c r="H259" s="225">
        <v>17</v>
      </c>
    </row>
    <row r="260" spans="1:11">
      <c r="A260" s="226" t="s">
        <v>436</v>
      </c>
      <c r="B260" s="226"/>
      <c r="C260" s="226"/>
      <c r="D260" s="227">
        <v>98</v>
      </c>
      <c r="E260" s="227">
        <v>391</v>
      </c>
      <c r="F260" s="227">
        <v>408</v>
      </c>
      <c r="G260" s="227">
        <v>426</v>
      </c>
      <c r="H260" s="227">
        <v>445</v>
      </c>
    </row>
    <row r="261" spans="1:11">
      <c r="A261" s="228" t="s">
        <v>437</v>
      </c>
      <c r="B261" s="224">
        <v>88</v>
      </c>
      <c r="C261" s="224">
        <v>362</v>
      </c>
      <c r="D261" s="224">
        <v>90</v>
      </c>
      <c r="E261" s="224">
        <v>366</v>
      </c>
      <c r="F261" s="224">
        <v>364</v>
      </c>
      <c r="G261" s="224">
        <v>362</v>
      </c>
      <c r="H261" s="224">
        <v>358</v>
      </c>
    </row>
    <row r="262" spans="1:11">
      <c r="A262" s="226" t="s">
        <v>438</v>
      </c>
      <c r="B262" s="226"/>
      <c r="C262" s="226"/>
      <c r="D262" s="227">
        <v>85</v>
      </c>
      <c r="E262" s="227">
        <v>340</v>
      </c>
      <c r="F262" s="227">
        <v>310</v>
      </c>
      <c r="G262" s="227">
        <v>280</v>
      </c>
      <c r="H262" s="227">
        <v>250</v>
      </c>
    </row>
    <row r="264" spans="1:11">
      <c r="A264" s="279" t="s">
        <v>203</v>
      </c>
      <c r="B264" s="279"/>
      <c r="C264" s="279"/>
      <c r="D264" s="279"/>
      <c r="E264" s="279"/>
      <c r="F264" s="279"/>
      <c r="G264" s="279"/>
      <c r="H264" s="279"/>
      <c r="I264" s="279"/>
      <c r="J264" s="279"/>
      <c r="K264" s="279"/>
    </row>
    <row r="265" spans="1:11">
      <c r="A265" s="224" t="s">
        <v>435</v>
      </c>
      <c r="B265" s="224"/>
      <c r="C265" s="224"/>
      <c r="D265" s="225">
        <v>9</v>
      </c>
      <c r="E265" s="225">
        <v>18</v>
      </c>
      <c r="F265" s="225">
        <v>18</v>
      </c>
      <c r="G265" s="225">
        <v>18</v>
      </c>
      <c r="H265" s="225">
        <v>18</v>
      </c>
    </row>
    <row r="266" spans="1:11">
      <c r="A266" s="226" t="s">
        <v>436</v>
      </c>
      <c r="B266" s="226"/>
      <c r="C266" s="226"/>
      <c r="D266" s="227">
        <v>96</v>
      </c>
      <c r="E266" s="227">
        <v>404</v>
      </c>
      <c r="F266" s="227">
        <v>408</v>
      </c>
      <c r="G266" s="227">
        <v>426</v>
      </c>
      <c r="H266" s="227">
        <v>442</v>
      </c>
    </row>
    <row r="267" spans="1:11">
      <c r="A267" s="228" t="s">
        <v>437</v>
      </c>
      <c r="B267" s="224">
        <v>85</v>
      </c>
      <c r="C267" s="224">
        <v>367</v>
      </c>
      <c r="D267" s="224">
        <v>92</v>
      </c>
      <c r="E267" s="224">
        <v>383</v>
      </c>
      <c r="F267" s="224">
        <v>387</v>
      </c>
      <c r="G267" s="224">
        <v>390</v>
      </c>
      <c r="H267" s="224">
        <v>388</v>
      </c>
    </row>
    <row r="268" spans="1:11">
      <c r="A268" s="226" t="s">
        <v>438</v>
      </c>
      <c r="B268" s="226"/>
      <c r="C268" s="226"/>
      <c r="D268" s="227">
        <v>87</v>
      </c>
      <c r="E268" s="227">
        <v>363</v>
      </c>
      <c r="F268" s="227">
        <v>356</v>
      </c>
      <c r="G268" s="227">
        <v>338</v>
      </c>
      <c r="H268" s="227">
        <v>315</v>
      </c>
    </row>
    <row r="270" spans="1:11">
      <c r="A270" s="279" t="s">
        <v>205</v>
      </c>
      <c r="B270" s="279"/>
      <c r="C270" s="279"/>
      <c r="D270" s="279"/>
      <c r="E270" s="279"/>
      <c r="F270" s="279"/>
      <c r="G270" s="279"/>
      <c r="H270" s="279"/>
      <c r="I270" s="279"/>
      <c r="J270" s="279"/>
      <c r="K270" s="279"/>
    </row>
    <row r="271" spans="1:11">
      <c r="A271" s="224" t="s">
        <v>435</v>
      </c>
      <c r="B271" s="224"/>
      <c r="C271" s="224"/>
      <c r="D271" s="225">
        <v>9</v>
      </c>
      <c r="E271" s="225">
        <v>17</v>
      </c>
      <c r="F271" s="225">
        <v>17</v>
      </c>
      <c r="G271" s="225">
        <v>17</v>
      </c>
      <c r="H271" s="225">
        <v>17</v>
      </c>
    </row>
    <row r="272" spans="1:11">
      <c r="A272" s="226" t="s">
        <v>436</v>
      </c>
      <c r="B272" s="226"/>
      <c r="C272" s="226"/>
      <c r="D272" s="227">
        <v>33</v>
      </c>
      <c r="E272" s="227">
        <v>146</v>
      </c>
      <c r="F272" s="227">
        <v>152</v>
      </c>
      <c r="G272" s="227">
        <v>158</v>
      </c>
      <c r="H272" s="227">
        <v>166</v>
      </c>
    </row>
    <row r="273" spans="1:11">
      <c r="A273" s="228" t="s">
        <v>437</v>
      </c>
      <c r="B273" s="224">
        <v>32</v>
      </c>
      <c r="C273" s="224">
        <v>129</v>
      </c>
      <c r="D273" s="224">
        <v>32</v>
      </c>
      <c r="E273" s="224">
        <v>129</v>
      </c>
      <c r="F273" s="224">
        <v>129</v>
      </c>
      <c r="G273" s="224">
        <v>128</v>
      </c>
      <c r="H273" s="224">
        <v>126</v>
      </c>
    </row>
    <row r="274" spans="1:11">
      <c r="A274" s="226" t="s">
        <v>438</v>
      </c>
      <c r="B274" s="226"/>
      <c r="C274" s="226"/>
      <c r="D274" s="227">
        <v>30</v>
      </c>
      <c r="E274" s="227">
        <v>116</v>
      </c>
      <c r="F274" s="227">
        <v>107</v>
      </c>
      <c r="G274" s="227">
        <v>97</v>
      </c>
      <c r="H274" s="227">
        <v>88</v>
      </c>
    </row>
    <row r="276" spans="1:11">
      <c r="A276" s="279" t="s">
        <v>466</v>
      </c>
      <c r="B276" s="279"/>
      <c r="C276" s="279"/>
      <c r="D276" s="279"/>
      <c r="E276" s="279"/>
      <c r="F276" s="279"/>
      <c r="G276" s="279"/>
      <c r="H276" s="279"/>
      <c r="I276" s="279"/>
      <c r="J276" s="279"/>
      <c r="K276" s="279"/>
    </row>
    <row r="277" spans="1:11">
      <c r="A277" s="224" t="s">
        <v>435</v>
      </c>
      <c r="B277" s="224"/>
      <c r="C277" s="224"/>
      <c r="D277" s="225">
        <v>8</v>
      </c>
      <c r="E277" s="225">
        <v>16</v>
      </c>
      <c r="F277" s="225">
        <v>16</v>
      </c>
      <c r="G277" s="225">
        <v>16</v>
      </c>
      <c r="H277" s="225">
        <v>16</v>
      </c>
    </row>
    <row r="278" spans="1:11">
      <c r="A278" s="226" t="s">
        <v>436</v>
      </c>
      <c r="B278" s="226"/>
      <c r="C278" s="226"/>
      <c r="D278" s="227">
        <v>23</v>
      </c>
      <c r="E278" s="227">
        <v>250</v>
      </c>
      <c r="F278" s="227">
        <v>393</v>
      </c>
      <c r="G278" s="227">
        <v>864</v>
      </c>
      <c r="H278" s="227">
        <v>1366</v>
      </c>
    </row>
    <row r="279" spans="1:11">
      <c r="A279" s="228" t="s">
        <v>437</v>
      </c>
      <c r="B279" s="228" t="s">
        <v>21</v>
      </c>
      <c r="C279" s="224">
        <v>0</v>
      </c>
      <c r="D279" s="224">
        <v>8</v>
      </c>
      <c r="E279" s="224">
        <v>100</v>
      </c>
      <c r="F279" s="224">
        <v>266</v>
      </c>
      <c r="G279" s="224">
        <v>454</v>
      </c>
      <c r="H279" s="224">
        <v>641</v>
      </c>
    </row>
    <row r="280" spans="1:11">
      <c r="A280" s="226" t="s">
        <v>438</v>
      </c>
      <c r="B280" s="226"/>
      <c r="C280" s="226"/>
      <c r="D280" s="227">
        <v>0</v>
      </c>
      <c r="E280" s="227">
        <v>45</v>
      </c>
      <c r="F280" s="227">
        <v>170</v>
      </c>
      <c r="G280" s="227">
        <v>225</v>
      </c>
      <c r="H280" s="227">
        <v>275</v>
      </c>
    </row>
    <row r="282" spans="1:11">
      <c r="A282" s="279" t="s">
        <v>467</v>
      </c>
      <c r="B282" s="279"/>
      <c r="C282" s="279"/>
      <c r="D282" s="279"/>
      <c r="E282" s="279"/>
      <c r="F282" s="279"/>
      <c r="G282" s="279"/>
      <c r="H282" s="279"/>
      <c r="I282" s="279"/>
      <c r="J282" s="279"/>
      <c r="K282" s="279"/>
    </row>
    <row r="283" spans="1:11">
      <c r="A283" s="224" t="s">
        <v>435</v>
      </c>
      <c r="B283" s="224"/>
      <c r="C283" s="224"/>
      <c r="D283" s="225">
        <v>10</v>
      </c>
      <c r="E283" s="225">
        <v>18</v>
      </c>
      <c r="F283" s="225">
        <v>18</v>
      </c>
      <c r="G283" s="225">
        <v>18</v>
      </c>
      <c r="H283" s="225">
        <v>18</v>
      </c>
    </row>
    <row r="284" spans="1:11">
      <c r="A284" s="226" t="s">
        <v>436</v>
      </c>
      <c r="B284" s="226"/>
      <c r="C284" s="226"/>
      <c r="D284" s="227">
        <v>145</v>
      </c>
      <c r="E284" s="227">
        <v>739</v>
      </c>
      <c r="F284" s="227">
        <v>1328</v>
      </c>
      <c r="G284" s="227">
        <v>1802</v>
      </c>
      <c r="H284" s="227">
        <v>2592</v>
      </c>
    </row>
    <row r="285" spans="1:11">
      <c r="A285" s="228" t="s">
        <v>437</v>
      </c>
      <c r="B285" s="224">
        <v>98</v>
      </c>
      <c r="C285" s="224">
        <v>458</v>
      </c>
      <c r="D285" s="224">
        <v>117</v>
      </c>
      <c r="E285" s="224">
        <v>543</v>
      </c>
      <c r="F285" s="224">
        <v>770</v>
      </c>
      <c r="G285" s="224">
        <v>1074</v>
      </c>
      <c r="H285" s="224">
        <v>1488</v>
      </c>
    </row>
    <row r="286" spans="1:11">
      <c r="A286" s="226" t="s">
        <v>438</v>
      </c>
      <c r="B286" s="226"/>
      <c r="C286" s="226"/>
      <c r="D286" s="227">
        <v>74</v>
      </c>
      <c r="E286" s="227">
        <v>315</v>
      </c>
      <c r="F286" s="227">
        <v>401</v>
      </c>
      <c r="G286" s="227">
        <v>383</v>
      </c>
      <c r="H286" s="227">
        <v>470</v>
      </c>
    </row>
    <row r="288" spans="1:11">
      <c r="A288" s="279" t="s">
        <v>209</v>
      </c>
      <c r="B288" s="279"/>
      <c r="C288" s="279"/>
      <c r="D288" s="279"/>
      <c r="E288" s="279"/>
      <c r="F288" s="279"/>
      <c r="G288" s="279"/>
      <c r="H288" s="279"/>
      <c r="I288" s="279"/>
      <c r="J288" s="279"/>
      <c r="K288" s="279"/>
    </row>
    <row r="289" spans="1:11">
      <c r="A289" s="224" t="s">
        <v>435</v>
      </c>
      <c r="B289" s="224"/>
      <c r="C289" s="224"/>
      <c r="D289" s="225">
        <v>12</v>
      </c>
      <c r="E289" s="225">
        <v>19</v>
      </c>
      <c r="F289" s="225">
        <v>19</v>
      </c>
      <c r="G289" s="225">
        <v>19</v>
      </c>
      <c r="H289" s="225">
        <v>19</v>
      </c>
    </row>
    <row r="290" spans="1:11">
      <c r="A290" s="226" t="s">
        <v>436</v>
      </c>
      <c r="B290" s="226"/>
      <c r="C290" s="226"/>
      <c r="D290" s="227">
        <v>57</v>
      </c>
      <c r="E290" s="227">
        <v>450</v>
      </c>
      <c r="F290" s="227">
        <v>1052</v>
      </c>
      <c r="G290" s="227">
        <v>1650</v>
      </c>
      <c r="H290" s="227">
        <v>2450</v>
      </c>
    </row>
    <row r="291" spans="1:11">
      <c r="A291" s="228" t="s">
        <v>437</v>
      </c>
      <c r="B291" s="224">
        <v>12</v>
      </c>
      <c r="C291" s="224">
        <v>105</v>
      </c>
      <c r="D291" s="224">
        <v>45</v>
      </c>
      <c r="E291" s="224">
        <v>262</v>
      </c>
      <c r="F291" s="224">
        <v>538</v>
      </c>
      <c r="G291" s="224">
        <v>876</v>
      </c>
      <c r="H291" s="224">
        <v>1310</v>
      </c>
    </row>
    <row r="292" spans="1:11">
      <c r="A292" s="226" t="s">
        <v>438</v>
      </c>
      <c r="B292" s="226"/>
      <c r="C292" s="226"/>
      <c r="D292" s="227">
        <v>35</v>
      </c>
      <c r="E292" s="227">
        <v>157</v>
      </c>
      <c r="F292" s="227">
        <v>170</v>
      </c>
      <c r="G292" s="227">
        <v>279</v>
      </c>
      <c r="H292" s="227">
        <v>369</v>
      </c>
    </row>
    <row r="294" spans="1:11">
      <c r="A294" s="279" t="s">
        <v>468</v>
      </c>
      <c r="B294" s="279"/>
      <c r="C294" s="279"/>
      <c r="D294" s="279"/>
      <c r="E294" s="279"/>
      <c r="F294" s="279"/>
      <c r="G294" s="279"/>
      <c r="H294" s="279"/>
      <c r="I294" s="279"/>
      <c r="J294" s="279"/>
      <c r="K294" s="279"/>
    </row>
    <row r="295" spans="1:11">
      <c r="A295" s="224" t="s">
        <v>435</v>
      </c>
      <c r="B295" s="224"/>
      <c r="C295" s="224"/>
      <c r="D295" s="225">
        <v>9</v>
      </c>
      <c r="E295" s="225">
        <v>19</v>
      </c>
      <c r="F295" s="225">
        <v>19</v>
      </c>
      <c r="G295" s="225">
        <v>19</v>
      </c>
      <c r="H295" s="225">
        <v>19</v>
      </c>
    </row>
    <row r="296" spans="1:11">
      <c r="A296" s="226" t="s">
        <v>436</v>
      </c>
      <c r="B296" s="226"/>
      <c r="C296" s="226"/>
      <c r="D296" s="227">
        <v>95</v>
      </c>
      <c r="E296" s="227">
        <v>370</v>
      </c>
      <c r="F296" s="227">
        <v>375</v>
      </c>
      <c r="G296" s="227">
        <v>390</v>
      </c>
      <c r="H296" s="227">
        <v>405</v>
      </c>
    </row>
    <row r="297" spans="1:11">
      <c r="A297" s="228" t="s">
        <v>437</v>
      </c>
      <c r="B297" s="224">
        <v>86</v>
      </c>
      <c r="C297" s="224">
        <v>353</v>
      </c>
      <c r="D297" s="224">
        <v>70</v>
      </c>
      <c r="E297" s="224">
        <v>280</v>
      </c>
      <c r="F297" s="224">
        <v>225</v>
      </c>
      <c r="G297" s="224">
        <v>183</v>
      </c>
      <c r="H297" s="224">
        <v>153</v>
      </c>
    </row>
    <row r="298" spans="1:11">
      <c r="A298" s="226" t="s">
        <v>438</v>
      </c>
      <c r="B298" s="226"/>
      <c r="C298" s="226"/>
      <c r="D298" s="227">
        <v>21</v>
      </c>
      <c r="E298" s="227">
        <v>85</v>
      </c>
      <c r="F298" s="227">
        <v>55</v>
      </c>
      <c r="G298" s="227">
        <v>44</v>
      </c>
      <c r="H298" s="227">
        <v>33</v>
      </c>
    </row>
    <row r="300" spans="1:11">
      <c r="A300" s="279" t="s">
        <v>129</v>
      </c>
      <c r="B300" s="279"/>
      <c r="C300" s="279"/>
      <c r="D300" s="279"/>
      <c r="E300" s="279"/>
      <c r="F300" s="279"/>
      <c r="G300" s="279"/>
      <c r="H300" s="279"/>
      <c r="I300" s="279"/>
      <c r="J300" s="279"/>
      <c r="K300" s="279"/>
    </row>
    <row r="301" spans="1:11">
      <c r="A301" s="224" t="s">
        <v>435</v>
      </c>
      <c r="B301" s="224"/>
      <c r="C301" s="224"/>
      <c r="D301" s="225">
        <v>13</v>
      </c>
      <c r="E301" s="225">
        <v>20</v>
      </c>
      <c r="F301" s="225">
        <v>20</v>
      </c>
      <c r="G301" s="225">
        <v>20</v>
      </c>
      <c r="H301" s="225">
        <v>20</v>
      </c>
    </row>
    <row r="302" spans="1:11">
      <c r="A302" s="226" t="s">
        <v>436</v>
      </c>
      <c r="B302" s="226"/>
      <c r="C302" s="226"/>
      <c r="D302" s="227">
        <v>1367</v>
      </c>
      <c r="E302" s="227">
        <v>5337</v>
      </c>
      <c r="F302" s="227">
        <v>5630</v>
      </c>
      <c r="G302" s="227">
        <v>5922</v>
      </c>
      <c r="H302" s="227">
        <v>6236</v>
      </c>
    </row>
    <row r="303" spans="1:11">
      <c r="A303" s="228" t="s">
        <v>437</v>
      </c>
      <c r="B303" s="224">
        <v>905</v>
      </c>
      <c r="C303" s="224">
        <v>3330</v>
      </c>
      <c r="D303" s="224">
        <v>1299</v>
      </c>
      <c r="E303" s="224">
        <v>5101</v>
      </c>
      <c r="F303" s="224">
        <v>5345</v>
      </c>
      <c r="G303" s="224">
        <v>5582</v>
      </c>
      <c r="H303" s="224">
        <v>5813</v>
      </c>
    </row>
    <row r="304" spans="1:11">
      <c r="A304" s="226" t="s">
        <v>438</v>
      </c>
      <c r="B304" s="226"/>
      <c r="C304" s="226"/>
      <c r="D304" s="227">
        <v>1170</v>
      </c>
      <c r="E304" s="227">
        <v>4665</v>
      </c>
      <c r="F304" s="227">
        <v>5005</v>
      </c>
      <c r="G304" s="227">
        <v>5219</v>
      </c>
      <c r="H304" s="227">
        <v>5441</v>
      </c>
    </row>
    <row r="306" spans="1:11">
      <c r="A306" s="279" t="s">
        <v>469</v>
      </c>
      <c r="B306" s="279"/>
      <c r="C306" s="279"/>
      <c r="D306" s="279"/>
      <c r="E306" s="279"/>
      <c r="F306" s="279"/>
      <c r="G306" s="279"/>
      <c r="H306" s="279"/>
      <c r="I306" s="279"/>
      <c r="J306" s="279"/>
      <c r="K306" s="279"/>
    </row>
    <row r="307" spans="1:11">
      <c r="A307" s="224" t="s">
        <v>435</v>
      </c>
      <c r="B307" s="224"/>
      <c r="C307" s="224"/>
      <c r="D307" s="225">
        <v>9</v>
      </c>
      <c r="E307" s="225">
        <v>16</v>
      </c>
      <c r="F307" s="225">
        <v>16</v>
      </c>
      <c r="G307" s="225">
        <v>16</v>
      </c>
      <c r="H307" s="225">
        <v>16</v>
      </c>
    </row>
    <row r="308" spans="1:11">
      <c r="A308" s="226" t="s">
        <v>436</v>
      </c>
      <c r="B308" s="226"/>
      <c r="C308" s="226"/>
      <c r="D308" s="227">
        <v>2627</v>
      </c>
      <c r="E308" s="227">
        <v>10235</v>
      </c>
      <c r="F308" s="227">
        <v>10099</v>
      </c>
      <c r="G308" s="227">
        <v>10014</v>
      </c>
      <c r="H308" s="227">
        <v>10186</v>
      </c>
    </row>
    <row r="309" spans="1:11">
      <c r="A309" s="228" t="s">
        <v>437</v>
      </c>
      <c r="B309" s="224">
        <v>2591</v>
      </c>
      <c r="C309" s="224">
        <v>10311</v>
      </c>
      <c r="D309" s="224">
        <v>2534</v>
      </c>
      <c r="E309" s="224">
        <v>9725</v>
      </c>
      <c r="F309" s="224">
        <v>9185</v>
      </c>
      <c r="G309" s="224">
        <v>8790</v>
      </c>
      <c r="H309" s="224">
        <v>8432</v>
      </c>
    </row>
    <row r="310" spans="1:11">
      <c r="A310" s="226" t="s">
        <v>438</v>
      </c>
      <c r="B310" s="226"/>
      <c r="C310" s="226"/>
      <c r="D310" s="227">
        <v>2392</v>
      </c>
      <c r="E310" s="227">
        <v>9065</v>
      </c>
      <c r="F310" s="227">
        <v>8564</v>
      </c>
      <c r="G310" s="227">
        <v>7960</v>
      </c>
      <c r="H310" s="227">
        <v>7380</v>
      </c>
    </row>
    <row r="312" spans="1:11">
      <c r="A312" s="279" t="s">
        <v>210</v>
      </c>
      <c r="B312" s="279"/>
      <c r="C312" s="279"/>
      <c r="D312" s="279"/>
      <c r="E312" s="279"/>
      <c r="F312" s="279"/>
      <c r="G312" s="279"/>
      <c r="H312" s="279"/>
      <c r="I312" s="279"/>
      <c r="J312" s="279"/>
      <c r="K312" s="279"/>
    </row>
    <row r="313" spans="1:11">
      <c r="A313" s="224" t="s">
        <v>435</v>
      </c>
      <c r="B313" s="224"/>
      <c r="C313" s="224"/>
      <c r="D313" s="225">
        <v>13</v>
      </c>
      <c r="E313" s="225">
        <v>21</v>
      </c>
      <c r="F313" s="225">
        <v>21</v>
      </c>
      <c r="G313" s="225">
        <v>20</v>
      </c>
      <c r="H313" s="225">
        <v>21</v>
      </c>
    </row>
    <row r="314" spans="1:11">
      <c r="A314" s="226" t="s">
        <v>436</v>
      </c>
      <c r="B314" s="226"/>
      <c r="C314" s="226"/>
      <c r="D314" s="227">
        <v>399</v>
      </c>
      <c r="E314" s="227">
        <v>1581</v>
      </c>
      <c r="F314" s="227">
        <v>1581</v>
      </c>
      <c r="G314" s="227">
        <v>1588</v>
      </c>
      <c r="H314" s="227">
        <v>1597</v>
      </c>
    </row>
    <row r="315" spans="1:11">
      <c r="A315" s="228" t="s">
        <v>437</v>
      </c>
      <c r="B315" s="224">
        <v>388</v>
      </c>
      <c r="C315" s="224">
        <v>1544</v>
      </c>
      <c r="D315" s="224">
        <v>377</v>
      </c>
      <c r="E315" s="224">
        <v>1480</v>
      </c>
      <c r="F315" s="224">
        <v>1413</v>
      </c>
      <c r="G315" s="224">
        <v>1356</v>
      </c>
      <c r="H315" s="224">
        <v>1313</v>
      </c>
    </row>
    <row r="316" spans="1:11">
      <c r="A316" s="226" t="s">
        <v>438</v>
      </c>
      <c r="B316" s="226"/>
      <c r="C316" s="226"/>
      <c r="D316" s="227">
        <v>356</v>
      </c>
      <c r="E316" s="227">
        <v>1214</v>
      </c>
      <c r="F316" s="227">
        <v>943</v>
      </c>
      <c r="G316" s="227">
        <v>725</v>
      </c>
      <c r="H316" s="227">
        <v>550</v>
      </c>
    </row>
    <row r="318" spans="1:11">
      <c r="A318" s="279" t="s">
        <v>211</v>
      </c>
      <c r="B318" s="279"/>
      <c r="C318" s="279"/>
      <c r="D318" s="279"/>
      <c r="E318" s="279"/>
      <c r="F318" s="279"/>
      <c r="G318" s="279"/>
      <c r="H318" s="279"/>
      <c r="I318" s="279"/>
      <c r="J318" s="279"/>
      <c r="K318" s="279"/>
    </row>
    <row r="319" spans="1:11">
      <c r="A319" s="224" t="s">
        <v>435</v>
      </c>
      <c r="B319" s="224"/>
      <c r="C319" s="224"/>
      <c r="D319" s="225">
        <v>13</v>
      </c>
      <c r="E319" s="225">
        <v>21</v>
      </c>
      <c r="F319" s="225">
        <v>21</v>
      </c>
      <c r="G319" s="225">
        <v>20</v>
      </c>
      <c r="H319" s="225">
        <v>21</v>
      </c>
    </row>
    <row r="320" spans="1:11">
      <c r="A320" s="226" t="s">
        <v>436</v>
      </c>
      <c r="B320" s="226"/>
      <c r="C320" s="226"/>
      <c r="D320" s="227">
        <v>415</v>
      </c>
      <c r="E320" s="227">
        <v>1650</v>
      </c>
      <c r="F320" s="227">
        <v>1621</v>
      </c>
      <c r="G320" s="227">
        <v>1612</v>
      </c>
      <c r="H320" s="227">
        <v>1605</v>
      </c>
    </row>
    <row r="321" spans="1:11">
      <c r="A321" s="228" t="s">
        <v>437</v>
      </c>
      <c r="B321" s="224">
        <v>404</v>
      </c>
      <c r="C321" s="224">
        <v>1636</v>
      </c>
      <c r="D321" s="224">
        <v>397</v>
      </c>
      <c r="E321" s="224">
        <v>1554</v>
      </c>
      <c r="F321" s="224">
        <v>1481</v>
      </c>
      <c r="G321" s="224">
        <v>1401</v>
      </c>
      <c r="H321" s="224">
        <v>1333</v>
      </c>
    </row>
    <row r="322" spans="1:11">
      <c r="A322" s="226" t="s">
        <v>438</v>
      </c>
      <c r="B322" s="226"/>
      <c r="C322" s="226"/>
      <c r="D322" s="227">
        <v>365</v>
      </c>
      <c r="E322" s="227">
        <v>1365</v>
      </c>
      <c r="F322" s="227">
        <v>1210</v>
      </c>
      <c r="G322" s="227">
        <v>1106</v>
      </c>
      <c r="H322" s="227">
        <v>988</v>
      </c>
    </row>
    <row r="324" spans="1:11">
      <c r="A324" s="279" t="s">
        <v>212</v>
      </c>
      <c r="B324" s="279"/>
      <c r="C324" s="279"/>
      <c r="D324" s="279"/>
      <c r="E324" s="279"/>
      <c r="F324" s="279"/>
      <c r="G324" s="279"/>
      <c r="H324" s="279"/>
      <c r="I324" s="279"/>
      <c r="J324" s="279"/>
      <c r="K324" s="279"/>
    </row>
    <row r="325" spans="1:11">
      <c r="A325" s="224" t="s">
        <v>435</v>
      </c>
      <c r="B325" s="224"/>
      <c r="C325" s="224"/>
      <c r="D325" s="225">
        <v>11</v>
      </c>
      <c r="E325" s="225">
        <v>21</v>
      </c>
      <c r="F325" s="225">
        <v>21</v>
      </c>
      <c r="G325" s="225">
        <v>20</v>
      </c>
      <c r="H325" s="225">
        <v>21</v>
      </c>
    </row>
    <row r="326" spans="1:11">
      <c r="A326" s="226" t="s">
        <v>436</v>
      </c>
      <c r="B326" s="226"/>
      <c r="C326" s="226"/>
      <c r="D326" s="227">
        <v>178</v>
      </c>
      <c r="E326" s="227">
        <v>698</v>
      </c>
      <c r="F326" s="227">
        <v>685</v>
      </c>
      <c r="G326" s="227">
        <v>683</v>
      </c>
      <c r="H326" s="227">
        <v>677</v>
      </c>
    </row>
    <row r="327" spans="1:11">
      <c r="A327" s="228" t="s">
        <v>437</v>
      </c>
      <c r="B327" s="224">
        <v>169</v>
      </c>
      <c r="C327" s="224">
        <v>681</v>
      </c>
      <c r="D327" s="224">
        <v>167</v>
      </c>
      <c r="E327" s="224">
        <v>653</v>
      </c>
      <c r="F327" s="224">
        <v>616</v>
      </c>
      <c r="G327" s="224">
        <v>584</v>
      </c>
      <c r="H327" s="224">
        <v>551</v>
      </c>
    </row>
    <row r="328" spans="1:11">
      <c r="A328" s="226" t="s">
        <v>438</v>
      </c>
      <c r="B328" s="226"/>
      <c r="C328" s="226"/>
      <c r="D328" s="227">
        <v>157</v>
      </c>
      <c r="E328" s="227">
        <v>563</v>
      </c>
      <c r="F328" s="227">
        <v>445</v>
      </c>
      <c r="G328" s="227">
        <v>330</v>
      </c>
      <c r="H328" s="227">
        <v>230</v>
      </c>
    </row>
    <row r="330" spans="1:11">
      <c r="A330" s="279" t="s">
        <v>470</v>
      </c>
      <c r="B330" s="279"/>
      <c r="C330" s="279"/>
      <c r="D330" s="279"/>
      <c r="E330" s="279"/>
      <c r="F330" s="279"/>
      <c r="G330" s="279"/>
      <c r="H330" s="279"/>
      <c r="I330" s="279"/>
      <c r="J330" s="279"/>
      <c r="K330" s="279"/>
    </row>
    <row r="331" spans="1:11">
      <c r="A331" s="224" t="s">
        <v>435</v>
      </c>
      <c r="B331" s="224"/>
      <c r="C331" s="224"/>
      <c r="D331" s="225">
        <v>10</v>
      </c>
      <c r="E331" s="225">
        <v>20</v>
      </c>
      <c r="F331" s="225">
        <v>20</v>
      </c>
      <c r="G331" s="225">
        <v>19</v>
      </c>
      <c r="H331" s="225">
        <v>20</v>
      </c>
    </row>
    <row r="332" spans="1:11">
      <c r="A332" s="226" t="s">
        <v>436</v>
      </c>
      <c r="B332" s="226"/>
      <c r="C332" s="226"/>
      <c r="D332" s="227">
        <v>245</v>
      </c>
      <c r="E332" s="227">
        <v>947</v>
      </c>
      <c r="F332" s="227">
        <v>966</v>
      </c>
      <c r="G332" s="227">
        <v>986</v>
      </c>
      <c r="H332" s="227">
        <v>907</v>
      </c>
    </row>
    <row r="333" spans="1:11">
      <c r="A333" s="228" t="s">
        <v>437</v>
      </c>
      <c r="B333" s="224">
        <v>234</v>
      </c>
      <c r="C333" s="224">
        <v>922</v>
      </c>
      <c r="D333" s="224">
        <v>217</v>
      </c>
      <c r="E333" s="224">
        <v>636</v>
      </c>
      <c r="F333" s="224">
        <v>481</v>
      </c>
      <c r="G333" s="224">
        <v>423</v>
      </c>
      <c r="H333" s="224">
        <v>376</v>
      </c>
    </row>
    <row r="334" spans="1:11">
      <c r="A334" s="226" t="s">
        <v>438</v>
      </c>
      <c r="B334" s="226"/>
      <c r="C334" s="226"/>
      <c r="D334" s="227">
        <v>57</v>
      </c>
      <c r="E334" s="227">
        <v>223</v>
      </c>
      <c r="F334" s="227">
        <v>162</v>
      </c>
      <c r="G334" s="227">
        <v>130</v>
      </c>
      <c r="H334" s="227">
        <v>83</v>
      </c>
    </row>
    <row r="336" spans="1:11">
      <c r="A336" s="279" t="s">
        <v>471</v>
      </c>
      <c r="B336" s="279"/>
      <c r="C336" s="279"/>
      <c r="D336" s="279"/>
      <c r="E336" s="279"/>
      <c r="F336" s="279"/>
      <c r="G336" s="279"/>
      <c r="H336" s="279"/>
      <c r="I336" s="279"/>
      <c r="J336" s="279"/>
      <c r="K336" s="279"/>
    </row>
    <row r="337" spans="1:11">
      <c r="A337" s="224" t="s">
        <v>435</v>
      </c>
      <c r="B337" s="224"/>
      <c r="C337" s="224"/>
      <c r="D337" s="225">
        <v>9</v>
      </c>
      <c r="E337" s="225">
        <v>15</v>
      </c>
      <c r="F337" s="225">
        <v>15</v>
      </c>
      <c r="G337" s="225">
        <v>14</v>
      </c>
      <c r="H337" s="225">
        <v>15</v>
      </c>
    </row>
    <row r="338" spans="1:11">
      <c r="A338" s="226" t="s">
        <v>436</v>
      </c>
      <c r="B338" s="226"/>
      <c r="C338" s="226"/>
      <c r="D338" s="227">
        <v>1422</v>
      </c>
      <c r="E338" s="227">
        <v>5607</v>
      </c>
      <c r="F338" s="227">
        <v>5732</v>
      </c>
      <c r="G338" s="227">
        <v>6086</v>
      </c>
      <c r="H338" s="227">
        <v>6599</v>
      </c>
    </row>
    <row r="339" spans="1:11">
      <c r="A339" s="228" t="s">
        <v>437</v>
      </c>
      <c r="B339" s="224">
        <v>1396</v>
      </c>
      <c r="C339" s="224">
        <v>5528</v>
      </c>
      <c r="D339" s="224">
        <v>1378</v>
      </c>
      <c r="E339" s="224">
        <v>5382</v>
      </c>
      <c r="F339" s="224">
        <v>5176</v>
      </c>
      <c r="G339" s="224">
        <v>4981</v>
      </c>
      <c r="H339" s="224">
        <v>4836</v>
      </c>
    </row>
    <row r="340" spans="1:11">
      <c r="A340" s="226" t="s">
        <v>438</v>
      </c>
      <c r="B340" s="226"/>
      <c r="C340" s="226"/>
      <c r="D340" s="227">
        <v>1300</v>
      </c>
      <c r="E340" s="227">
        <v>5072</v>
      </c>
      <c r="F340" s="227">
        <v>4746</v>
      </c>
      <c r="G340" s="227">
        <v>4444</v>
      </c>
      <c r="H340" s="227">
        <v>4167</v>
      </c>
    </row>
    <row r="342" spans="1:11">
      <c r="A342" s="279" t="s">
        <v>235</v>
      </c>
      <c r="B342" s="279"/>
      <c r="C342" s="279"/>
      <c r="D342" s="279"/>
      <c r="E342" s="279"/>
      <c r="F342" s="279"/>
      <c r="G342" s="279"/>
      <c r="H342" s="279"/>
      <c r="I342" s="279"/>
      <c r="J342" s="279"/>
      <c r="K342" s="279"/>
    </row>
    <row r="343" spans="1:11">
      <c r="A343" s="224" t="s">
        <v>435</v>
      </c>
      <c r="B343" s="224"/>
      <c r="C343" s="224"/>
      <c r="D343" s="225">
        <v>14</v>
      </c>
      <c r="E343" s="225">
        <v>21</v>
      </c>
      <c r="F343" s="225">
        <v>21</v>
      </c>
      <c r="G343" s="225">
        <v>21</v>
      </c>
      <c r="H343" s="225">
        <v>21</v>
      </c>
    </row>
    <row r="344" spans="1:11">
      <c r="A344" s="226" t="s">
        <v>436</v>
      </c>
      <c r="B344" s="226"/>
      <c r="C344" s="226"/>
      <c r="D344" s="227">
        <v>546</v>
      </c>
      <c r="E344" s="227">
        <v>2013</v>
      </c>
      <c r="F344" s="227">
        <v>2134</v>
      </c>
      <c r="G344" s="227">
        <v>2262</v>
      </c>
      <c r="H344" s="227">
        <v>2397</v>
      </c>
    </row>
    <row r="345" spans="1:11">
      <c r="A345" s="228" t="s">
        <v>437</v>
      </c>
      <c r="B345" s="224">
        <v>459</v>
      </c>
      <c r="C345" s="224">
        <v>1854</v>
      </c>
      <c r="D345" s="224">
        <v>482</v>
      </c>
      <c r="E345" s="224">
        <v>1918</v>
      </c>
      <c r="F345" s="224">
        <v>1960</v>
      </c>
      <c r="G345" s="224">
        <v>2010</v>
      </c>
      <c r="H345" s="224">
        <v>2058</v>
      </c>
    </row>
    <row r="346" spans="1:11">
      <c r="A346" s="226" t="s">
        <v>438</v>
      </c>
      <c r="B346" s="226"/>
      <c r="C346" s="226"/>
      <c r="D346" s="227">
        <v>465</v>
      </c>
      <c r="E346" s="227">
        <v>1855</v>
      </c>
      <c r="F346" s="227">
        <v>1783</v>
      </c>
      <c r="G346" s="227">
        <v>1779</v>
      </c>
      <c r="H346" s="227">
        <v>1742</v>
      </c>
    </row>
    <row r="348" spans="1:11">
      <c r="A348" s="279" t="s">
        <v>371</v>
      </c>
      <c r="B348" s="279"/>
      <c r="C348" s="279"/>
      <c r="D348" s="279"/>
      <c r="E348" s="279"/>
      <c r="F348" s="279"/>
      <c r="G348" s="279"/>
      <c r="H348" s="279"/>
      <c r="I348" s="279"/>
      <c r="J348" s="279"/>
      <c r="K348" s="279"/>
    </row>
    <row r="349" spans="1:11">
      <c r="A349" s="224" t="s">
        <v>435</v>
      </c>
      <c r="B349" s="224"/>
      <c r="C349" s="224"/>
      <c r="D349" s="225">
        <v>7</v>
      </c>
      <c r="E349" s="225">
        <v>16</v>
      </c>
      <c r="F349" s="225">
        <v>16</v>
      </c>
      <c r="G349" s="225">
        <v>16</v>
      </c>
      <c r="H349" s="225">
        <v>16</v>
      </c>
    </row>
    <row r="350" spans="1:11">
      <c r="A350" s="226" t="s">
        <v>436</v>
      </c>
      <c r="B350" s="226"/>
      <c r="C350" s="226"/>
      <c r="D350" s="227">
        <v>35</v>
      </c>
      <c r="E350" s="227">
        <v>352</v>
      </c>
      <c r="F350" s="227">
        <v>573</v>
      </c>
      <c r="G350" s="227">
        <v>801</v>
      </c>
      <c r="H350" s="227">
        <v>955</v>
      </c>
    </row>
    <row r="351" spans="1:11">
      <c r="A351" s="228" t="s">
        <v>437</v>
      </c>
      <c r="B351" s="224">
        <v>19</v>
      </c>
      <c r="C351" s="224">
        <v>55</v>
      </c>
      <c r="D351" s="224">
        <v>22</v>
      </c>
      <c r="E351" s="224">
        <v>172</v>
      </c>
      <c r="F351" s="224">
        <v>314</v>
      </c>
      <c r="G351" s="224">
        <v>437</v>
      </c>
      <c r="H351" s="224">
        <v>532</v>
      </c>
    </row>
    <row r="352" spans="1:11">
      <c r="A352" s="226" t="s">
        <v>438</v>
      </c>
      <c r="B352" s="226"/>
      <c r="C352" s="226"/>
      <c r="D352" s="227">
        <v>5</v>
      </c>
      <c r="E352" s="227">
        <v>66</v>
      </c>
      <c r="F352" s="227">
        <v>86</v>
      </c>
      <c r="G352" s="227">
        <v>103</v>
      </c>
      <c r="H352" s="227">
        <v>115</v>
      </c>
    </row>
    <row r="353" spans="1:11">
      <c r="A353" s="220"/>
    </row>
    <row r="354" spans="1:11" ht="28" customHeight="1">
      <c r="A354" s="278" t="s">
        <v>472</v>
      </c>
      <c r="B354" s="278"/>
      <c r="C354" s="278"/>
      <c r="D354" s="278"/>
      <c r="E354" s="278"/>
      <c r="F354" s="278"/>
      <c r="G354" s="278"/>
      <c r="H354" s="278"/>
      <c r="I354" s="278"/>
      <c r="J354" s="278"/>
      <c r="K354" s="278"/>
    </row>
    <row r="355" spans="1:11">
      <c r="A355" s="278" t="s">
        <v>431</v>
      </c>
      <c r="B355" s="278"/>
      <c r="C355" s="278"/>
      <c r="D355" s="278"/>
      <c r="E355" s="278"/>
      <c r="F355" s="278"/>
      <c r="G355" s="278"/>
      <c r="H355" s="278"/>
      <c r="I355" s="278"/>
      <c r="J355" s="278"/>
      <c r="K355" s="278"/>
    </row>
    <row r="356" spans="1:11">
      <c r="A356" s="278" t="s">
        <v>457</v>
      </c>
      <c r="B356" s="278"/>
      <c r="C356" s="278"/>
      <c r="D356" s="278"/>
      <c r="E356" s="278"/>
      <c r="F356" s="278"/>
      <c r="G356" s="278"/>
      <c r="H356" s="278"/>
      <c r="I356" s="278"/>
      <c r="J356" s="278"/>
      <c r="K356" s="278"/>
    </row>
    <row r="357" spans="1:11">
      <c r="A357" s="278" t="s">
        <v>473</v>
      </c>
      <c r="B357" s="278"/>
      <c r="C357" s="278"/>
      <c r="D357" s="278"/>
      <c r="E357" s="278"/>
      <c r="F357" s="278"/>
      <c r="G357" s="278"/>
      <c r="H357" s="278"/>
      <c r="I357" s="278"/>
      <c r="J357" s="278"/>
      <c r="K357" s="278"/>
    </row>
  </sheetData>
  <mergeCells count="69">
    <mergeCell ref="A59:K59"/>
    <mergeCell ref="A2:K2"/>
    <mergeCell ref="A5:K5"/>
    <mergeCell ref="A7:K7"/>
    <mergeCell ref="A11:K11"/>
    <mergeCell ref="A17:K17"/>
    <mergeCell ref="A23:K23"/>
    <mergeCell ref="A29:K29"/>
    <mergeCell ref="A35:K35"/>
    <mergeCell ref="A41:K41"/>
    <mergeCell ref="A47:K47"/>
    <mergeCell ref="A53:K53"/>
    <mergeCell ref="A129:K129"/>
    <mergeCell ref="A65:K65"/>
    <mergeCell ref="A71:K71"/>
    <mergeCell ref="A77:K77"/>
    <mergeCell ref="A83:K83"/>
    <mergeCell ref="A89:K89"/>
    <mergeCell ref="A95:K95"/>
    <mergeCell ref="A101:K101"/>
    <mergeCell ref="A107:K107"/>
    <mergeCell ref="A113:K113"/>
    <mergeCell ref="A119:K119"/>
    <mergeCell ref="A126:K126"/>
    <mergeCell ref="A178:K178"/>
    <mergeCell ref="A131:K131"/>
    <mergeCell ref="A135:K135"/>
    <mergeCell ref="A141:K141"/>
    <mergeCell ref="A147:K147"/>
    <mergeCell ref="A148:K148"/>
    <mergeCell ref="A151:K151"/>
    <mergeCell ref="A154:K154"/>
    <mergeCell ref="A156:K156"/>
    <mergeCell ref="A160:K160"/>
    <mergeCell ref="A166:K166"/>
    <mergeCell ref="A172:K172"/>
    <mergeCell ref="A246:K246"/>
    <mergeCell ref="A184:K184"/>
    <mergeCell ref="A190:K190"/>
    <mergeCell ref="A196:K196"/>
    <mergeCell ref="A202:K202"/>
    <mergeCell ref="A208:K208"/>
    <mergeCell ref="A214:K214"/>
    <mergeCell ref="A220:K220"/>
    <mergeCell ref="A222:K222"/>
    <mergeCell ref="A228:K228"/>
    <mergeCell ref="A234:K234"/>
    <mergeCell ref="A240:K240"/>
    <mergeCell ref="A318:K318"/>
    <mergeCell ref="A252:K252"/>
    <mergeCell ref="A258:K258"/>
    <mergeCell ref="A264:K264"/>
    <mergeCell ref="A270:K270"/>
    <mergeCell ref="A276:K276"/>
    <mergeCell ref="A282:K282"/>
    <mergeCell ref="A288:K288"/>
    <mergeCell ref="A294:K294"/>
    <mergeCell ref="A300:K300"/>
    <mergeCell ref="A306:K306"/>
    <mergeCell ref="A312:K312"/>
    <mergeCell ref="A355:K355"/>
    <mergeCell ref="A356:K356"/>
    <mergeCell ref="A357:K357"/>
    <mergeCell ref="A324:K324"/>
    <mergeCell ref="A330:K330"/>
    <mergeCell ref="A336:K336"/>
    <mergeCell ref="A342:K342"/>
    <mergeCell ref="A348:K348"/>
    <mergeCell ref="A354:K354"/>
  </mergeCells>
  <hyperlinks>
    <hyperlink ref="A1" r:id="rId1"/>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76"/>
  <sheetViews>
    <sheetView showGridLines="0" zoomScale="150" zoomScaleNormal="150" zoomScalePageLayoutView="150" workbookViewId="0">
      <selection activeCell="A46" sqref="A46"/>
    </sheetView>
  </sheetViews>
  <sheetFormatPr baseColWidth="10" defaultColWidth="11.5" defaultRowHeight="14" x14ac:dyDescent="0"/>
  <cols>
    <col min="1" max="1" width="6.5" customWidth="1"/>
    <col min="2" max="2" width="23.1640625" customWidth="1"/>
    <col min="3" max="3" width="36.5" customWidth="1"/>
  </cols>
  <sheetData>
    <row r="2" spans="2:5">
      <c r="B2" s="27" t="s">
        <v>19</v>
      </c>
      <c r="C2" s="28" t="s">
        <v>20</v>
      </c>
      <c r="D2" s="29"/>
    </row>
    <row r="3" spans="2:5">
      <c r="B3" s="30"/>
      <c r="C3" s="31" t="s">
        <v>426</v>
      </c>
      <c r="D3" s="32"/>
    </row>
    <row r="4" spans="2:5">
      <c r="B4" s="33"/>
      <c r="C4" s="34"/>
      <c r="D4" s="35"/>
    </row>
    <row r="6" spans="2:5">
      <c r="B6" s="27" t="s">
        <v>8</v>
      </c>
      <c r="C6" s="28" t="s">
        <v>20</v>
      </c>
      <c r="D6" s="29">
        <v>0.01</v>
      </c>
    </row>
    <row r="7" spans="2:5">
      <c r="B7" s="30" t="s">
        <v>156</v>
      </c>
      <c r="C7" s="31" t="s">
        <v>426</v>
      </c>
      <c r="D7" s="32">
        <v>7.1706860248865967E-2</v>
      </c>
      <c r="E7" t="s">
        <v>428</v>
      </c>
    </row>
    <row r="8" spans="2:5">
      <c r="B8" s="33"/>
      <c r="C8" s="34"/>
      <c r="D8" s="35"/>
    </row>
    <row r="10" spans="2:5">
      <c r="B10" s="27" t="s">
        <v>8</v>
      </c>
      <c r="C10" s="28" t="s">
        <v>20</v>
      </c>
      <c r="D10" s="29">
        <v>0.12520822056414982</v>
      </c>
      <c r="E10" t="s">
        <v>428</v>
      </c>
    </row>
    <row r="11" spans="2:5">
      <c r="B11" s="30" t="s">
        <v>193</v>
      </c>
      <c r="C11" s="31" t="s">
        <v>426</v>
      </c>
      <c r="D11" s="32">
        <v>0.18</v>
      </c>
    </row>
    <row r="12" spans="2:5">
      <c r="B12" s="33"/>
      <c r="C12" s="34"/>
      <c r="D12" s="35"/>
    </row>
    <row r="14" spans="2:5">
      <c r="B14" s="27" t="s">
        <v>8</v>
      </c>
      <c r="C14" s="28" t="s">
        <v>20</v>
      </c>
      <c r="D14" s="29">
        <v>0.02</v>
      </c>
      <c r="E14" t="s">
        <v>428</v>
      </c>
    </row>
    <row r="15" spans="2:5">
      <c r="B15" s="30" t="s">
        <v>246</v>
      </c>
      <c r="C15" s="31" t="s">
        <v>426</v>
      </c>
      <c r="D15" s="32">
        <v>0.05</v>
      </c>
    </row>
    <row r="16" spans="2:5">
      <c r="B16" s="33"/>
      <c r="C16" s="34"/>
      <c r="D16" s="35"/>
    </row>
    <row r="18" spans="2:5">
      <c r="B18" s="27" t="s">
        <v>8</v>
      </c>
      <c r="C18" s="28" t="s">
        <v>20</v>
      </c>
      <c r="D18" s="29">
        <v>0.01</v>
      </c>
    </row>
    <row r="19" spans="2:5">
      <c r="B19" s="30" t="s">
        <v>429</v>
      </c>
      <c r="C19" s="31" t="s">
        <v>426</v>
      </c>
      <c r="D19" s="32">
        <v>2.1999999999999999E-2</v>
      </c>
      <c r="E19" t="s">
        <v>428</v>
      </c>
    </row>
    <row r="20" spans="2:5">
      <c r="B20" s="33"/>
      <c r="C20" s="34"/>
      <c r="D20" s="35"/>
    </row>
    <row r="22" spans="2:5">
      <c r="B22" s="27" t="s">
        <v>8</v>
      </c>
      <c r="C22" s="28" t="s">
        <v>20</v>
      </c>
      <c r="D22" s="29">
        <v>0</v>
      </c>
    </row>
    <row r="23" spans="2:5">
      <c r="B23" s="30" t="s">
        <v>249</v>
      </c>
      <c r="C23" s="31" t="s">
        <v>426</v>
      </c>
      <c r="D23" s="32">
        <v>7.9283611105976259E-2</v>
      </c>
      <c r="E23" t="s">
        <v>428</v>
      </c>
    </row>
    <row r="24" spans="2:5">
      <c r="B24" s="33"/>
      <c r="C24" s="34"/>
      <c r="D24" s="35"/>
    </row>
    <row r="26" spans="2:5">
      <c r="B26" s="27" t="s">
        <v>8</v>
      </c>
      <c r="C26" s="28" t="s">
        <v>20</v>
      </c>
      <c r="D26" s="29">
        <v>1.5761028640823849E-2</v>
      </c>
      <c r="E26" t="s">
        <v>428</v>
      </c>
    </row>
    <row r="27" spans="2:5">
      <c r="B27" s="30" t="s">
        <v>136</v>
      </c>
      <c r="C27" s="31" t="s">
        <v>426</v>
      </c>
      <c r="D27" s="32">
        <v>0.4</v>
      </c>
    </row>
    <row r="28" spans="2:5">
      <c r="B28" s="33"/>
      <c r="C28" s="34"/>
      <c r="D28" s="35"/>
    </row>
    <row r="30" spans="2:5">
      <c r="B30" s="27" t="s">
        <v>8</v>
      </c>
      <c r="C30" s="28" t="s">
        <v>20</v>
      </c>
      <c r="D30" s="29">
        <v>0</v>
      </c>
    </row>
    <row r="31" spans="2:5">
      <c r="B31" s="30" t="s">
        <v>248</v>
      </c>
      <c r="C31" s="31" t="s">
        <v>426</v>
      </c>
      <c r="D31" s="32">
        <v>4.522379599104509E-2</v>
      </c>
      <c r="E31" t="s">
        <v>428</v>
      </c>
    </row>
    <row r="32" spans="2:5">
      <c r="B32" s="33"/>
      <c r="C32" s="34"/>
      <c r="D32" s="35"/>
    </row>
    <row r="34" spans="2:5">
      <c r="B34" s="27" t="s">
        <v>8</v>
      </c>
      <c r="C34" s="28" t="s">
        <v>20</v>
      </c>
      <c r="D34" s="29">
        <v>0.11290043806517969</v>
      </c>
      <c r="E34" t="s">
        <v>428</v>
      </c>
    </row>
    <row r="35" spans="2:5">
      <c r="B35" s="30" t="s">
        <v>131</v>
      </c>
      <c r="C35" s="31" t="s">
        <v>426</v>
      </c>
      <c r="D35" s="32">
        <v>0.55000000000000004</v>
      </c>
    </row>
    <row r="36" spans="2:5">
      <c r="B36" s="33"/>
      <c r="C36" s="34"/>
      <c r="D36" s="35"/>
    </row>
    <row r="38" spans="2:5">
      <c r="B38" s="27" t="s">
        <v>8</v>
      </c>
      <c r="C38" s="28" t="s">
        <v>20</v>
      </c>
      <c r="D38" s="29">
        <f>DCF!K57</f>
        <v>6.2937062937062915E-2</v>
      </c>
    </row>
    <row r="39" spans="2:5">
      <c r="B39" s="30" t="s">
        <v>282</v>
      </c>
      <c r="C39" s="31" t="s">
        <v>426</v>
      </c>
      <c r="D39" s="32">
        <f>DCF!S56</f>
        <v>0.12174227842753238</v>
      </c>
    </row>
    <row r="40" spans="2:5">
      <c r="B40" s="33"/>
      <c r="C40" s="34"/>
      <c r="D40" s="35"/>
    </row>
    <row r="42" spans="2:5">
      <c r="B42" s="27" t="s">
        <v>8</v>
      </c>
      <c r="C42" s="28" t="s">
        <v>20</v>
      </c>
      <c r="D42" s="29">
        <v>2.415191411055595E-2</v>
      </c>
    </row>
    <row r="43" spans="2:5">
      <c r="B43" s="30" t="s">
        <v>247</v>
      </c>
      <c r="C43" s="31" t="s">
        <v>426</v>
      </c>
      <c r="D43" s="32">
        <v>2.415191411055595E-2</v>
      </c>
      <c r="E43" t="s">
        <v>428</v>
      </c>
    </row>
    <row r="44" spans="2:5">
      <c r="B44" s="33"/>
      <c r="C44" s="34"/>
      <c r="D44" s="35"/>
    </row>
    <row r="46" spans="2:5">
      <c r="B46" s="27" t="s">
        <v>8</v>
      </c>
      <c r="C46" s="28" t="s">
        <v>20</v>
      </c>
      <c r="D46" s="29">
        <v>0.01</v>
      </c>
    </row>
    <row r="47" spans="2:5">
      <c r="B47" s="30" t="s">
        <v>250</v>
      </c>
      <c r="C47" s="31" t="s">
        <v>426</v>
      </c>
      <c r="D47" s="32">
        <v>9.1999999999999998E-2</v>
      </c>
    </row>
    <row r="48" spans="2:5">
      <c r="B48" s="33"/>
      <c r="C48" s="34"/>
      <c r="D48" s="35"/>
    </row>
    <row r="50" spans="2:4">
      <c r="B50" s="27" t="s">
        <v>8</v>
      </c>
      <c r="C50" s="28" t="s">
        <v>20</v>
      </c>
      <c r="D50" s="29">
        <v>4.7E-2</v>
      </c>
    </row>
    <row r="51" spans="2:4">
      <c r="B51" s="30" t="s">
        <v>234</v>
      </c>
      <c r="C51" s="31" t="s">
        <v>426</v>
      </c>
      <c r="D51" s="32">
        <v>0.06</v>
      </c>
    </row>
    <row r="52" spans="2:4">
      <c r="B52" s="33"/>
      <c r="C52" s="34"/>
      <c r="D52" s="35"/>
    </row>
    <row r="54" spans="2:4">
      <c r="B54" s="27" t="s">
        <v>8</v>
      </c>
      <c r="C54" s="28" t="s">
        <v>20</v>
      </c>
      <c r="D54" s="29">
        <f>DCF!S64</f>
        <v>1.3529999820232064E-3</v>
      </c>
    </row>
    <row r="55" spans="2:4">
      <c r="B55" s="30" t="s">
        <v>235</v>
      </c>
      <c r="C55" s="31" t="s">
        <v>426</v>
      </c>
      <c r="D55" s="32">
        <v>8.6999999999999994E-2</v>
      </c>
    </row>
    <row r="56" spans="2:4">
      <c r="B56" s="33"/>
      <c r="C56" s="34"/>
      <c r="D56" s="35"/>
    </row>
    <row r="58" spans="2:4">
      <c r="B58" s="27" t="s">
        <v>8</v>
      </c>
      <c r="C58" s="28" t="s">
        <v>20</v>
      </c>
      <c r="D58" s="29">
        <f>DCF!S66</f>
        <v>4.1028517748541882E-2</v>
      </c>
    </row>
    <row r="59" spans="2:4">
      <c r="B59" s="30" t="s">
        <v>239</v>
      </c>
      <c r="C59" s="31" t="s">
        <v>426</v>
      </c>
      <c r="D59" s="32">
        <v>5.0632398998785133E-2</v>
      </c>
    </row>
    <row r="60" spans="2:4">
      <c r="B60" s="33"/>
      <c r="C60" s="34"/>
      <c r="D60" s="35"/>
    </row>
    <row r="61" spans="2:4" hidden="1"/>
    <row r="62" spans="2:4" hidden="1">
      <c r="B62" s="27" t="s">
        <v>9</v>
      </c>
      <c r="C62" s="28" t="s">
        <v>20</v>
      </c>
      <c r="D62" s="29"/>
    </row>
    <row r="63" spans="2:4" hidden="1">
      <c r="B63" s="30"/>
      <c r="C63" s="31" t="s">
        <v>426</v>
      </c>
      <c r="D63" s="32"/>
    </row>
    <row r="64" spans="2:4" hidden="1">
      <c r="B64" s="33"/>
      <c r="C64" s="34"/>
      <c r="D64" s="35"/>
    </row>
    <row r="65" spans="2:4" hidden="1"/>
    <row r="66" spans="2:4" hidden="1">
      <c r="B66" s="27" t="s">
        <v>10</v>
      </c>
      <c r="C66" s="28" t="s">
        <v>20</v>
      </c>
      <c r="D66" s="29"/>
    </row>
    <row r="67" spans="2:4" hidden="1">
      <c r="B67" s="30"/>
      <c r="C67" s="31" t="s">
        <v>426</v>
      </c>
      <c r="D67" s="32"/>
    </row>
    <row r="68" spans="2:4" hidden="1">
      <c r="B68" s="33"/>
      <c r="C68" s="34"/>
      <c r="D68" s="35"/>
    </row>
    <row r="70" spans="2:4">
      <c r="B70" s="27" t="s">
        <v>30</v>
      </c>
      <c r="C70" s="51" t="s">
        <v>32</v>
      </c>
      <c r="D70" s="53">
        <v>0.93</v>
      </c>
    </row>
    <row r="71" spans="2:4">
      <c r="B71" s="30"/>
      <c r="C71" s="52" t="s">
        <v>31</v>
      </c>
      <c r="D71" s="54">
        <v>0.75</v>
      </c>
    </row>
    <row r="72" spans="2:4">
      <c r="B72" s="30"/>
      <c r="C72" s="52" t="s">
        <v>180</v>
      </c>
      <c r="D72" s="54">
        <v>0.94099999999999995</v>
      </c>
    </row>
    <row r="73" spans="2:4">
      <c r="B73" s="30"/>
      <c r="C73" s="52" t="s">
        <v>181</v>
      </c>
      <c r="D73" s="54">
        <v>0.87819999999999998</v>
      </c>
    </row>
    <row r="74" spans="2:4">
      <c r="B74" s="30"/>
      <c r="C74" s="52" t="s">
        <v>64</v>
      </c>
      <c r="D74" s="54">
        <v>1</v>
      </c>
    </row>
    <row r="75" spans="2:4">
      <c r="B75" s="30"/>
      <c r="C75" s="52" t="s">
        <v>74</v>
      </c>
      <c r="D75" s="54">
        <v>0.9325</v>
      </c>
    </row>
    <row r="76" spans="2:4">
      <c r="B76" s="33"/>
      <c r="C76" s="34" t="s">
        <v>17</v>
      </c>
      <c r="D76" s="55">
        <f>AVERAGE(D70:D75)</f>
        <v>0.90528333333333333</v>
      </c>
    </row>
  </sheetData>
  <hyperlinks>
    <hyperlink ref="C70" r:id="rId1"/>
    <hyperlink ref="C71" r:id="rId2"/>
    <hyperlink ref="C75" r:id="rId3"/>
    <hyperlink ref="C74" r:id="rId4"/>
    <hyperlink ref="C72" r:id="rId5"/>
    <hyperlink ref="C73" r:id="rId6"/>
  </hyperlinks>
  <pageMargins left="0.75" right="0.75" top="1" bottom="1" header="0.5" footer="0.5"/>
  <pageSetup paperSize="9" orientation="portrait" horizontalDpi="4294967292" verticalDpi="4294967292"/>
  <legacyDrawing r:id="rId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5" zoomScaleNormal="125" zoomScalePageLayoutView="125" workbookViewId="0"/>
  </sheetViews>
  <sheetFormatPr baseColWidth="10" defaultColWidth="8.83203125" defaultRowHeight="14" x14ac:dyDescent="0"/>
  <cols>
    <col min="2" max="2" width="19.1640625" customWidth="1"/>
    <col min="4" max="4" width="9.1640625" bestFit="1" customWidth="1"/>
    <col min="5" max="5" width="9.33203125" bestFit="1" customWidth="1"/>
    <col min="7" max="7" width="21.33203125" bestFit="1" customWidth="1"/>
    <col min="8" max="8" width="14.83203125" customWidth="1"/>
    <col min="9" max="9" width="13" customWidth="1"/>
    <col min="10" max="10" width="13.6640625" bestFit="1" customWidth="1"/>
    <col min="11" max="11" width="12" bestFit="1" customWidth="1"/>
  </cols>
  <sheetData>
    <row r="1" spans="1:11">
      <c r="G1" t="s">
        <v>44</v>
      </c>
    </row>
    <row r="2" spans="1:11" ht="15">
      <c r="B2" s="49" t="s">
        <v>24</v>
      </c>
      <c r="C2" s="50"/>
      <c r="D2" s="50"/>
      <c r="E2" s="50"/>
      <c r="G2" s="73"/>
      <c r="H2" s="74" t="s">
        <v>35</v>
      </c>
      <c r="I2" s="75" t="s">
        <v>36</v>
      </c>
      <c r="J2" s="75" t="s">
        <v>37</v>
      </c>
      <c r="K2" s="75" t="s">
        <v>38</v>
      </c>
    </row>
    <row r="3" spans="1:11" ht="15">
      <c r="B3" s="45"/>
      <c r="G3" s="76" t="s">
        <v>39</v>
      </c>
      <c r="H3" s="193">
        <f>D6*D10</f>
        <v>108693.17103732213</v>
      </c>
      <c r="I3" s="193">
        <f>DCF!F33+DCF!F32</f>
        <v>18609</v>
      </c>
      <c r="J3" s="193"/>
      <c r="K3" s="193">
        <f>SUM(H3:J3)</f>
        <v>127302.17103732213</v>
      </c>
    </row>
    <row r="4" spans="1:11" ht="16" thickBot="1">
      <c r="B4" s="46" t="s">
        <v>22</v>
      </c>
      <c r="D4" t="s">
        <v>178</v>
      </c>
      <c r="G4" s="77" t="s">
        <v>40</v>
      </c>
      <c r="H4" s="85">
        <f>H3/$K$3</f>
        <v>0.85382024636057263</v>
      </c>
      <c r="I4" s="85">
        <f t="shared" ref="I4:J4" si="0">I3/$K$3</f>
        <v>0.14617975363942742</v>
      </c>
      <c r="J4" s="85">
        <f t="shared" si="0"/>
        <v>0</v>
      </c>
      <c r="K4" s="85">
        <f>SUM(H4:J4)</f>
        <v>1</v>
      </c>
    </row>
    <row r="5" spans="1:11" ht="16" thickBot="1">
      <c r="B5" s="47" t="s">
        <v>23</v>
      </c>
      <c r="D5" t="s">
        <v>179</v>
      </c>
      <c r="G5" s="77" t="s">
        <v>41</v>
      </c>
      <c r="H5" s="78">
        <f>E12</f>
        <v>6.8923233333333334E-2</v>
      </c>
      <c r="I5" s="78">
        <f>E22</f>
        <v>1.4808526296095133E-2</v>
      </c>
      <c r="J5" s="78"/>
      <c r="K5" s="86">
        <f>H4*H5+I4*I5+J4*J5</f>
        <v>6.1012758790360069E-2</v>
      </c>
    </row>
    <row r="6" spans="1:11" ht="15">
      <c r="B6" t="s">
        <v>1</v>
      </c>
      <c r="D6" s="82">
        <f>'Consolidated P&amp;L'!B29</f>
        <v>1262.4000000000001</v>
      </c>
      <c r="G6" s="79"/>
      <c r="H6" s="80"/>
      <c r="I6" s="80"/>
      <c r="J6" s="80"/>
      <c r="K6" s="81"/>
    </row>
    <row r="7" spans="1:11" ht="15">
      <c r="B7" s="84" t="s">
        <v>505</v>
      </c>
      <c r="D7" s="83">
        <v>48.1</v>
      </c>
      <c r="E7" t="s">
        <v>57</v>
      </c>
      <c r="F7" s="137">
        <v>42984</v>
      </c>
      <c r="G7" s="79"/>
      <c r="H7" s="80"/>
      <c r="I7" s="80"/>
      <c r="J7" t="s">
        <v>69</v>
      </c>
      <c r="K7" s="133">
        <f>K3/DCF!K86</f>
        <v>16.136667643214871</v>
      </c>
    </row>
    <row r="8" spans="1:11" ht="15">
      <c r="B8" s="46" t="s">
        <v>411</v>
      </c>
      <c r="D8" s="191">
        <v>1.1173</v>
      </c>
      <c r="E8" t="s">
        <v>57</v>
      </c>
      <c r="F8" s="137">
        <f>F7</f>
        <v>42984</v>
      </c>
      <c r="G8" s="79"/>
      <c r="H8" s="80"/>
      <c r="I8" s="80"/>
      <c r="K8" s="190"/>
    </row>
    <row r="9" spans="1:11" ht="15">
      <c r="B9" s="46" t="s">
        <v>504</v>
      </c>
      <c r="D9" s="268">
        <v>2</v>
      </c>
      <c r="F9" s="137"/>
      <c r="G9" s="79"/>
      <c r="H9" s="80"/>
      <c r="I9" s="80"/>
      <c r="K9" s="190"/>
    </row>
    <row r="10" spans="1:11" ht="15">
      <c r="B10" s="47" t="s">
        <v>42</v>
      </c>
      <c r="D10" s="192">
        <f>D7/D8*D9</f>
        <v>86.100420656940841</v>
      </c>
      <c r="E10" t="s">
        <v>57</v>
      </c>
      <c r="F10" s="137">
        <f>F7</f>
        <v>42984</v>
      </c>
      <c r="G10" s="79"/>
      <c r="H10" s="80"/>
      <c r="I10" s="80"/>
      <c r="K10" s="190"/>
    </row>
    <row r="12" spans="1:11" ht="15">
      <c r="B12" s="63" t="s">
        <v>25</v>
      </c>
      <c r="C12" s="64"/>
      <c r="D12" s="65"/>
      <c r="E12" s="56">
        <f>E14+E16*E18+E20</f>
        <v>6.8923233333333334E-2</v>
      </c>
    </row>
    <row r="13" spans="1:11">
      <c r="B13" s="30"/>
      <c r="C13" s="31"/>
      <c r="D13" s="31"/>
      <c r="E13" s="44"/>
    </row>
    <row r="14" spans="1:11" ht="15">
      <c r="A14" s="48"/>
      <c r="B14" s="165" t="s">
        <v>26</v>
      </c>
      <c r="C14" s="58"/>
      <c r="D14" s="31"/>
      <c r="E14" s="70">
        <v>3.8850999999999998E-3</v>
      </c>
    </row>
    <row r="15" spans="1:11" ht="15">
      <c r="A15" s="48"/>
      <c r="B15" s="59"/>
      <c r="C15" s="58"/>
      <c r="D15" s="31"/>
      <c r="E15" s="71"/>
    </row>
    <row r="16" spans="1:11" ht="15">
      <c r="A16" s="48"/>
      <c r="B16" s="30" t="s">
        <v>27</v>
      </c>
      <c r="C16" s="60" t="s">
        <v>17</v>
      </c>
      <c r="D16" s="31"/>
      <c r="E16" s="61">
        <f>INDEX(Assumptions!C70:D76,MATCH(C16,Assumptions!C70:C76,0),2)</f>
        <v>0.90528333333333333</v>
      </c>
    </row>
    <row r="17" spans="1:5" ht="15">
      <c r="A17" s="48"/>
      <c r="B17" s="59"/>
      <c r="C17" s="58"/>
      <c r="D17" s="31"/>
      <c r="E17" s="71"/>
    </row>
    <row r="18" spans="1:5" ht="15">
      <c r="A18" s="48"/>
      <c r="B18" s="62" t="s">
        <v>28</v>
      </c>
      <c r="C18" s="58"/>
      <c r="D18" s="31"/>
      <c r="E18" s="70">
        <v>6.4000000000000001E-2</v>
      </c>
    </row>
    <row r="19" spans="1:5" ht="15">
      <c r="A19" s="48"/>
      <c r="B19" s="57"/>
      <c r="C19" s="58"/>
      <c r="D19" s="31"/>
      <c r="E19" s="71"/>
    </row>
    <row r="20" spans="1:5" ht="15">
      <c r="A20" s="48"/>
      <c r="B20" s="271" t="s">
        <v>29</v>
      </c>
      <c r="C20" s="272"/>
      <c r="D20" s="34"/>
      <c r="E20" s="72">
        <v>7.1000000000000004E-3</v>
      </c>
    </row>
    <row r="22" spans="1:5" ht="15">
      <c r="B22" s="66" t="s">
        <v>33</v>
      </c>
      <c r="C22" s="67"/>
      <c r="D22" s="68"/>
      <c r="E22" s="69">
        <f>E24*(1-E26)</f>
        <v>1.4808526296095133E-2</v>
      </c>
    </row>
    <row r="23" spans="1:5">
      <c r="B23" s="30"/>
      <c r="C23" s="31"/>
      <c r="D23" s="31"/>
      <c r="E23" s="44"/>
    </row>
    <row r="24" spans="1:5" ht="15">
      <c r="B24" s="30" t="s">
        <v>76</v>
      </c>
      <c r="C24" s="31"/>
      <c r="D24" s="31"/>
      <c r="E24" s="70">
        <f>ISG!C31</f>
        <v>1.9613942114033289E-2</v>
      </c>
    </row>
    <row r="25" spans="1:5">
      <c r="B25" s="30"/>
      <c r="C25" s="31"/>
      <c r="D25" s="31"/>
      <c r="E25" s="44"/>
    </row>
    <row r="26" spans="1:5">
      <c r="B26" s="33" t="s">
        <v>34</v>
      </c>
      <c r="C26" s="34"/>
      <c r="D26" s="34"/>
      <c r="E26" s="131">
        <f>DCF!F31</f>
        <v>0.245</v>
      </c>
    </row>
  </sheetData>
  <mergeCells count="1">
    <mergeCell ref="B20:C20"/>
  </mergeCells>
  <hyperlinks>
    <hyperlink ref="B14" r:id="rId1"/>
    <hyperlink ref="B20" r:id="rId2"/>
    <hyperlink ref="B18" r:id="rId3"/>
    <hyperlink ref="B7" r:id="rId4" display="Current Market Price per share"/>
  </hyperlink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Assumptions!$C$70:$C$76</xm:f>
          </x14:formula1>
          <xm:sqref>C16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1:O50"/>
  <sheetViews>
    <sheetView showGridLines="0" zoomScale="125" zoomScaleNormal="125" zoomScalePageLayoutView="125" workbookViewId="0">
      <selection activeCell="J18" sqref="J18"/>
    </sheetView>
  </sheetViews>
  <sheetFormatPr baseColWidth="10" defaultColWidth="11.5" defaultRowHeight="14" x14ac:dyDescent="0"/>
  <sheetData>
    <row r="21" spans="11:15" ht="15">
      <c r="K21" s="106"/>
      <c r="L21" s="122"/>
      <c r="M21" s="135" t="s">
        <v>48</v>
      </c>
      <c r="N21" s="109"/>
      <c r="O21" s="109"/>
    </row>
    <row r="22" spans="11:15" ht="15">
      <c r="K22" s="106"/>
      <c r="L22" s="123"/>
      <c r="M22" s="116">
        <f>DCF!D105</f>
        <v>11</v>
      </c>
      <c r="N22" s="116">
        <f>DCF!E105</f>
        <v>14</v>
      </c>
      <c r="O22" s="116">
        <f>DCF!F105</f>
        <v>17</v>
      </c>
    </row>
    <row r="23" spans="11:15" ht="15">
      <c r="K23" s="134" t="s">
        <v>49</v>
      </c>
      <c r="L23" s="124">
        <f>DCF!C106</f>
        <v>5.1012758790360067E-2</v>
      </c>
      <c r="M23" s="112">
        <f>DCF!L106</f>
        <v>54.391332293008503</v>
      </c>
      <c r="N23" s="112">
        <f>DCF!M106</f>
        <v>66.277197429771022</v>
      </c>
      <c r="O23" s="112">
        <f>DCF!N106</f>
        <v>78.163062566533526</v>
      </c>
    </row>
    <row r="24" spans="11:15" ht="15">
      <c r="K24" s="134" t="s">
        <v>50</v>
      </c>
      <c r="L24" s="124">
        <f>DCF!C107</f>
        <v>6.1012758790360069E-2</v>
      </c>
      <c r="M24" s="112">
        <f>DCF!L107</f>
        <v>52.020828411473502</v>
      </c>
      <c r="N24" s="112">
        <f>DCF!M107</f>
        <v>63.357033838566942</v>
      </c>
      <c r="O24" s="112">
        <f>DCF!N107</f>
        <v>74.693239265660381</v>
      </c>
    </row>
    <row r="25" spans="11:15" ht="15">
      <c r="K25" s="134" t="s">
        <v>51</v>
      </c>
      <c r="L25" s="124">
        <f>DCF!C108</f>
        <v>7.1012758790360064E-2</v>
      </c>
      <c r="M25" s="112">
        <f>DCF!L108</f>
        <v>49.77654604331898</v>
      </c>
      <c r="N25" s="112">
        <f>DCF!M108</f>
        <v>60.593314080211279</v>
      </c>
      <c r="O25" s="112">
        <f>DCF!N108</f>
        <v>71.410082117103599</v>
      </c>
    </row>
    <row r="26" spans="11:15" ht="15">
      <c r="K26" s="134"/>
      <c r="L26" s="124">
        <f>DCF!C109</f>
        <v>8.1012758790360059E-2</v>
      </c>
      <c r="M26" s="112">
        <f>DCF!L109</f>
        <v>47.650594580813198</v>
      </c>
      <c r="N26" s="112">
        <f>DCF!M109</f>
        <v>57.976226514031232</v>
      </c>
      <c r="O26" s="112">
        <f>DCF!N109</f>
        <v>68.301858447249259</v>
      </c>
    </row>
    <row r="28" spans="11:15" ht="15">
      <c r="K28" s="106"/>
      <c r="L28" s="122"/>
      <c r="M28" s="135" t="s">
        <v>54</v>
      </c>
      <c r="N28" s="109"/>
      <c r="O28" s="109"/>
    </row>
    <row r="29" spans="11:15" ht="15">
      <c r="K29" s="106"/>
      <c r="L29" s="123"/>
      <c r="M29" s="124">
        <f>DCF!D123</f>
        <v>0.01</v>
      </c>
      <c r="N29" s="124">
        <f>DCF!E123</f>
        <v>0.02</v>
      </c>
      <c r="O29" s="124">
        <f>DCF!F123</f>
        <v>0.03</v>
      </c>
    </row>
    <row r="30" spans="11:15" ht="15">
      <c r="K30" s="134" t="s">
        <v>49</v>
      </c>
      <c r="L30" s="124">
        <f>L23</f>
        <v>5.1012758790360067E-2</v>
      </c>
      <c r="M30" s="112">
        <f>DCF!L114+DCF!L124</f>
        <v>76.705146408870718</v>
      </c>
      <c r="N30" s="112">
        <f>DCF!M114+DCF!M124</f>
        <v>99.018978929282355</v>
      </c>
      <c r="O30" s="112">
        <f>DCF!N114+DCF!N124</f>
        <v>142.33597943659771</v>
      </c>
    </row>
    <row r="31" spans="11:15" ht="15">
      <c r="K31" s="134" t="s">
        <v>50</v>
      </c>
      <c r="L31" s="124">
        <f>L24</f>
        <v>6.1012758790360069E-2</v>
      </c>
      <c r="M31" s="112">
        <f>DCF!L115+DCF!L125</f>
        <v>60.963908783646993</v>
      </c>
      <c r="N31" s="112">
        <f>DCF!M115+DCF!M125</f>
        <v>74.116212300066252</v>
      </c>
      <c r="O31" s="112">
        <f>DCF!N115+DCF!N125</f>
        <v>95.598392985571792</v>
      </c>
    </row>
    <row r="32" spans="11:15" ht="15">
      <c r="K32" s="134" t="s">
        <v>51</v>
      </c>
      <c r="L32" s="124">
        <f>L25</f>
        <v>7.1012758790360064E-2</v>
      </c>
      <c r="M32" s="112">
        <f>DCF!L116+DCF!L126</f>
        <v>50.380537379161041</v>
      </c>
      <c r="N32" s="112">
        <f>DCF!M116+DCF!M126</f>
        <v>58.968207830270188</v>
      </c>
      <c r="O32" s="112">
        <f>DCF!N116+DCF!N126</f>
        <v>71.634018774921074</v>
      </c>
    </row>
    <row r="33" spans="11:15" ht="15">
      <c r="K33" s="134"/>
      <c r="L33" s="124">
        <f>L26</f>
        <v>8.1012758790360059E-2</v>
      </c>
      <c r="M33" s="112">
        <f>DCF!L117+DCF!L127</f>
        <v>42.776511224510386</v>
      </c>
      <c r="N33" s="112">
        <f>DCF!M117+DCF!M127</f>
        <v>48.779452864654814</v>
      </c>
      <c r="O33" s="112">
        <f>DCF!N117+DCF!N127</f>
        <v>57.051737184880466</v>
      </c>
    </row>
    <row r="35" spans="11:15" ht="15">
      <c r="K35" s="106"/>
      <c r="L35" s="122"/>
      <c r="M35" s="135" t="s">
        <v>48</v>
      </c>
      <c r="N35" s="109"/>
      <c r="O35" s="109"/>
    </row>
    <row r="36" spans="11:15" ht="15">
      <c r="K36" s="106"/>
      <c r="L36" s="123"/>
      <c r="M36" s="116">
        <f>M22</f>
        <v>11</v>
      </c>
      <c r="N36" s="116">
        <f t="shared" ref="N36:O36" si="0">N22</f>
        <v>14</v>
      </c>
      <c r="O36" s="116">
        <f t="shared" si="0"/>
        <v>17</v>
      </c>
    </row>
    <row r="37" spans="11:15" ht="15">
      <c r="K37" s="134" t="s">
        <v>49</v>
      </c>
      <c r="L37" s="124">
        <f>L30</f>
        <v>5.1012758790360067E-2</v>
      </c>
      <c r="M37" s="113">
        <f>DCF!D114</f>
        <v>-9.6702201858519243E-3</v>
      </c>
      <c r="N37" s="113">
        <f>DCF!E114</f>
        <v>2.7359781840903962E-3</v>
      </c>
      <c r="O37" s="113">
        <f>DCF!F114</f>
        <v>1.093050627443945E-2</v>
      </c>
    </row>
    <row r="38" spans="11:15" ht="15">
      <c r="K38" s="134" t="s">
        <v>50</v>
      </c>
      <c r="L38" s="124">
        <f t="shared" ref="L38:L39" si="1">L31</f>
        <v>6.1012758790360069E-2</v>
      </c>
      <c r="M38" s="113">
        <f>DCF!D115</f>
        <v>-2.4759642099918478E-4</v>
      </c>
      <c r="N38" s="113">
        <f>DCF!E115</f>
        <v>1.2276642365352738E-2</v>
      </c>
      <c r="O38" s="113">
        <f>DCF!F115</f>
        <v>2.0549138377801812E-2</v>
      </c>
    </row>
    <row r="39" spans="11:15" ht="15">
      <c r="K39" s="134" t="s">
        <v>51</v>
      </c>
      <c r="L39" s="124">
        <f t="shared" si="1"/>
        <v>7.1012758790360064E-2</v>
      </c>
      <c r="M39" s="113">
        <f>DCF!D116</f>
        <v>9.1750273438535399E-3</v>
      </c>
      <c r="N39" s="113">
        <f>DCF!E116</f>
        <v>2.1817306546615071E-2</v>
      </c>
      <c r="O39" s="113">
        <f>DCF!F116</f>
        <v>3.0167770481164168E-2</v>
      </c>
    </row>
    <row r="41" spans="11:15" ht="15">
      <c r="K41" s="106"/>
      <c r="L41" s="122"/>
      <c r="M41" s="135" t="s">
        <v>54</v>
      </c>
      <c r="N41" s="109"/>
      <c r="O41" s="109"/>
    </row>
    <row r="42" spans="11:15" ht="15">
      <c r="K42" s="106"/>
      <c r="L42" s="123"/>
      <c r="M42" s="124">
        <f>M29</f>
        <v>0.01</v>
      </c>
      <c r="N42" s="124">
        <f t="shared" ref="N42:O42" si="2">N29</f>
        <v>0.02</v>
      </c>
      <c r="O42" s="124">
        <f t="shared" si="2"/>
        <v>0.03</v>
      </c>
    </row>
    <row r="43" spans="11:15" ht="15">
      <c r="K43" s="134" t="s">
        <v>49</v>
      </c>
      <c r="L43" s="124">
        <f>L23</f>
        <v>5.1012758790360067E-2</v>
      </c>
      <c r="M43" s="118">
        <f>DCF!D132</f>
        <v>16.599007795759626</v>
      </c>
      <c r="N43" s="118">
        <f>DCF!E132</f>
        <v>22.16866340345943</v>
      </c>
      <c r="O43" s="118">
        <f>DCF!F132</f>
        <v>33.039532110559563</v>
      </c>
    </row>
    <row r="44" spans="11:15" ht="15">
      <c r="K44" s="134" t="s">
        <v>50</v>
      </c>
      <c r="L44" s="124">
        <f t="shared" ref="L44:L45" si="3">L24</f>
        <v>6.1012758790360069E-2</v>
      </c>
      <c r="M44" s="118">
        <f>DCF!D133</f>
        <v>13.345114419011617</v>
      </c>
      <c r="N44" s="118">
        <f>DCF!E133</f>
        <v>16.763354407598829</v>
      </c>
      <c r="O44" s="118">
        <f>DCF!F133</f>
        <v>22.386003240748249</v>
      </c>
    </row>
    <row r="45" spans="11:15" ht="15">
      <c r="K45" s="134" t="s">
        <v>51</v>
      </c>
      <c r="L45" s="124">
        <f t="shared" si="3"/>
        <v>7.1012758790360064E-2</v>
      </c>
      <c r="M45" s="118">
        <f>DCF!D134</f>
        <v>11.157848233447799</v>
      </c>
      <c r="N45" s="118">
        <f>DCF!E134</f>
        <v>13.477244264744408</v>
      </c>
      <c r="O45" s="118">
        <f>DCF!F134</f>
        <v>16.927701019438032</v>
      </c>
    </row>
    <row r="50" spans="5:5" ht="23">
      <c r="E50" s="144"/>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8"/>
  <sheetViews>
    <sheetView zoomScale="115" zoomScaleNormal="115" zoomScalePageLayoutView="115" workbookViewId="0">
      <selection activeCell="B19" sqref="B19"/>
    </sheetView>
  </sheetViews>
  <sheetFormatPr baseColWidth="10" defaultRowHeight="14" x14ac:dyDescent="0"/>
  <cols>
    <col min="2" max="2" width="21" customWidth="1"/>
    <col min="4" max="4" width="43" bestFit="1" customWidth="1"/>
  </cols>
  <sheetData>
    <row r="2" spans="1:14" ht="18">
      <c r="A2">
        <v>1</v>
      </c>
      <c r="F2" s="169">
        <v>2016</v>
      </c>
      <c r="G2" s="169"/>
      <c r="H2" s="169">
        <v>2015</v>
      </c>
      <c r="I2" s="169"/>
      <c r="J2" s="169">
        <v>2014</v>
      </c>
      <c r="K2" s="169"/>
      <c r="L2" s="169">
        <v>2013</v>
      </c>
      <c r="M2" s="169"/>
      <c r="N2" s="169">
        <v>2012</v>
      </c>
    </row>
    <row r="3" spans="1:14" ht="18">
      <c r="A3">
        <v>2</v>
      </c>
      <c r="C3" s="166"/>
      <c r="I3" s="170"/>
      <c r="J3" s="170"/>
      <c r="K3" s="170"/>
      <c r="L3" s="170"/>
      <c r="M3" s="170"/>
      <c r="N3" s="170"/>
    </row>
    <row r="4" spans="1:14" ht="18">
      <c r="A4">
        <v>3</v>
      </c>
      <c r="B4" t="str">
        <f>INDEX('Drugs T'!$A$46:$C$84,MATCH(D4,'Drugs T'!$C$46:$C$84,1),1)</f>
        <v>Oncology</v>
      </c>
      <c r="C4" s="166"/>
      <c r="D4" s="166" t="s">
        <v>186</v>
      </c>
      <c r="E4" s="166"/>
      <c r="F4" s="172">
        <v>179</v>
      </c>
      <c r="G4" s="172"/>
      <c r="H4" s="172">
        <v>222</v>
      </c>
      <c r="I4" s="170"/>
      <c r="J4" s="170">
        <v>266</v>
      </c>
      <c r="K4" s="170"/>
      <c r="L4" s="170">
        <v>409</v>
      </c>
      <c r="M4" s="170"/>
      <c r="N4" s="170">
        <v>563</v>
      </c>
    </row>
    <row r="5" spans="1:14" ht="18">
      <c r="A5">
        <v>4</v>
      </c>
      <c r="B5" t="str">
        <f>INDEX('Drugs T'!$A$46:$C$84,MATCH(D5,'Drugs T'!$C$46:$C$84,1),1)</f>
        <v>Oncology</v>
      </c>
      <c r="C5" s="166"/>
      <c r="D5" s="166" t="s">
        <v>187</v>
      </c>
      <c r="E5" s="166"/>
      <c r="F5" s="172">
        <v>358</v>
      </c>
      <c r="G5" s="172"/>
      <c r="H5" s="172">
        <v>321</v>
      </c>
      <c r="I5" s="170"/>
      <c r="J5" s="170">
        <v>273</v>
      </c>
      <c r="K5" s="170"/>
      <c r="L5" s="170">
        <v>231</v>
      </c>
      <c r="M5" s="170"/>
      <c r="N5" s="170">
        <v>235</v>
      </c>
    </row>
    <row r="6" spans="1:14" ht="18">
      <c r="A6">
        <v>5</v>
      </c>
      <c r="B6" t="str">
        <f>INDEX('Drugs T'!$A$46:$C$84,MATCH(D6,'Drugs T'!$C$46:$C$84,1),1)</f>
        <v>Oncology</v>
      </c>
      <c r="C6" s="166"/>
      <c r="D6" s="166" t="s">
        <v>188</v>
      </c>
      <c r="E6" s="166"/>
      <c r="F6" s="172">
        <v>170</v>
      </c>
      <c r="G6" s="172"/>
      <c r="H6" s="172">
        <v>227</v>
      </c>
      <c r="I6" s="170"/>
      <c r="J6" s="170">
        <v>210</v>
      </c>
      <c r="K6" s="170"/>
      <c r="L6" s="170">
        <v>221</v>
      </c>
      <c r="M6" s="170"/>
      <c r="N6" s="170">
        <v>956</v>
      </c>
    </row>
    <row r="7" spans="1:14" ht="18">
      <c r="A7">
        <v>6</v>
      </c>
      <c r="B7" t="str">
        <f>INDEX('Drugs T'!$A$46:$C$84,MATCH(D7,'Drugs T'!$C$46:$C$84,1),1)</f>
        <v>Immunosuppressants</v>
      </c>
      <c r="C7" s="166"/>
      <c r="D7" s="166" t="s">
        <v>189</v>
      </c>
      <c r="E7" s="166"/>
      <c r="F7" s="172">
        <v>281</v>
      </c>
      <c r="G7" s="172"/>
      <c r="H7" s="172">
        <v>256</v>
      </c>
      <c r="I7" s="170"/>
      <c r="J7" s="170">
        <v>217</v>
      </c>
      <c r="K7" s="170"/>
      <c r="L7" s="170">
        <v>198</v>
      </c>
      <c r="M7" s="170"/>
      <c r="N7" s="170"/>
    </row>
    <row r="8" spans="1:14" ht="18">
      <c r="A8">
        <v>7</v>
      </c>
      <c r="B8" t="str">
        <f>INDEX('Drugs T'!$A$46:$C$84,MATCH(D8,'Drugs T'!$C$46:$C$84,1),1)</f>
        <v>Immunostimulants</v>
      </c>
      <c r="C8" s="166"/>
      <c r="D8" s="166" t="s">
        <v>190</v>
      </c>
      <c r="E8" s="166"/>
      <c r="F8" s="172">
        <v>152</v>
      </c>
      <c r="G8" s="172"/>
      <c r="H8" s="172">
        <v>143</v>
      </c>
      <c r="I8" s="170"/>
      <c r="J8" s="170">
        <v>111</v>
      </c>
      <c r="K8" s="170"/>
      <c r="L8" s="170">
        <v>101</v>
      </c>
      <c r="M8" s="170"/>
      <c r="N8" s="170">
        <v>96</v>
      </c>
    </row>
    <row r="9" spans="1:14" ht="18">
      <c r="A9">
        <v>8</v>
      </c>
      <c r="B9" t="str">
        <f>INDEX('Drugs T'!$A$46:$C$84,MATCH(D9,'Drugs T'!$C$46:$C$84,1),1)</f>
        <v>Oncology</v>
      </c>
      <c r="C9" s="166"/>
      <c r="D9" s="166" t="s">
        <v>191</v>
      </c>
      <c r="E9" s="166"/>
      <c r="F9" s="172">
        <v>65</v>
      </c>
      <c r="G9" s="172"/>
      <c r="H9" s="172">
        <v>77</v>
      </c>
      <c r="I9" s="170"/>
      <c r="J9" s="170">
        <v>69</v>
      </c>
      <c r="K9" s="170"/>
      <c r="L9" s="170">
        <v>53</v>
      </c>
      <c r="M9" s="170"/>
      <c r="N9" s="170">
        <v>25</v>
      </c>
    </row>
    <row r="10" spans="1:14" ht="18">
      <c r="A10">
        <v>9</v>
      </c>
      <c r="C10" s="166"/>
      <c r="D10" s="166" t="s">
        <v>192</v>
      </c>
      <c r="E10" s="166"/>
      <c r="F10" s="172">
        <v>248</v>
      </c>
      <c r="G10" s="172"/>
      <c r="H10" s="172">
        <v>258</v>
      </c>
      <c r="I10" s="170"/>
      <c r="J10" s="170">
        <v>255</v>
      </c>
      <c r="K10" s="170"/>
      <c r="L10" s="170">
        <v>252</v>
      </c>
      <c r="M10" s="170"/>
      <c r="N10" s="170">
        <v>519</v>
      </c>
    </row>
    <row r="11" spans="1:14" ht="18">
      <c r="A11">
        <v>10</v>
      </c>
      <c r="C11" s="167"/>
      <c r="D11" s="167" t="s">
        <v>193</v>
      </c>
      <c r="E11" s="167"/>
      <c r="F11" s="173">
        <v>1453</v>
      </c>
      <c r="G11" s="173"/>
      <c r="H11" s="173">
        <v>1504</v>
      </c>
      <c r="I11" s="173"/>
      <c r="J11" s="173">
        <v>1401</v>
      </c>
      <c r="K11" s="173"/>
      <c r="L11" s="173">
        <v>1465</v>
      </c>
      <c r="M11" s="173"/>
      <c r="N11" s="173">
        <v>2394</v>
      </c>
    </row>
    <row r="12" spans="1:14" ht="18">
      <c r="A12">
        <v>11</v>
      </c>
      <c r="C12" s="167"/>
      <c r="D12" s="167"/>
      <c r="E12" s="167"/>
      <c r="F12" s="171"/>
      <c r="G12" s="171"/>
      <c r="H12" s="171"/>
      <c r="I12" s="171"/>
      <c r="J12" s="171"/>
      <c r="K12" s="171"/>
      <c r="L12" s="171"/>
      <c r="M12" s="171"/>
      <c r="N12" s="171"/>
    </row>
    <row r="13" spans="1:14" ht="18">
      <c r="A13">
        <v>12</v>
      </c>
      <c r="B13" t="str">
        <f>INDEX('Drugs T'!$A$46:$C$84,MATCH(D13,'Drugs T'!$C$46:$C$84,1),1)</f>
        <v>MS therapies</v>
      </c>
      <c r="C13" s="166"/>
      <c r="D13" s="166" t="s">
        <v>194</v>
      </c>
      <c r="E13" s="166"/>
      <c r="F13" s="172">
        <v>1295</v>
      </c>
      <c r="G13" s="172"/>
      <c r="H13" s="172">
        <v>871</v>
      </c>
      <c r="I13" s="170"/>
      <c r="J13" s="170">
        <v>433</v>
      </c>
      <c r="K13" s="170"/>
      <c r="L13" s="170">
        <v>166</v>
      </c>
      <c r="M13" s="170"/>
      <c r="N13" s="170">
        <v>7</v>
      </c>
    </row>
    <row r="14" spans="1:14" ht="18">
      <c r="A14">
        <v>13</v>
      </c>
      <c r="B14" t="str">
        <f>INDEX('Drugs T'!$A$46:$C$84,MATCH(D14,'Drugs T'!$C$46:$C$84,1),1)</f>
        <v>MS therapies</v>
      </c>
      <c r="C14" s="166"/>
      <c r="D14" s="166" t="s">
        <v>195</v>
      </c>
      <c r="E14" s="166"/>
      <c r="F14" s="172">
        <v>425</v>
      </c>
      <c r="G14" s="172"/>
      <c r="H14" s="172">
        <v>243</v>
      </c>
      <c r="I14" s="170"/>
      <c r="J14" s="170">
        <v>34</v>
      </c>
      <c r="K14" s="170"/>
      <c r="L14" s="170">
        <v>2</v>
      </c>
      <c r="M14" s="170"/>
      <c r="N14" s="170"/>
    </row>
    <row r="15" spans="1:14" ht="18">
      <c r="A15">
        <v>14</v>
      </c>
      <c r="C15" s="166"/>
      <c r="D15" s="166"/>
      <c r="E15" s="166"/>
      <c r="F15" s="170"/>
      <c r="G15" s="170"/>
      <c r="H15" s="170"/>
      <c r="I15" s="170"/>
      <c r="J15" s="170"/>
      <c r="K15" s="170"/>
      <c r="L15" s="170"/>
      <c r="M15" s="170"/>
      <c r="N15" s="170"/>
    </row>
    <row r="16" spans="1:14" ht="18">
      <c r="A16">
        <v>15</v>
      </c>
      <c r="B16" t="str">
        <f>INDEX('Drugs T'!$A$46:$C$84,MATCH(D16,'Drugs T'!$C$46:$C$84,1),1)</f>
        <v>Other / Rare Diseases</v>
      </c>
      <c r="C16" s="166"/>
      <c r="D16" s="166" t="s">
        <v>196</v>
      </c>
      <c r="E16" s="166"/>
      <c r="F16" s="172">
        <v>748</v>
      </c>
      <c r="G16" s="172"/>
      <c r="H16" s="172">
        <v>757</v>
      </c>
      <c r="I16" s="170"/>
      <c r="J16" s="170">
        <v>715</v>
      </c>
      <c r="K16" s="170"/>
      <c r="L16" s="170">
        <v>688</v>
      </c>
      <c r="M16" s="170"/>
      <c r="N16" s="170">
        <v>633</v>
      </c>
    </row>
    <row r="17" spans="1:15" ht="18">
      <c r="A17">
        <v>16</v>
      </c>
      <c r="B17" t="str">
        <f>INDEX('Drugs T'!$A$46:$C$84,MATCH(D17,'Drugs T'!$C$46:$C$84,1),1)</f>
        <v>Other / Rare Diseases</v>
      </c>
      <c r="C17" s="166"/>
      <c r="D17" s="166" t="s">
        <v>197</v>
      </c>
      <c r="E17" s="166"/>
      <c r="F17" s="172">
        <v>106</v>
      </c>
      <c r="G17" s="172"/>
      <c r="H17" s="172">
        <v>66</v>
      </c>
      <c r="I17" s="170"/>
      <c r="J17" s="170">
        <v>4</v>
      </c>
      <c r="K17" s="170"/>
      <c r="L17" s="170"/>
      <c r="M17" s="170"/>
      <c r="N17" s="170"/>
    </row>
    <row r="18" spans="1:15" ht="18">
      <c r="A18">
        <v>17</v>
      </c>
      <c r="B18" s="197" t="s">
        <v>250</v>
      </c>
      <c r="C18" s="166"/>
      <c r="D18" s="166" t="s">
        <v>198</v>
      </c>
      <c r="E18" s="166"/>
      <c r="F18" s="172">
        <v>725</v>
      </c>
      <c r="G18" s="172"/>
      <c r="H18" s="172">
        <v>650</v>
      </c>
      <c r="I18" s="170"/>
      <c r="J18" s="170">
        <v>542</v>
      </c>
      <c r="K18" s="170"/>
      <c r="L18" s="170">
        <v>500</v>
      </c>
      <c r="M18" s="170"/>
      <c r="N18" s="170">
        <v>462</v>
      </c>
    </row>
    <row r="19" spans="1:15" ht="18">
      <c r="A19">
        <v>18</v>
      </c>
      <c r="B19" t="str">
        <f>INDEX('Drugs T'!$A$46:$C$84,MATCH(D19,'Drugs T'!$C$46:$C$84,1),1)</f>
        <v>Other / Rare Diseases</v>
      </c>
      <c r="C19" s="166"/>
      <c r="D19" s="166" t="s">
        <v>199</v>
      </c>
      <c r="E19" s="166"/>
      <c r="F19" s="172">
        <v>674</v>
      </c>
      <c r="G19" s="172"/>
      <c r="H19" s="172">
        <v>592</v>
      </c>
      <c r="I19" s="170"/>
      <c r="J19" s="170">
        <v>460</v>
      </c>
      <c r="K19" s="170"/>
      <c r="L19" s="170">
        <v>383</v>
      </c>
      <c r="M19" s="170"/>
      <c r="N19" s="170">
        <v>292</v>
      </c>
    </row>
    <row r="20" spans="1:15" ht="18">
      <c r="A20">
        <v>19</v>
      </c>
      <c r="B20" t="str">
        <f>INDEX('Drugs T'!$A$46:$C$84,MATCH(D20,'Drugs T'!$C$46:$C$84,1),1)</f>
        <v>Other / Rare Diseases</v>
      </c>
      <c r="C20" s="166"/>
      <c r="D20" s="166" t="s">
        <v>200</v>
      </c>
      <c r="E20" s="166"/>
      <c r="F20" s="172">
        <v>201</v>
      </c>
      <c r="G20" s="172"/>
      <c r="H20" s="172">
        <v>195</v>
      </c>
      <c r="I20" s="170"/>
      <c r="J20" s="170">
        <v>172</v>
      </c>
      <c r="K20" s="170"/>
      <c r="L20" s="170">
        <v>159</v>
      </c>
      <c r="M20" s="170"/>
      <c r="N20" s="170"/>
    </row>
    <row r="21" spans="1:15" ht="18">
      <c r="A21">
        <v>20</v>
      </c>
      <c r="C21" s="166"/>
      <c r="D21" s="166" t="s">
        <v>201</v>
      </c>
      <c r="E21" s="166"/>
      <c r="F21" s="172">
        <v>323</v>
      </c>
      <c r="G21" s="172"/>
      <c r="H21" s="172">
        <v>290</v>
      </c>
      <c r="I21" s="170"/>
      <c r="J21" s="170">
        <v>244</v>
      </c>
      <c r="K21" s="170"/>
      <c r="L21" s="170">
        <v>244</v>
      </c>
      <c r="M21" s="170"/>
      <c r="N21" s="170">
        <v>391</v>
      </c>
    </row>
    <row r="22" spans="1:15" ht="19">
      <c r="A22">
        <v>21</v>
      </c>
      <c r="C22" s="167"/>
      <c r="D22" s="167" t="s">
        <v>202</v>
      </c>
      <c r="E22" s="177">
        <v>5950</v>
      </c>
      <c r="F22" s="176">
        <f>SUM(F13:F21)</f>
        <v>4497</v>
      </c>
      <c r="G22" s="171"/>
      <c r="H22" s="173">
        <v>3664</v>
      </c>
      <c r="I22" s="173"/>
      <c r="J22" s="173">
        <v>2604</v>
      </c>
      <c r="K22" s="173"/>
      <c r="L22" s="173">
        <v>2142</v>
      </c>
      <c r="M22" s="173"/>
      <c r="N22" s="173">
        <v>1785</v>
      </c>
    </row>
    <row r="23" spans="1:15" ht="18">
      <c r="A23">
        <v>22</v>
      </c>
      <c r="C23" s="167"/>
      <c r="D23" s="167"/>
      <c r="E23" s="167"/>
      <c r="F23" s="171"/>
      <c r="G23" s="171"/>
      <c r="H23" s="171"/>
      <c r="I23" s="171"/>
      <c r="J23" s="171"/>
      <c r="K23" s="171"/>
      <c r="L23" s="171"/>
      <c r="M23" s="171"/>
      <c r="N23" s="171"/>
    </row>
    <row r="24" spans="1:15" ht="18">
      <c r="A24">
        <v>23</v>
      </c>
      <c r="C24" s="167"/>
      <c r="D24" s="166" t="s">
        <v>182</v>
      </c>
      <c r="F24" s="172">
        <v>66</v>
      </c>
      <c r="G24" s="172"/>
      <c r="H24" s="172">
        <v>63</v>
      </c>
      <c r="I24" s="171"/>
      <c r="J24" s="187">
        <v>64</v>
      </c>
      <c r="K24" s="188"/>
      <c r="L24" s="188"/>
      <c r="M24" s="188"/>
      <c r="N24" s="188"/>
    </row>
    <row r="25" spans="1:15" ht="18">
      <c r="A25">
        <v>24</v>
      </c>
      <c r="C25" s="167"/>
      <c r="D25" s="166" t="s">
        <v>184</v>
      </c>
      <c r="E25" s="166"/>
      <c r="F25" s="172">
        <v>0</v>
      </c>
      <c r="G25" s="172"/>
      <c r="H25" s="172">
        <v>7</v>
      </c>
      <c r="I25" s="171"/>
      <c r="J25" s="188"/>
      <c r="K25" s="188"/>
      <c r="L25" s="188"/>
      <c r="M25" s="188"/>
      <c r="N25" s="188"/>
    </row>
    <row r="26" spans="1:15" ht="18">
      <c r="A26">
        <v>25</v>
      </c>
      <c r="C26" s="167"/>
      <c r="D26" s="166" t="s">
        <v>416</v>
      </c>
      <c r="E26" s="166"/>
      <c r="F26" s="172">
        <v>21</v>
      </c>
      <c r="G26" s="172"/>
      <c r="H26" s="172">
        <v>8</v>
      </c>
      <c r="I26" s="171"/>
      <c r="J26" s="187">
        <v>5</v>
      </c>
      <c r="K26" s="188"/>
      <c r="M26" s="188"/>
    </row>
    <row r="27" spans="1:15" ht="18">
      <c r="A27">
        <v>26</v>
      </c>
      <c r="B27" s="197" t="s">
        <v>156</v>
      </c>
      <c r="C27" s="167"/>
      <c r="D27" s="166" t="s">
        <v>185</v>
      </c>
      <c r="E27" s="166"/>
      <c r="F27" s="194">
        <f>F24+F25+F26</f>
        <v>87</v>
      </c>
      <c r="G27" s="194"/>
      <c r="H27" s="194">
        <f t="shared" ref="H27:J27" si="0">H24+H25+H26</f>
        <v>78</v>
      </c>
      <c r="I27" s="194"/>
      <c r="J27" s="194">
        <f t="shared" si="0"/>
        <v>69</v>
      </c>
      <c r="K27" s="195"/>
      <c r="L27" s="195">
        <f>L34-L29-L30-L31-L32</f>
        <v>58</v>
      </c>
      <c r="M27" s="195"/>
      <c r="N27" s="195">
        <f>N34-N29-N30-N31-N32</f>
        <v>36</v>
      </c>
      <c r="O27" s="196"/>
    </row>
    <row r="28" spans="1:15" ht="18">
      <c r="A28">
        <v>27</v>
      </c>
      <c r="B28" s="197" t="s">
        <v>156</v>
      </c>
      <c r="C28" s="167"/>
      <c r="D28" s="166" t="s">
        <v>183</v>
      </c>
      <c r="E28" s="166"/>
      <c r="F28" s="172">
        <v>33</v>
      </c>
      <c r="G28" s="172"/>
      <c r="H28" s="172">
        <v>38</v>
      </c>
      <c r="I28" s="170"/>
      <c r="J28" s="172">
        <v>27</v>
      </c>
      <c r="K28" s="171"/>
      <c r="L28" s="171"/>
      <c r="M28" s="171"/>
      <c r="N28" s="171"/>
    </row>
    <row r="29" spans="1:15" ht="18">
      <c r="A29">
        <v>28</v>
      </c>
      <c r="B29" t="str">
        <f>INDEX('Drugs T'!$A$46:$C$84,MATCH(D29,'Drugs T'!$C$46:$C$84,1),1)</f>
        <v>Anti-Diabetics</v>
      </c>
      <c r="C29" s="166"/>
      <c r="D29" s="166" t="s">
        <v>170</v>
      </c>
      <c r="E29" s="166"/>
      <c r="F29" s="172">
        <v>5714</v>
      </c>
      <c r="G29" s="172"/>
      <c r="H29" s="172">
        <v>6390</v>
      </c>
      <c r="I29" s="170"/>
      <c r="J29" s="172">
        <v>6344</v>
      </c>
      <c r="K29" s="170"/>
      <c r="L29" s="170">
        <v>5715</v>
      </c>
      <c r="M29" s="170"/>
      <c r="N29" s="170">
        <v>4960</v>
      </c>
    </row>
    <row r="30" spans="1:15" ht="18">
      <c r="A30">
        <v>29</v>
      </c>
      <c r="B30" t="str">
        <f>INDEX('Drugs T'!$A$46:$C$84,MATCH(D30,'Drugs T'!$C$46:$C$84,1),1)</f>
        <v>Anti-Diabetics</v>
      </c>
      <c r="C30" s="166"/>
      <c r="D30" s="166" t="s">
        <v>203</v>
      </c>
      <c r="E30" s="166"/>
      <c r="F30" s="172">
        <v>367</v>
      </c>
      <c r="G30" s="172"/>
      <c r="H30" s="172">
        <v>376</v>
      </c>
      <c r="I30" s="170"/>
      <c r="J30" s="172">
        <v>336</v>
      </c>
      <c r="K30" s="170"/>
      <c r="L30" s="170">
        <v>288</v>
      </c>
      <c r="M30" s="170"/>
      <c r="N30" s="170">
        <v>230</v>
      </c>
    </row>
    <row r="31" spans="1:15" ht="18">
      <c r="A31">
        <v>30</v>
      </c>
      <c r="B31" t="str">
        <f>INDEX('Drugs T'!$A$46:$C$84,MATCH(D31,'Drugs T'!$C$46:$C$84,1),1)</f>
        <v>Anti-Diabetics</v>
      </c>
      <c r="C31" s="166"/>
      <c r="D31" s="166" t="s">
        <v>204</v>
      </c>
      <c r="E31" s="166"/>
      <c r="F31" s="172">
        <v>362</v>
      </c>
      <c r="G31" s="172"/>
      <c r="H31" s="172">
        <v>393</v>
      </c>
      <c r="I31" s="170"/>
      <c r="J31" s="172">
        <v>360</v>
      </c>
      <c r="K31" s="170"/>
      <c r="L31" s="170">
        <v>375</v>
      </c>
      <c r="M31" s="170"/>
      <c r="N31" s="170">
        <v>421</v>
      </c>
    </row>
    <row r="32" spans="1:15" ht="18">
      <c r="A32">
        <v>31</v>
      </c>
      <c r="B32" t="str">
        <f>INDEX('Drugs T'!$A$46:$C$84,MATCH(D32,'Drugs T'!$C$46:$C$84,1),1)</f>
        <v>Anti-Diabetics</v>
      </c>
      <c r="C32" s="166"/>
      <c r="D32" s="166" t="s">
        <v>205</v>
      </c>
      <c r="E32" s="166"/>
      <c r="F32" s="172">
        <v>129</v>
      </c>
      <c r="G32" s="172"/>
      <c r="H32" s="172">
        <v>141</v>
      </c>
      <c r="I32" s="170"/>
      <c r="J32" s="172">
        <v>137</v>
      </c>
      <c r="K32" s="170"/>
      <c r="L32" s="170">
        <v>132</v>
      </c>
      <c r="M32" s="170"/>
      <c r="N32" s="170">
        <v>135</v>
      </c>
    </row>
    <row r="33" spans="1:14" ht="18">
      <c r="A33">
        <v>32</v>
      </c>
      <c r="B33" t="str">
        <f>INDEX('Drugs T'!$A$46:$C$84,MATCH(D33,'Drugs T'!$C$46:$C$84,1),1)</f>
        <v>Anti-Diabetics</v>
      </c>
      <c r="C33" s="166"/>
      <c r="D33" s="166" t="s">
        <v>206</v>
      </c>
      <c r="E33" s="166"/>
      <c r="F33" s="172">
        <v>649</v>
      </c>
      <c r="G33" s="172"/>
      <c r="H33" s="172">
        <v>164</v>
      </c>
      <c r="I33" s="170"/>
      <c r="J33" s="172">
        <v>0</v>
      </c>
      <c r="K33" s="170"/>
      <c r="L33" s="170"/>
      <c r="M33" s="170"/>
      <c r="N33" s="170"/>
    </row>
    <row r="34" spans="1:14" ht="18">
      <c r="A34">
        <v>33</v>
      </c>
      <c r="C34" s="167"/>
      <c r="D34" s="167" t="s">
        <v>207</v>
      </c>
      <c r="E34" s="167"/>
      <c r="F34" s="173">
        <v>7341</v>
      </c>
      <c r="G34" s="173"/>
      <c r="H34" s="173">
        <v>7580</v>
      </c>
      <c r="J34" s="173">
        <v>7273</v>
      </c>
      <c r="K34" s="177"/>
      <c r="L34" s="177">
        <v>6568</v>
      </c>
      <c r="M34" s="177"/>
      <c r="N34" s="177">
        <v>5782</v>
      </c>
    </row>
    <row r="35" spans="1:14" ht="18">
      <c r="A35">
        <v>34</v>
      </c>
      <c r="C35" s="167"/>
      <c r="D35" s="167"/>
      <c r="E35" s="167"/>
      <c r="F35" s="171"/>
      <c r="G35" s="171"/>
      <c r="H35" s="171"/>
      <c r="I35" s="171"/>
      <c r="J35" s="171"/>
      <c r="K35" s="171"/>
      <c r="L35" s="171"/>
      <c r="M35" s="171"/>
      <c r="N35" s="171"/>
    </row>
    <row r="36" spans="1:14" ht="18">
      <c r="A36">
        <v>35</v>
      </c>
      <c r="B36" t="str">
        <f>INDEX('Drugs T'!$A$46:$C$84,MATCH(D36,'Drugs T'!$C$46:$C$84,1),1)</f>
        <v xml:space="preserve">Cardiovascular Therapeutic Drugs </v>
      </c>
      <c r="C36" s="166"/>
      <c r="D36" s="166" t="s">
        <v>208</v>
      </c>
      <c r="E36" s="166"/>
      <c r="F36" s="172">
        <v>353</v>
      </c>
      <c r="G36" s="172"/>
      <c r="H36" s="172">
        <v>341</v>
      </c>
      <c r="I36" s="170"/>
      <c r="J36" s="170">
        <v>290</v>
      </c>
      <c r="K36" s="170"/>
      <c r="L36" s="170">
        <v>269</v>
      </c>
      <c r="M36" s="170"/>
      <c r="N36" s="170">
        <v>255</v>
      </c>
    </row>
    <row r="37" spans="1:14" ht="18">
      <c r="A37">
        <v>36</v>
      </c>
      <c r="B37" t="str">
        <f>INDEX('Drugs T'!$A$46:$C$84,MATCH(D37,'Drugs T'!$C$46:$C$84,1),1)</f>
        <v>Anti-hyperlipidaemics</v>
      </c>
      <c r="C37" s="167"/>
      <c r="D37" s="166" t="s">
        <v>209</v>
      </c>
      <c r="E37" s="166"/>
      <c r="F37" s="172">
        <v>105</v>
      </c>
      <c r="G37" s="172"/>
      <c r="H37" s="172">
        <v>9</v>
      </c>
      <c r="I37" s="171"/>
      <c r="J37" s="171"/>
      <c r="K37" s="171"/>
      <c r="L37" s="171"/>
      <c r="M37" s="171"/>
      <c r="N37" s="171"/>
    </row>
    <row r="38" spans="1:14" ht="18">
      <c r="A38">
        <v>37</v>
      </c>
      <c r="C38" s="167"/>
      <c r="D38" s="167"/>
      <c r="E38" s="167"/>
      <c r="F38" s="171"/>
      <c r="G38" s="171"/>
      <c r="H38" s="171"/>
      <c r="I38" s="171"/>
      <c r="J38" s="171"/>
      <c r="K38" s="171"/>
      <c r="L38" s="171"/>
      <c r="M38" s="171"/>
      <c r="N38" s="171"/>
    </row>
    <row r="39" spans="1:14" ht="18">
      <c r="A39">
        <v>38</v>
      </c>
      <c r="B39" t="str">
        <f>INDEX('Drugs T'!$A$46:$C$84,MATCH(D39,'Drugs T'!$C$46:$C$84,1),1)</f>
        <v xml:space="preserve">Cardiovascular Therapeutic Drugs </v>
      </c>
      <c r="C39" s="166"/>
      <c r="D39" s="166" t="s">
        <v>210</v>
      </c>
      <c r="E39" s="166"/>
      <c r="F39" s="172">
        <v>1544</v>
      </c>
      <c r="G39" s="172"/>
      <c r="H39" s="172">
        <v>1929</v>
      </c>
      <c r="I39" s="170"/>
      <c r="J39" s="170">
        <v>1862</v>
      </c>
      <c r="K39" s="170"/>
      <c r="L39" s="170">
        <v>1857</v>
      </c>
      <c r="M39" s="170"/>
      <c r="N39" s="170">
        <v>2066</v>
      </c>
    </row>
    <row r="40" spans="1:14" ht="18">
      <c r="A40">
        <v>39</v>
      </c>
      <c r="B40" t="str">
        <f>INDEX('Drugs T'!$A$46:$C$84,MATCH(D40,'Drugs T'!$C$46:$C$84,1),1)</f>
        <v>Anti-coagulants</v>
      </c>
      <c r="C40" s="166"/>
      <c r="D40" s="166" t="s">
        <v>211</v>
      </c>
      <c r="E40" s="166"/>
      <c r="F40" s="172">
        <v>1636</v>
      </c>
      <c r="G40" s="172"/>
      <c r="H40" s="172">
        <v>1719</v>
      </c>
      <c r="I40" s="170"/>
      <c r="J40" s="170">
        <v>1699</v>
      </c>
      <c r="K40" s="170"/>
      <c r="L40" s="170">
        <v>1703</v>
      </c>
      <c r="M40" s="170"/>
      <c r="N40" s="170">
        <v>1893</v>
      </c>
    </row>
    <row r="41" spans="1:14" ht="18">
      <c r="A41">
        <v>40</v>
      </c>
      <c r="B41" s="197" t="s">
        <v>250</v>
      </c>
      <c r="C41" s="166"/>
      <c r="D41" s="166" t="s">
        <v>212</v>
      </c>
      <c r="E41" s="166"/>
      <c r="F41" s="172">
        <v>681</v>
      </c>
      <c r="G41" s="172"/>
      <c r="H41" s="172">
        <v>762</v>
      </c>
      <c r="I41" s="170"/>
      <c r="J41" s="170">
        <v>727</v>
      </c>
      <c r="K41" s="170"/>
      <c r="L41" s="170">
        <v>882</v>
      </c>
      <c r="M41" s="170"/>
      <c r="N41" s="170">
        <v>1151</v>
      </c>
    </row>
    <row r="42" spans="1:14" ht="18">
      <c r="A42">
        <v>41</v>
      </c>
      <c r="B42" t="str">
        <f>INDEX('Drugs T'!$A$46:$C$84,MATCH(D42,'Drugs T'!$C$46:$C$84,1),1)</f>
        <v>Other / Rare Diseases</v>
      </c>
      <c r="C42" s="166"/>
      <c r="D42" s="166" t="s">
        <v>213</v>
      </c>
      <c r="E42" s="166"/>
      <c r="F42" s="172">
        <v>922</v>
      </c>
      <c r="G42" s="172"/>
      <c r="H42" s="172">
        <v>935</v>
      </c>
      <c r="I42" s="170"/>
      <c r="J42" s="170">
        <v>684</v>
      </c>
      <c r="K42" s="170"/>
      <c r="L42" s="170">
        <v>750</v>
      </c>
      <c r="M42" s="170"/>
      <c r="N42" s="170">
        <v>653</v>
      </c>
    </row>
    <row r="43" spans="1:14" ht="19">
      <c r="A43">
        <v>42</v>
      </c>
      <c r="B43" t="str">
        <f>INDEX('Drugs T'!$A$46:$C$84,MATCH(D43,'Drugs T'!$C$46:$C$84,1),1)</f>
        <v>Other / Rare Diseases</v>
      </c>
      <c r="C43" s="169"/>
      <c r="D43" s="166" t="s">
        <v>214</v>
      </c>
      <c r="E43" s="166"/>
      <c r="F43" s="172">
        <v>186</v>
      </c>
      <c r="G43" s="172"/>
      <c r="H43" s="172">
        <v>194</v>
      </c>
      <c r="I43" s="170"/>
      <c r="J43" s="170">
        <v>192</v>
      </c>
      <c r="K43" s="170"/>
      <c r="L43" s="170">
        <v>406</v>
      </c>
      <c r="M43" s="170"/>
      <c r="N43" s="170">
        <v>553</v>
      </c>
    </row>
    <row r="44" spans="1:14" ht="18">
      <c r="A44">
        <v>43</v>
      </c>
      <c r="B44" t="str">
        <f>INDEX('Drugs T'!$A$46:$C$84,MATCH(D44,'Drugs T'!$C$46:$C$84,1),1)</f>
        <v>Other / Rare Diseases</v>
      </c>
      <c r="C44" s="166"/>
      <c r="D44" s="166" t="s">
        <v>215</v>
      </c>
      <c r="E44" s="166"/>
      <c r="F44" s="172">
        <v>304</v>
      </c>
      <c r="G44" s="172"/>
      <c r="H44" s="172">
        <v>306</v>
      </c>
      <c r="I44" s="170"/>
      <c r="J44" s="170">
        <v>306</v>
      </c>
      <c r="K44" s="170"/>
      <c r="L44" s="170">
        <v>391</v>
      </c>
      <c r="M44" s="170"/>
      <c r="N44" s="170">
        <v>497</v>
      </c>
    </row>
    <row r="45" spans="1:14" ht="18">
      <c r="A45">
        <v>44</v>
      </c>
      <c r="B45" t="str">
        <f>INDEX('Drugs T'!$A$46:$C$84,MATCH(D45,'Drugs T'!$C$46:$C$84,1),1)</f>
        <v>Other / Rare Diseases</v>
      </c>
      <c r="C45" s="166"/>
      <c r="D45" s="166" t="s">
        <v>216</v>
      </c>
      <c r="E45" s="166"/>
      <c r="F45" s="172">
        <v>416</v>
      </c>
      <c r="G45" s="172"/>
      <c r="H45" s="172">
        <v>422</v>
      </c>
      <c r="I45" s="170"/>
      <c r="J45" s="170">
        <v>395</v>
      </c>
      <c r="K45" s="170"/>
      <c r="L45" s="170">
        <v>405</v>
      </c>
      <c r="M45" s="170"/>
      <c r="N45" s="170">
        <v>410</v>
      </c>
    </row>
    <row r="46" spans="1:14" ht="18">
      <c r="A46">
        <v>45</v>
      </c>
      <c r="B46" t="str">
        <f>INDEX('Drugs T'!$A$46:$C$84,MATCH(D46,'Drugs T'!$C$46:$C$84,1),1)</f>
        <v>Other / Rare Diseases</v>
      </c>
      <c r="C46" s="166"/>
      <c r="D46" s="166" t="s">
        <v>217</v>
      </c>
      <c r="E46" s="166"/>
      <c r="F46" s="172">
        <v>408</v>
      </c>
      <c r="G46" s="172"/>
      <c r="H46" s="172">
        <v>413</v>
      </c>
      <c r="I46" s="170"/>
      <c r="J46" s="170">
        <v>352</v>
      </c>
      <c r="K46" s="170"/>
      <c r="L46" s="170">
        <v>371</v>
      </c>
      <c r="M46" s="170"/>
      <c r="N46" s="170">
        <v>363</v>
      </c>
    </row>
    <row r="47" spans="1:14" ht="18">
      <c r="A47">
        <v>46</v>
      </c>
      <c r="B47" t="str">
        <f>INDEX('Drugs T'!$A$46:$C$84,MATCH(D47,'Drugs T'!$C$46:$C$84,1),1)</f>
        <v>Other / Rare Diseases</v>
      </c>
      <c r="C47" s="166"/>
      <c r="D47" s="166" t="s">
        <v>218</v>
      </c>
      <c r="E47" s="166"/>
      <c r="F47" s="172">
        <v>245</v>
      </c>
      <c r="G47" s="172"/>
      <c r="H47" s="172">
        <v>274</v>
      </c>
      <c r="I47" s="170"/>
      <c r="J47" s="170">
        <v>281</v>
      </c>
      <c r="K47" s="170"/>
      <c r="L47" s="170">
        <v>307</v>
      </c>
      <c r="M47" s="170"/>
      <c r="N47" s="170">
        <v>345</v>
      </c>
    </row>
    <row r="48" spans="1:14" ht="18">
      <c r="A48">
        <v>47</v>
      </c>
      <c r="B48" t="str">
        <f>INDEX('Drugs T'!$A$46:$C$84,MATCH(D48,'Drugs T'!$C$46:$C$84,1),1)</f>
        <v>Other / Rare Diseases</v>
      </c>
      <c r="C48" s="166"/>
      <c r="D48" s="166" t="s">
        <v>219</v>
      </c>
      <c r="E48" s="166"/>
      <c r="F48" s="172">
        <v>148</v>
      </c>
      <c r="G48" s="172"/>
      <c r="H48" s="172">
        <v>162</v>
      </c>
      <c r="I48" s="170"/>
      <c r="J48" s="170">
        <v>164</v>
      </c>
      <c r="K48" s="170"/>
      <c r="L48" s="170">
        <v>172</v>
      </c>
      <c r="M48" s="170"/>
      <c r="N48" s="170"/>
    </row>
    <row r="49" spans="1:15" ht="18">
      <c r="A49">
        <v>48</v>
      </c>
      <c r="B49" t="str">
        <f>INDEX('Drugs T'!$A$46:$C$84,MATCH(D49,'Drugs T'!$C$46:$C$84,1),1)</f>
        <v>Anti-bacterials</v>
      </c>
      <c r="C49" s="166"/>
      <c r="D49" s="166" t="s">
        <v>220</v>
      </c>
      <c r="E49" s="166"/>
      <c r="F49" s="172">
        <v>149</v>
      </c>
      <c r="G49" s="172"/>
      <c r="H49" s="172">
        <v>160</v>
      </c>
      <c r="I49" s="170"/>
      <c r="J49" s="170">
        <v>162</v>
      </c>
      <c r="K49" s="170"/>
      <c r="L49" s="170">
        <v>166</v>
      </c>
      <c r="M49" s="170"/>
      <c r="N49" s="170"/>
    </row>
    <row r="50" spans="1:15" ht="18">
      <c r="A50">
        <v>49</v>
      </c>
      <c r="B50" t="str">
        <f>INDEX('Drugs T'!$A$46:$C$84,MATCH(D50,'Drugs T'!$C$46:$C$84,1),1)</f>
        <v>Anti-rheumatics</v>
      </c>
      <c r="C50" s="166"/>
      <c r="D50" s="166" t="s">
        <v>221</v>
      </c>
      <c r="E50" s="166"/>
      <c r="F50" s="172">
        <v>103</v>
      </c>
      <c r="G50" s="172"/>
      <c r="H50" s="172">
        <v>156</v>
      </c>
      <c r="I50" s="170"/>
      <c r="J50" s="170">
        <v>160</v>
      </c>
      <c r="K50" s="170"/>
      <c r="L50" s="170">
        <v>144</v>
      </c>
      <c r="M50" s="170"/>
      <c r="N50" s="170"/>
    </row>
    <row r="51" spans="1:15" ht="18">
      <c r="A51">
        <v>50</v>
      </c>
      <c r="B51" t="str">
        <f>INDEX('Drugs T'!$A$46:$C$84,MATCH(D51,'Drugs T'!$C$46:$C$84,1),1)</f>
        <v xml:space="preserve">Cardiovascular Therapeutic Drugs </v>
      </c>
      <c r="C51" s="166"/>
      <c r="D51" s="166" t="s">
        <v>222</v>
      </c>
      <c r="E51" s="166"/>
      <c r="F51" s="172">
        <v>122</v>
      </c>
      <c r="G51" s="172"/>
      <c r="H51" s="172">
        <v>130</v>
      </c>
      <c r="I51" s="170"/>
      <c r="J51" s="170">
        <v>129</v>
      </c>
      <c r="K51" s="170"/>
      <c r="L51" s="170">
        <v>141</v>
      </c>
      <c r="M51" s="170"/>
      <c r="N51" s="170"/>
    </row>
    <row r="52" spans="1:15" ht="18">
      <c r="A52">
        <v>51</v>
      </c>
      <c r="B52" t="str">
        <f>INDEX('Drugs T'!$A$46:$C$84,MATCH(D52,'Drugs T'!$C$46:$C$84,1),1)</f>
        <v>Other / Rare Diseases</v>
      </c>
      <c r="C52" s="166"/>
      <c r="D52" s="166" t="s">
        <v>223</v>
      </c>
      <c r="E52" s="166"/>
      <c r="F52" s="172">
        <v>100</v>
      </c>
      <c r="G52" s="172"/>
      <c r="H52" s="172">
        <v>95</v>
      </c>
      <c r="I52" s="170"/>
      <c r="J52" s="170">
        <v>94</v>
      </c>
      <c r="K52" s="170"/>
      <c r="L52" s="170">
        <v>101</v>
      </c>
      <c r="M52" s="170"/>
      <c r="N52" s="170">
        <v>130</v>
      </c>
    </row>
    <row r="53" spans="1:15" ht="18">
      <c r="A53">
        <v>52</v>
      </c>
      <c r="C53" s="166"/>
      <c r="D53" s="166" t="s">
        <v>224</v>
      </c>
      <c r="E53" s="166"/>
      <c r="F53" s="170"/>
      <c r="G53" s="170"/>
      <c r="H53" s="170">
        <v>23</v>
      </c>
      <c r="I53" s="170"/>
      <c r="J53" s="170">
        <v>82</v>
      </c>
      <c r="K53" s="170"/>
      <c r="L53" s="170">
        <v>100</v>
      </c>
      <c r="M53" s="170"/>
      <c r="N53" s="170">
        <v>134</v>
      </c>
      <c r="O53" t="s">
        <v>320</v>
      </c>
    </row>
    <row r="54" spans="1:15" ht="19">
      <c r="A54">
        <v>53</v>
      </c>
      <c r="B54" s="197"/>
      <c r="C54" s="169" t="s">
        <v>129</v>
      </c>
      <c r="D54" s="166" t="s">
        <v>225</v>
      </c>
      <c r="E54" s="166"/>
      <c r="F54" s="178">
        <v>108</v>
      </c>
      <c r="G54" s="178"/>
      <c r="H54" s="178">
        <v>122</v>
      </c>
      <c r="I54" s="170"/>
      <c r="J54" s="170"/>
      <c r="K54" s="170"/>
      <c r="L54" s="170"/>
      <c r="M54" s="170"/>
      <c r="N54" s="170">
        <v>71</v>
      </c>
    </row>
    <row r="55" spans="1:15" ht="18">
      <c r="A55">
        <v>54</v>
      </c>
      <c r="B55" s="197"/>
      <c r="C55" s="166"/>
      <c r="D55" s="166" t="s">
        <v>226</v>
      </c>
      <c r="E55" s="166"/>
      <c r="F55" s="170"/>
      <c r="G55" s="170"/>
      <c r="H55" s="170"/>
      <c r="I55" s="170"/>
      <c r="J55" s="170"/>
      <c r="K55" s="170"/>
      <c r="L55" s="170"/>
      <c r="M55" s="170"/>
      <c r="N55" s="170">
        <v>24</v>
      </c>
      <c r="O55" t="s">
        <v>319</v>
      </c>
    </row>
    <row r="56" spans="1:15" ht="19">
      <c r="A56">
        <v>55</v>
      </c>
      <c r="B56" s="197" t="s">
        <v>247</v>
      </c>
      <c r="C56" s="169" t="s">
        <v>209</v>
      </c>
      <c r="D56" s="166" t="s">
        <v>227</v>
      </c>
      <c r="E56" s="166"/>
      <c r="F56" s="170"/>
      <c r="G56" s="170"/>
      <c r="H56" s="170">
        <v>-5</v>
      </c>
      <c r="I56" s="170"/>
      <c r="J56" s="170">
        <v>72</v>
      </c>
      <c r="K56" s="170"/>
      <c r="L56" s="170">
        <v>51</v>
      </c>
      <c r="M56" s="170"/>
      <c r="N56" s="170"/>
      <c r="O56" t="s">
        <v>321</v>
      </c>
    </row>
    <row r="57" spans="1:15" ht="18">
      <c r="A57">
        <v>56</v>
      </c>
      <c r="C57" s="166"/>
      <c r="D57" s="166" t="s">
        <v>228</v>
      </c>
      <c r="E57" s="166"/>
      <c r="F57" s="172">
        <v>3347</v>
      </c>
      <c r="G57" s="170"/>
      <c r="H57" s="170">
        <v>3617</v>
      </c>
      <c r="I57" s="170"/>
      <c r="J57" s="170">
        <v>3649</v>
      </c>
      <c r="K57" s="170"/>
      <c r="L57" s="170">
        <v>4230</v>
      </c>
      <c r="M57" s="170"/>
      <c r="N57" s="170">
        <v>5513</v>
      </c>
    </row>
    <row r="58" spans="1:15" ht="19">
      <c r="A58">
        <v>57</v>
      </c>
      <c r="C58" s="167"/>
      <c r="D58" s="167" t="s">
        <v>229</v>
      </c>
      <c r="E58" s="167"/>
      <c r="F58" s="173">
        <v>10311</v>
      </c>
      <c r="G58" s="177">
        <v>11633</v>
      </c>
      <c r="H58" s="176">
        <v>11292</v>
      </c>
      <c r="I58" s="171"/>
      <c r="J58" s="171">
        <v>11300</v>
      </c>
      <c r="K58" s="171"/>
      <c r="L58" s="171">
        <v>12446</v>
      </c>
      <c r="M58" s="171"/>
      <c r="N58" s="171">
        <v>14058</v>
      </c>
    </row>
    <row r="59" spans="1:15" ht="18">
      <c r="A59">
        <v>58</v>
      </c>
      <c r="C59" s="167"/>
      <c r="D59" s="167"/>
      <c r="E59" s="167"/>
      <c r="F59" s="171"/>
      <c r="G59" s="171"/>
      <c r="H59" s="171"/>
      <c r="I59" s="171"/>
      <c r="J59" s="171"/>
      <c r="K59" s="171"/>
      <c r="L59" s="171"/>
      <c r="M59" s="171"/>
      <c r="N59" s="171"/>
    </row>
    <row r="60" spans="1:15" ht="18">
      <c r="A60">
        <v>59</v>
      </c>
      <c r="C60" s="166"/>
      <c r="D60" s="166" t="s">
        <v>230</v>
      </c>
      <c r="E60" s="166"/>
      <c r="F60" s="170"/>
      <c r="G60" s="170"/>
      <c r="H60" s="170"/>
      <c r="I60" s="170"/>
      <c r="J60" s="170"/>
      <c r="K60" s="170"/>
      <c r="L60" s="170"/>
      <c r="M60" s="170"/>
      <c r="N60" s="170"/>
    </row>
    <row r="61" spans="1:15" ht="18">
      <c r="A61">
        <v>60</v>
      </c>
      <c r="C61" s="166"/>
      <c r="D61" s="166" t="s">
        <v>231</v>
      </c>
      <c r="E61" s="166"/>
      <c r="F61" s="170"/>
      <c r="G61" s="170"/>
      <c r="H61" s="170"/>
      <c r="I61" s="170"/>
      <c r="J61" s="170"/>
      <c r="K61" s="170"/>
      <c r="L61" s="170"/>
      <c r="M61" s="170"/>
      <c r="N61" s="170"/>
    </row>
    <row r="62" spans="1:15" ht="18">
      <c r="A62">
        <v>61</v>
      </c>
      <c r="C62" s="166"/>
      <c r="D62" s="166" t="s">
        <v>232</v>
      </c>
      <c r="E62" s="166"/>
      <c r="F62" s="170"/>
      <c r="G62" s="170"/>
      <c r="H62" s="170"/>
      <c r="I62" s="170"/>
      <c r="J62" s="170"/>
      <c r="K62" s="170"/>
      <c r="L62" s="170"/>
      <c r="M62" s="170"/>
      <c r="N62" s="170"/>
    </row>
    <row r="63" spans="1:15" ht="18">
      <c r="A63">
        <v>62</v>
      </c>
      <c r="C63" s="166"/>
      <c r="D63" s="166" t="s">
        <v>233</v>
      </c>
      <c r="E63" s="166"/>
      <c r="F63" s="170"/>
      <c r="G63" s="170"/>
      <c r="H63" s="170"/>
      <c r="I63" s="170"/>
      <c r="J63" s="170"/>
      <c r="K63" s="170"/>
      <c r="L63" s="170"/>
      <c r="M63" s="170"/>
      <c r="N63" s="170"/>
    </row>
    <row r="64" spans="1:15" ht="18">
      <c r="A64">
        <v>63</v>
      </c>
      <c r="C64" s="166"/>
      <c r="D64" s="166"/>
      <c r="E64" s="166"/>
      <c r="O64" s="166"/>
    </row>
    <row r="65" spans="1:15" ht="18">
      <c r="A65">
        <v>64</v>
      </c>
      <c r="C65" s="166"/>
      <c r="D65" s="166" t="s">
        <v>309</v>
      </c>
      <c r="E65" s="166"/>
      <c r="O65" s="166"/>
    </row>
    <row r="66" spans="1:15" ht="18">
      <c r="A66">
        <v>65</v>
      </c>
      <c r="C66" s="166"/>
      <c r="D66" s="166" t="s">
        <v>310</v>
      </c>
      <c r="E66" s="166"/>
      <c r="O66" s="166"/>
    </row>
    <row r="67" spans="1:15" ht="18">
      <c r="A67">
        <v>66</v>
      </c>
      <c r="C67" s="166"/>
      <c r="D67" s="166" t="s">
        <v>311</v>
      </c>
      <c r="E67" s="166"/>
      <c r="O67" s="166"/>
    </row>
    <row r="68" spans="1:15" ht="18">
      <c r="A68">
        <v>67</v>
      </c>
      <c r="C68" s="166"/>
      <c r="D68" s="166" t="s">
        <v>312</v>
      </c>
      <c r="E68" s="166"/>
      <c r="O68" s="166"/>
    </row>
    <row r="69" spans="1:15" ht="18">
      <c r="A69">
        <v>68</v>
      </c>
      <c r="C69" s="166"/>
      <c r="D69" s="166" t="s">
        <v>313</v>
      </c>
      <c r="E69" s="166"/>
      <c r="O69" s="166"/>
    </row>
    <row r="70" spans="1:15" ht="18">
      <c r="A70">
        <v>69</v>
      </c>
      <c r="C70" s="166"/>
      <c r="D70" s="166" t="s">
        <v>314</v>
      </c>
      <c r="E70" s="166"/>
      <c r="O70" s="166"/>
    </row>
    <row r="71" spans="1:15" ht="18">
      <c r="A71">
        <v>70</v>
      </c>
      <c r="C71" s="166"/>
      <c r="D71" s="166" t="s">
        <v>315</v>
      </c>
      <c r="E71" s="166"/>
      <c r="O71" s="166"/>
    </row>
    <row r="72" spans="1:15" ht="18">
      <c r="A72">
        <v>71</v>
      </c>
      <c r="C72" s="166"/>
      <c r="D72" s="166" t="s">
        <v>316</v>
      </c>
      <c r="E72" s="166"/>
      <c r="O72" s="166"/>
    </row>
    <row r="73" spans="1:15" ht="18">
      <c r="A73">
        <v>72</v>
      </c>
      <c r="C73" s="166"/>
      <c r="D73" s="166" t="s">
        <v>317</v>
      </c>
      <c r="E73" s="166"/>
      <c r="O73" s="166"/>
    </row>
    <row r="74" spans="1:15" ht="18">
      <c r="A74">
        <v>73</v>
      </c>
      <c r="C74" s="167"/>
      <c r="D74" s="166" t="s">
        <v>318</v>
      </c>
      <c r="E74" s="167"/>
      <c r="O74" s="167"/>
    </row>
    <row r="75" spans="1:15" ht="18">
      <c r="A75">
        <v>74</v>
      </c>
      <c r="C75" s="167"/>
      <c r="D75" s="167" t="s">
        <v>234</v>
      </c>
      <c r="E75" s="167"/>
      <c r="F75" s="173">
        <v>3330</v>
      </c>
      <c r="G75" s="173"/>
      <c r="H75" s="173">
        <v>3492</v>
      </c>
      <c r="I75" s="171"/>
      <c r="J75" s="171">
        <v>3337</v>
      </c>
      <c r="K75" s="171"/>
      <c r="L75" s="171">
        <v>3004</v>
      </c>
      <c r="M75" s="171"/>
      <c r="N75" s="171">
        <v>3008</v>
      </c>
    </row>
    <row r="76" spans="1:15" ht="18">
      <c r="A76">
        <v>75</v>
      </c>
      <c r="C76" s="167"/>
      <c r="D76" s="167"/>
      <c r="E76" s="167"/>
      <c r="F76" s="171"/>
      <c r="G76" s="171"/>
      <c r="H76" s="171"/>
      <c r="I76" s="171"/>
      <c r="J76" s="171"/>
      <c r="K76" s="171"/>
      <c r="L76" s="171"/>
      <c r="M76" s="171"/>
      <c r="N76" s="171"/>
    </row>
    <row r="77" spans="1:15" ht="18">
      <c r="A77">
        <v>76</v>
      </c>
      <c r="C77" s="167"/>
      <c r="D77" s="167" t="s">
        <v>235</v>
      </c>
      <c r="E77" s="167"/>
      <c r="F77" s="173">
        <v>1854</v>
      </c>
      <c r="G77" s="173"/>
      <c r="H77" s="173">
        <v>1917</v>
      </c>
      <c r="I77" s="171"/>
      <c r="J77" s="171">
        <v>1805</v>
      </c>
      <c r="K77" s="171"/>
      <c r="L77" s="171">
        <v>1625</v>
      </c>
      <c r="M77" s="171"/>
      <c r="N77" s="171">
        <v>1844</v>
      </c>
    </row>
    <row r="78" spans="1:15" ht="18">
      <c r="A78">
        <v>77</v>
      </c>
      <c r="C78" s="167"/>
      <c r="D78" s="167"/>
      <c r="E78" s="167"/>
      <c r="F78" s="171"/>
      <c r="G78" s="171"/>
      <c r="H78" s="171"/>
      <c r="I78" s="171"/>
      <c r="J78" s="171"/>
      <c r="K78" s="171"/>
      <c r="L78" s="171"/>
      <c r="M78" s="171"/>
      <c r="N78" s="171"/>
    </row>
    <row r="79" spans="1:15" ht="18">
      <c r="A79">
        <v>78</v>
      </c>
      <c r="C79" s="167"/>
      <c r="D79" s="167" t="s">
        <v>236</v>
      </c>
      <c r="E79" s="167"/>
      <c r="F79" s="173">
        <v>29244</v>
      </c>
      <c r="G79" s="173"/>
      <c r="H79" s="173">
        <v>29799</v>
      </c>
      <c r="I79" s="171"/>
      <c r="J79" s="173">
        <v>27720</v>
      </c>
      <c r="K79" s="171"/>
      <c r="L79" s="171">
        <v>27250</v>
      </c>
      <c r="M79" s="171"/>
      <c r="N79" s="171">
        <v>28871</v>
      </c>
    </row>
    <row r="80" spans="1:15" ht="18">
      <c r="C80" s="167"/>
      <c r="D80" s="167"/>
      <c r="E80" s="167" t="s">
        <v>370</v>
      </c>
      <c r="F80" s="173">
        <f>F11+F22+F34+F36+F37+F58+F75+F77</f>
        <v>29244</v>
      </c>
      <c r="G80" s="173"/>
      <c r="H80" s="173">
        <f t="shared" ref="H80" si="1">H11+H22+H34+H36+H37+H58+H75+H77</f>
        <v>29799</v>
      </c>
      <c r="I80" s="173"/>
      <c r="J80" s="186">
        <f>J11+J22+J34+J58+J75+J77</f>
        <v>27720</v>
      </c>
      <c r="K80" s="186">
        <f t="shared" ref="K80:N80" si="2">K11+K22+K34+K58+K75+K77</f>
        <v>0</v>
      </c>
      <c r="L80" s="186">
        <f t="shared" si="2"/>
        <v>27250</v>
      </c>
      <c r="M80" s="186">
        <f t="shared" si="2"/>
        <v>0</v>
      </c>
      <c r="N80" s="186">
        <f t="shared" si="2"/>
        <v>28871</v>
      </c>
    </row>
    <row r="81" spans="3:14" ht="18">
      <c r="C81" s="167"/>
      <c r="D81" s="167"/>
      <c r="E81" s="167" t="s">
        <v>370</v>
      </c>
      <c r="F81" s="171">
        <f>ISP!C3</f>
        <v>29244</v>
      </c>
      <c r="G81" s="171"/>
      <c r="H81" s="171">
        <f>ISP!E3</f>
        <v>29799</v>
      </c>
      <c r="I81" s="171"/>
      <c r="J81" s="171">
        <f>ISP!G3</f>
        <v>27720</v>
      </c>
      <c r="K81" s="171"/>
      <c r="L81" s="171">
        <f>ISP!I3</f>
        <v>27250</v>
      </c>
      <c r="M81" s="171"/>
      <c r="N81" s="171">
        <f>ISP!K3</f>
        <v>28871</v>
      </c>
    </row>
    <row r="82" spans="3:14" ht="54">
      <c r="C82" s="166"/>
      <c r="D82" s="179" t="s">
        <v>322</v>
      </c>
      <c r="E82" s="166"/>
      <c r="F82" s="172">
        <v>1495</v>
      </c>
      <c r="G82" s="172"/>
      <c r="H82" s="172">
        <v>1348</v>
      </c>
      <c r="I82" s="170"/>
      <c r="J82" s="172">
        <v>1154</v>
      </c>
      <c r="K82" s="170"/>
      <c r="L82" s="170">
        <v>1148</v>
      </c>
      <c r="M82" s="170"/>
      <c r="N82" s="170">
        <v>1184</v>
      </c>
    </row>
    <row r="83" spans="3:14" ht="36">
      <c r="C83" s="166"/>
      <c r="D83" s="179" t="s">
        <v>323</v>
      </c>
      <c r="E83" s="166"/>
      <c r="F83" s="172">
        <v>1521</v>
      </c>
      <c r="G83" s="172"/>
      <c r="H83" s="172">
        <v>1322</v>
      </c>
      <c r="I83" s="170"/>
      <c r="J83" s="172">
        <v>1178</v>
      </c>
      <c r="K83" s="170"/>
      <c r="L83" s="170">
        <v>929</v>
      </c>
      <c r="M83" s="170"/>
      <c r="N83" s="170">
        <v>884</v>
      </c>
    </row>
    <row r="84" spans="3:14" ht="36">
      <c r="C84" s="166"/>
      <c r="D84" s="179" t="s">
        <v>324</v>
      </c>
      <c r="E84" s="166"/>
      <c r="F84" s="172">
        <v>633</v>
      </c>
      <c r="G84" s="172"/>
      <c r="H84" s="172">
        <v>614</v>
      </c>
      <c r="I84" s="177">
        <v>455</v>
      </c>
      <c r="J84" s="172">
        <v>454</v>
      </c>
      <c r="K84" s="170"/>
      <c r="L84" s="170">
        <v>496</v>
      </c>
      <c r="M84" s="170"/>
      <c r="N84" s="170">
        <v>650</v>
      </c>
    </row>
    <row r="85" spans="3:14" ht="36">
      <c r="C85" s="166"/>
      <c r="D85" s="179" t="s">
        <v>325</v>
      </c>
      <c r="E85" s="166"/>
      <c r="F85" s="172">
        <v>417</v>
      </c>
      <c r="G85" s="172"/>
      <c r="H85" s="172">
        <v>496</v>
      </c>
      <c r="I85" s="177"/>
      <c r="J85" s="172">
        <v>398</v>
      </c>
      <c r="K85" s="170"/>
      <c r="L85" s="170">
        <v>391</v>
      </c>
      <c r="M85" s="170"/>
      <c r="N85" s="170">
        <v>496</v>
      </c>
    </row>
    <row r="86" spans="3:14" ht="18">
      <c r="C86" s="166"/>
      <c r="D86" s="179" t="s">
        <v>237</v>
      </c>
      <c r="E86" s="166"/>
      <c r="F86" s="172">
        <v>368</v>
      </c>
      <c r="G86" s="172"/>
      <c r="H86" s="172">
        <v>375</v>
      </c>
      <c r="I86" s="177"/>
      <c r="J86" s="172">
        <v>377</v>
      </c>
      <c r="K86" s="170"/>
      <c r="L86" s="170">
        <v>382</v>
      </c>
      <c r="M86" s="170"/>
      <c r="N86" s="170">
        <v>364</v>
      </c>
    </row>
    <row r="87" spans="3:14" ht="18">
      <c r="C87" s="166"/>
      <c r="D87" s="179" t="s">
        <v>326</v>
      </c>
      <c r="E87" s="166"/>
      <c r="F87" s="172">
        <v>55</v>
      </c>
      <c r="G87" s="172"/>
      <c r="H87" s="172">
        <v>0</v>
      </c>
      <c r="I87" s="177"/>
      <c r="J87" s="172"/>
      <c r="K87" s="170"/>
      <c r="L87" s="170"/>
      <c r="M87" s="170"/>
      <c r="N87" s="170"/>
    </row>
    <row r="88" spans="3:14" ht="18">
      <c r="C88" s="166"/>
      <c r="D88" s="179" t="s">
        <v>238</v>
      </c>
      <c r="E88" s="166"/>
      <c r="F88" s="172">
        <v>88</v>
      </c>
      <c r="G88" s="177">
        <v>588</v>
      </c>
      <c r="H88" s="172">
        <v>106</v>
      </c>
      <c r="I88" s="177">
        <v>412</v>
      </c>
      <c r="J88" s="172">
        <v>99</v>
      </c>
      <c r="K88" s="170"/>
      <c r="L88" s="170">
        <v>370</v>
      </c>
      <c r="M88" s="170"/>
      <c r="N88" s="170">
        <v>319</v>
      </c>
    </row>
    <row r="89" spans="3:14" ht="19">
      <c r="C89" s="167"/>
      <c r="D89" s="167" t="s">
        <v>239</v>
      </c>
      <c r="E89" s="167"/>
      <c r="F89" s="173">
        <v>4577</v>
      </c>
      <c r="G89" s="177">
        <v>4743</v>
      </c>
      <c r="H89" s="183">
        <v>4261</v>
      </c>
      <c r="I89" s="177">
        <v>3974</v>
      </c>
      <c r="J89" s="183">
        <v>3660</v>
      </c>
      <c r="K89" s="171"/>
      <c r="L89" s="171">
        <v>3716</v>
      </c>
      <c r="M89" s="171"/>
      <c r="N89" s="171">
        <v>3897</v>
      </c>
    </row>
    <row r="90" spans="3:14" ht="18">
      <c r="C90" s="167"/>
      <c r="D90" s="167"/>
      <c r="E90" s="167"/>
      <c r="F90" s="171"/>
      <c r="G90" s="171"/>
      <c r="H90" s="171"/>
      <c r="I90" s="171"/>
      <c r="J90" s="171"/>
      <c r="K90" s="171"/>
      <c r="L90" s="171"/>
      <c r="M90" s="171"/>
      <c r="N90" s="171"/>
    </row>
    <row r="91" spans="3:14" ht="18">
      <c r="C91" s="166"/>
      <c r="D91" s="180" t="s">
        <v>240</v>
      </c>
      <c r="E91" s="180"/>
      <c r="F91" s="181"/>
      <c r="G91" s="181"/>
      <c r="H91" s="181">
        <v>627</v>
      </c>
      <c r="I91" s="181"/>
      <c r="J91" s="181">
        <v>597</v>
      </c>
      <c r="K91" s="181"/>
      <c r="L91" s="181">
        <v>611</v>
      </c>
      <c r="M91" s="181"/>
      <c r="N91" s="181">
        <v>775</v>
      </c>
    </row>
    <row r="92" spans="3:14" ht="18">
      <c r="C92" s="166"/>
      <c r="D92" s="180" t="s">
        <v>241</v>
      </c>
      <c r="E92" s="180"/>
      <c r="F92" s="181"/>
      <c r="G92" s="181"/>
      <c r="H92" s="181">
        <v>804</v>
      </c>
      <c r="I92" s="181"/>
      <c r="J92" s="181">
        <v>720</v>
      </c>
      <c r="K92" s="181"/>
      <c r="L92" s="181">
        <v>727</v>
      </c>
      <c r="M92" s="181"/>
      <c r="N92" s="181">
        <v>730</v>
      </c>
    </row>
    <row r="93" spans="3:14" ht="18">
      <c r="C93" s="166"/>
      <c r="D93" s="180" t="s">
        <v>242</v>
      </c>
      <c r="E93" s="180"/>
      <c r="F93" s="181"/>
      <c r="G93" s="181"/>
      <c r="H93" s="181">
        <v>498</v>
      </c>
      <c r="I93" s="181"/>
      <c r="J93" s="181">
        <v>398</v>
      </c>
      <c r="K93" s="181"/>
      <c r="L93" s="181">
        <v>413</v>
      </c>
      <c r="M93" s="181"/>
      <c r="N93" s="181">
        <v>423</v>
      </c>
    </row>
    <row r="94" spans="3:14" ht="18">
      <c r="C94" s="166"/>
      <c r="D94" s="180" t="s">
        <v>243</v>
      </c>
      <c r="E94" s="180"/>
      <c r="F94" s="181"/>
      <c r="G94" s="181"/>
      <c r="H94" s="181">
        <v>586</v>
      </c>
      <c r="I94" s="181"/>
      <c r="J94" s="181">
        <v>361</v>
      </c>
      <c r="K94" s="181"/>
      <c r="L94" s="181">
        <v>234</v>
      </c>
      <c r="M94" s="181"/>
      <c r="N94" s="181">
        <v>251</v>
      </c>
    </row>
    <row r="95" spans="3:14" ht="18">
      <c r="C95" s="167"/>
      <c r="D95" s="182" t="s">
        <v>244</v>
      </c>
      <c r="E95" s="182"/>
      <c r="F95" s="174"/>
      <c r="G95" s="174"/>
      <c r="H95" s="174">
        <v>2515</v>
      </c>
      <c r="I95" s="174"/>
      <c r="J95" s="174">
        <v>2076</v>
      </c>
      <c r="K95" s="174"/>
      <c r="L95" s="174">
        <v>1985</v>
      </c>
      <c r="M95" s="174"/>
      <c r="N95" s="174">
        <v>2179</v>
      </c>
    </row>
    <row r="96" spans="3:14" ht="18">
      <c r="C96" s="167"/>
      <c r="D96" s="167"/>
      <c r="E96" s="167"/>
      <c r="F96" s="171"/>
      <c r="G96" s="171"/>
      <c r="H96" s="171"/>
      <c r="I96" s="171"/>
      <c r="J96" s="171"/>
      <c r="K96" s="171"/>
      <c r="L96" s="171"/>
      <c r="M96" s="171"/>
      <c r="N96" s="171"/>
    </row>
    <row r="97" spans="3:15" ht="19">
      <c r="C97" s="167"/>
      <c r="D97" s="167" t="s">
        <v>245</v>
      </c>
      <c r="E97" s="167"/>
      <c r="F97" s="173">
        <v>33821</v>
      </c>
      <c r="G97" s="177">
        <v>37057</v>
      </c>
      <c r="H97" s="176">
        <v>34060</v>
      </c>
      <c r="I97" s="177">
        <v>33770</v>
      </c>
      <c r="J97" s="176">
        <v>31380</v>
      </c>
      <c r="K97" s="171"/>
      <c r="L97" s="171">
        <v>32951</v>
      </c>
      <c r="M97" s="171"/>
      <c r="N97" s="171">
        <v>34947</v>
      </c>
    </row>
    <row r="98" spans="3:15" ht="18">
      <c r="C98" s="168"/>
      <c r="D98" s="168"/>
      <c r="E98" s="168"/>
      <c r="F98" s="168"/>
      <c r="G98" s="168"/>
      <c r="H98" s="168"/>
      <c r="I98" s="168"/>
      <c r="J98" s="168"/>
      <c r="K98" s="168"/>
      <c r="L98" s="168"/>
      <c r="M98" s="168"/>
      <c r="N98" s="168"/>
      <c r="O98" s="168"/>
    </row>
    <row r="99" spans="3:15" ht="18">
      <c r="C99" s="166"/>
      <c r="D99" s="166"/>
      <c r="E99" s="166"/>
      <c r="H99" s="175">
        <f>H79+H89+H95</f>
        <v>36575</v>
      </c>
      <c r="O99" s="166"/>
    </row>
    <row r="100" spans="3:15" ht="18">
      <c r="C100" s="166"/>
      <c r="D100" s="166"/>
      <c r="E100" s="166"/>
      <c r="O100" s="166"/>
    </row>
    <row r="101" spans="3:15" ht="18">
      <c r="C101" s="166"/>
      <c r="D101" s="166"/>
      <c r="E101" s="166"/>
      <c r="O101" s="166"/>
    </row>
    <row r="102" spans="3:15" ht="18">
      <c r="C102" s="166"/>
      <c r="E102" s="166"/>
      <c r="O102" s="166"/>
    </row>
    <row r="103" spans="3:15" ht="18">
      <c r="C103" s="166"/>
      <c r="E103" s="166"/>
      <c r="O103" s="166"/>
    </row>
    <row r="104" spans="3:15" ht="18">
      <c r="C104" s="166"/>
      <c r="E104" s="166"/>
      <c r="O104" s="166"/>
    </row>
    <row r="105" spans="3:15" ht="18">
      <c r="C105" s="166"/>
      <c r="E105" s="166"/>
      <c r="O105" s="166"/>
    </row>
    <row r="106" spans="3:15" ht="18">
      <c r="C106" s="166"/>
      <c r="E106" s="166"/>
      <c r="O106" s="166"/>
    </row>
    <row r="107" spans="3:15" ht="18">
      <c r="C107" s="166"/>
      <c r="E107" s="166"/>
      <c r="O107" s="166"/>
    </row>
    <row r="108" spans="3:15" ht="18">
      <c r="C108" s="166"/>
      <c r="E108" s="166"/>
      <c r="O108" s="166"/>
    </row>
    <row r="109" spans="3:15" ht="18">
      <c r="C109" s="167"/>
      <c r="E109" s="167"/>
      <c r="O109" s="167"/>
    </row>
    <row r="110" spans="3:15" ht="18">
      <c r="C110" s="166"/>
      <c r="E110" s="166"/>
      <c r="O110" s="166"/>
    </row>
    <row r="111" spans="3:15" ht="18">
      <c r="C111" s="166"/>
      <c r="E111" s="166"/>
      <c r="O111" s="166"/>
    </row>
    <row r="112" spans="3:15" ht="18">
      <c r="C112" s="166"/>
      <c r="D112" s="166"/>
      <c r="E112" s="166"/>
      <c r="O112" s="166"/>
    </row>
    <row r="113" spans="3:15" ht="18">
      <c r="C113" s="167"/>
      <c r="D113" s="166"/>
      <c r="E113" s="167"/>
      <c r="O113" s="167"/>
    </row>
    <row r="114" spans="3:15" ht="18">
      <c r="C114" s="167"/>
      <c r="D114" s="166"/>
      <c r="E114" s="167"/>
      <c r="O114" s="167"/>
    </row>
    <row r="115" spans="3:15" ht="18">
      <c r="C115" s="167"/>
      <c r="D115" s="167"/>
      <c r="E115" s="167"/>
      <c r="O115" s="167"/>
    </row>
    <row r="116" spans="3:15" ht="18">
      <c r="C116" s="166"/>
      <c r="D116" s="167"/>
      <c r="E116" s="166"/>
      <c r="O116" s="166"/>
    </row>
    <row r="117" spans="3:15" ht="18">
      <c r="C117" s="166"/>
      <c r="E117" s="166"/>
      <c r="O117" s="166"/>
    </row>
    <row r="118" spans="3:15" ht="18">
      <c r="C118" s="166"/>
      <c r="E118" s="166"/>
      <c r="O118" s="166"/>
    </row>
    <row r="119" spans="3:15" ht="18">
      <c r="C119" s="166"/>
      <c r="E119" s="166"/>
      <c r="O119" s="166"/>
    </row>
    <row r="120" spans="3:15" ht="18">
      <c r="C120" s="166"/>
      <c r="E120" s="166"/>
      <c r="O120" s="166"/>
    </row>
    <row r="121" spans="3:15" ht="18">
      <c r="C121" s="166"/>
      <c r="E121" s="166"/>
      <c r="O121" s="166"/>
    </row>
    <row r="122" spans="3:15" ht="18">
      <c r="C122" s="167"/>
      <c r="E122" s="167"/>
      <c r="O122" s="167"/>
    </row>
    <row r="123" spans="3:15" ht="18">
      <c r="C123" s="166"/>
      <c r="E123" s="166"/>
      <c r="O123" s="166"/>
    </row>
    <row r="124" spans="3:15" ht="18">
      <c r="C124" s="166"/>
      <c r="E124" s="166"/>
      <c r="O124" s="166"/>
    </row>
    <row r="125" spans="3:15" ht="18">
      <c r="C125" s="166"/>
      <c r="E125" s="166"/>
      <c r="O125" s="166"/>
    </row>
    <row r="126" spans="3:15" ht="18">
      <c r="C126" s="166"/>
      <c r="E126" s="166"/>
      <c r="O126" s="166"/>
    </row>
    <row r="127" spans="3:15" ht="18">
      <c r="C127" s="167"/>
      <c r="E127" s="167"/>
      <c r="O127" s="167"/>
    </row>
    <row r="128" spans="3:15" ht="18">
      <c r="C128" s="167"/>
      <c r="E128" s="16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opLeftCell="A57" zoomScale="125" zoomScaleNormal="125" zoomScalePageLayoutView="125" workbookViewId="0">
      <selection activeCell="A74" sqref="A74"/>
    </sheetView>
  </sheetViews>
  <sheetFormatPr baseColWidth="10" defaultRowHeight="14" x14ac:dyDescent="0"/>
  <cols>
    <col min="1" max="1" width="27.33203125" style="145" customWidth="1"/>
    <col min="2" max="2" width="30" style="145" customWidth="1"/>
    <col min="3" max="3" width="25.83203125" style="145" customWidth="1"/>
    <col min="4" max="4" width="46.83203125" style="145" customWidth="1"/>
  </cols>
  <sheetData>
    <row r="1" spans="1:4">
      <c r="A1" s="145" t="s">
        <v>136</v>
      </c>
      <c r="B1" s="163" t="s">
        <v>83</v>
      </c>
      <c r="C1" s="163" t="s">
        <v>139</v>
      </c>
      <c r="D1" s="164" t="s">
        <v>140</v>
      </c>
    </row>
    <row r="2" spans="1:4">
      <c r="A2" s="145" t="s">
        <v>193</v>
      </c>
      <c r="B2" s="163" t="s">
        <v>83</v>
      </c>
      <c r="C2" s="163" t="s">
        <v>389</v>
      </c>
      <c r="D2" s="163" t="s">
        <v>390</v>
      </c>
    </row>
    <row r="3" spans="1:4">
      <c r="A3" s="145" t="s">
        <v>193</v>
      </c>
      <c r="B3" s="163" t="s">
        <v>83</v>
      </c>
      <c r="C3" s="163" t="s">
        <v>397</v>
      </c>
      <c r="D3" s="163" t="s">
        <v>398</v>
      </c>
    </row>
    <row r="4" spans="1:4">
      <c r="A4" s="145" t="s">
        <v>136</v>
      </c>
      <c r="B4" s="163" t="s">
        <v>77</v>
      </c>
      <c r="C4" s="164" t="s">
        <v>373</v>
      </c>
      <c r="D4" s="164" t="s">
        <v>372</v>
      </c>
    </row>
    <row r="5" spans="1:4">
      <c r="A5" s="145" t="s">
        <v>136</v>
      </c>
      <c r="B5" s="164" t="s">
        <v>77</v>
      </c>
      <c r="C5" s="163" t="s">
        <v>141</v>
      </c>
      <c r="D5" s="164" t="s">
        <v>142</v>
      </c>
    </row>
    <row r="6" spans="1:4">
      <c r="A6" s="145" t="s">
        <v>131</v>
      </c>
      <c r="B6" s="163" t="s">
        <v>86</v>
      </c>
      <c r="C6" s="163" t="s">
        <v>257</v>
      </c>
      <c r="D6" s="164" t="s">
        <v>258</v>
      </c>
    </row>
    <row r="7" spans="1:4">
      <c r="A7" s="145" t="s">
        <v>193</v>
      </c>
      <c r="B7" s="163" t="s">
        <v>86</v>
      </c>
      <c r="C7" s="163" t="s">
        <v>288</v>
      </c>
      <c r="D7" s="164" t="s">
        <v>289</v>
      </c>
    </row>
    <row r="8" spans="1:4">
      <c r="A8" s="145" t="s">
        <v>193</v>
      </c>
      <c r="B8" s="163" t="s">
        <v>78</v>
      </c>
      <c r="C8" s="163" t="s">
        <v>395</v>
      </c>
      <c r="D8" s="163" t="s">
        <v>396</v>
      </c>
    </row>
    <row r="9" spans="1:4">
      <c r="A9" s="145" t="s">
        <v>136</v>
      </c>
      <c r="B9" s="163" t="s">
        <v>78</v>
      </c>
      <c r="C9" s="163" t="s">
        <v>153</v>
      </c>
      <c r="D9" s="164" t="s">
        <v>154</v>
      </c>
    </row>
    <row r="10" spans="1:4">
      <c r="A10" s="145" t="s">
        <v>156</v>
      </c>
      <c r="B10" s="163" t="s">
        <v>78</v>
      </c>
      <c r="C10" s="164" t="s">
        <v>167</v>
      </c>
      <c r="D10" s="164" t="s">
        <v>168</v>
      </c>
    </row>
    <row r="11" spans="1:4">
      <c r="A11" s="145" t="s">
        <v>156</v>
      </c>
      <c r="B11" s="163" t="s">
        <v>88</v>
      </c>
      <c r="C11" s="163" t="s">
        <v>160</v>
      </c>
      <c r="D11" s="163" t="s">
        <v>161</v>
      </c>
    </row>
    <row r="12" spans="1:4">
      <c r="A12" s="145" t="s">
        <v>193</v>
      </c>
      <c r="B12" s="163" t="s">
        <v>79</v>
      </c>
      <c r="C12" s="163" t="s">
        <v>382</v>
      </c>
      <c r="D12" s="163" t="s">
        <v>383</v>
      </c>
    </row>
    <row r="13" spans="1:4">
      <c r="A13" s="145" t="s">
        <v>131</v>
      </c>
      <c r="B13" s="163" t="s">
        <v>84</v>
      </c>
      <c r="C13" s="163" t="s">
        <v>21</v>
      </c>
      <c r="D13" s="164" t="s">
        <v>133</v>
      </c>
    </row>
    <row r="14" spans="1:4">
      <c r="A14" s="145" t="s">
        <v>193</v>
      </c>
      <c r="B14" s="163" t="s">
        <v>84</v>
      </c>
      <c r="C14" s="163" t="s">
        <v>274</v>
      </c>
      <c r="D14" s="164" t="s">
        <v>275</v>
      </c>
    </row>
    <row r="15" spans="1:4">
      <c r="A15" s="145" t="s">
        <v>136</v>
      </c>
      <c r="B15" s="163" t="s">
        <v>84</v>
      </c>
      <c r="C15" s="163" t="s">
        <v>147</v>
      </c>
      <c r="D15" s="164" t="s">
        <v>148</v>
      </c>
    </row>
    <row r="16" spans="1:4">
      <c r="A16" s="145" t="s">
        <v>193</v>
      </c>
      <c r="B16" s="163" t="s">
        <v>84</v>
      </c>
      <c r="C16" s="163" t="s">
        <v>284</v>
      </c>
      <c r="D16" s="163" t="s">
        <v>285</v>
      </c>
    </row>
    <row r="17" spans="1:4">
      <c r="A17" s="145" t="s">
        <v>193</v>
      </c>
      <c r="B17" s="163" t="s">
        <v>80</v>
      </c>
      <c r="C17" s="163" t="s">
        <v>399</v>
      </c>
      <c r="D17" s="163" t="s">
        <v>400</v>
      </c>
    </row>
    <row r="18" spans="1:4">
      <c r="A18" s="145" t="s">
        <v>193</v>
      </c>
      <c r="B18" s="163" t="s">
        <v>80</v>
      </c>
      <c r="C18" s="163" t="s">
        <v>404</v>
      </c>
      <c r="D18" s="164" t="s">
        <v>405</v>
      </c>
    </row>
    <row r="19" spans="1:4">
      <c r="A19" s="145" t="s">
        <v>136</v>
      </c>
      <c r="B19" s="163" t="s">
        <v>80</v>
      </c>
      <c r="C19" s="163" t="s">
        <v>149</v>
      </c>
      <c r="D19" s="164" t="s">
        <v>150</v>
      </c>
    </row>
    <row r="20" spans="1:4">
      <c r="A20" s="145" t="s">
        <v>156</v>
      </c>
      <c r="B20" s="163" t="s">
        <v>100</v>
      </c>
      <c r="C20" s="163" t="s">
        <v>162</v>
      </c>
      <c r="D20" s="163" t="s">
        <v>163</v>
      </c>
    </row>
    <row r="21" spans="1:4">
      <c r="A21" s="145" t="s">
        <v>136</v>
      </c>
      <c r="B21" s="164" t="s">
        <v>100</v>
      </c>
      <c r="C21" s="163" t="s">
        <v>145</v>
      </c>
      <c r="D21" s="164" t="s">
        <v>146</v>
      </c>
    </row>
    <row r="22" spans="1:4">
      <c r="A22" s="145" t="s">
        <v>136</v>
      </c>
      <c r="B22" s="163" t="s">
        <v>100</v>
      </c>
      <c r="C22" s="163" t="s">
        <v>151</v>
      </c>
      <c r="D22" s="164" t="s">
        <v>152</v>
      </c>
    </row>
    <row r="23" spans="1:4">
      <c r="A23" s="145" t="s">
        <v>131</v>
      </c>
      <c r="B23" s="163" t="s">
        <v>100</v>
      </c>
      <c r="C23" s="163" t="s">
        <v>134</v>
      </c>
      <c r="D23" s="164" t="s">
        <v>155</v>
      </c>
    </row>
    <row r="24" spans="1:4">
      <c r="A24" s="145" t="s">
        <v>193</v>
      </c>
      <c r="B24" s="163" t="s">
        <v>100</v>
      </c>
      <c r="C24" s="163" t="s">
        <v>406</v>
      </c>
      <c r="D24" s="164" t="s">
        <v>407</v>
      </c>
    </row>
    <row r="25" spans="1:4">
      <c r="A25" s="145" t="s">
        <v>136</v>
      </c>
      <c r="B25" s="164" t="s">
        <v>81</v>
      </c>
      <c r="C25" s="163" t="s">
        <v>143</v>
      </c>
      <c r="D25" s="164" t="s">
        <v>144</v>
      </c>
    </row>
    <row r="26" spans="1:4">
      <c r="A26" s="145" t="s">
        <v>131</v>
      </c>
      <c r="B26" s="163" t="s">
        <v>261</v>
      </c>
      <c r="C26" s="163" t="s">
        <v>259</v>
      </c>
      <c r="D26" s="164" t="s">
        <v>260</v>
      </c>
    </row>
    <row r="27" spans="1:4">
      <c r="A27" s="145" t="s">
        <v>156</v>
      </c>
      <c r="B27" s="164" t="s">
        <v>87</v>
      </c>
      <c r="C27" s="164" t="s">
        <v>379</v>
      </c>
      <c r="D27" s="164" t="s">
        <v>262</v>
      </c>
    </row>
    <row r="28" spans="1:4">
      <c r="A28" s="145" t="s">
        <v>193</v>
      </c>
      <c r="B28" s="163" t="s">
        <v>87</v>
      </c>
      <c r="C28" s="163" t="s">
        <v>391</v>
      </c>
      <c r="D28" s="163" t="s">
        <v>392</v>
      </c>
    </row>
    <row r="29" spans="1:4">
      <c r="A29" s="145" t="s">
        <v>156</v>
      </c>
      <c r="B29" s="163" t="s">
        <v>87</v>
      </c>
      <c r="C29" s="164" t="s">
        <v>380</v>
      </c>
      <c r="D29" s="164" t="s">
        <v>381</v>
      </c>
    </row>
    <row r="30" spans="1:4">
      <c r="A30" s="145" t="s">
        <v>193</v>
      </c>
      <c r="B30" s="163" t="s">
        <v>82</v>
      </c>
      <c r="C30" s="163" t="s">
        <v>286</v>
      </c>
      <c r="D30" s="164" t="s">
        <v>287</v>
      </c>
    </row>
    <row r="31" spans="1:4">
      <c r="A31" s="145" t="s">
        <v>193</v>
      </c>
      <c r="B31" s="163" t="s">
        <v>82</v>
      </c>
      <c r="C31" s="163" t="s">
        <v>408</v>
      </c>
      <c r="D31" s="163" t="s">
        <v>401</v>
      </c>
    </row>
    <row r="32" spans="1:4">
      <c r="A32" s="145" t="s">
        <v>156</v>
      </c>
      <c r="B32" s="163" t="s">
        <v>85</v>
      </c>
      <c r="C32" s="164" t="s">
        <v>417</v>
      </c>
      <c r="D32" s="163" t="s">
        <v>164</v>
      </c>
    </row>
    <row r="33" spans="1:5">
      <c r="A33" s="145" t="s">
        <v>156</v>
      </c>
      <c r="B33" s="163" t="s">
        <v>85</v>
      </c>
      <c r="C33" s="164" t="s">
        <v>176</v>
      </c>
      <c r="D33" s="164" t="s">
        <v>172</v>
      </c>
    </row>
    <row r="34" spans="1:5">
      <c r="A34" s="145" t="s">
        <v>156</v>
      </c>
      <c r="B34" s="163" t="s">
        <v>85</v>
      </c>
      <c r="C34" s="164" t="s">
        <v>376</v>
      </c>
      <c r="D34" s="163" t="s">
        <v>378</v>
      </c>
    </row>
    <row r="35" spans="1:5">
      <c r="A35" s="145" t="s">
        <v>156</v>
      </c>
      <c r="B35" s="163" t="s">
        <v>85</v>
      </c>
      <c r="C35" s="164" t="s">
        <v>375</v>
      </c>
      <c r="D35" s="164" t="s">
        <v>377</v>
      </c>
    </row>
    <row r="36" spans="1:5">
      <c r="A36" s="145" t="s">
        <v>156</v>
      </c>
      <c r="B36" s="163" t="s">
        <v>85</v>
      </c>
      <c r="C36" s="164" t="s">
        <v>374</v>
      </c>
      <c r="D36" s="163" t="s">
        <v>164</v>
      </c>
    </row>
    <row r="37" spans="1:5">
      <c r="A37" s="145" t="s">
        <v>156</v>
      </c>
      <c r="B37" s="163" t="s">
        <v>85</v>
      </c>
      <c r="C37" s="164" t="s">
        <v>165</v>
      </c>
      <c r="D37" s="163" t="s">
        <v>166</v>
      </c>
    </row>
    <row r="38" spans="1:5">
      <c r="A38" s="145" t="s">
        <v>156</v>
      </c>
      <c r="B38" s="163" t="s">
        <v>85</v>
      </c>
      <c r="C38" s="164" t="s">
        <v>173</v>
      </c>
      <c r="D38" s="164" t="s">
        <v>171</v>
      </c>
    </row>
    <row r="39" spans="1:5">
      <c r="A39" s="145" t="s">
        <v>156</v>
      </c>
      <c r="B39" s="163" t="s">
        <v>85</v>
      </c>
      <c r="C39" s="163" t="s">
        <v>158</v>
      </c>
      <c r="D39" s="164" t="s">
        <v>159</v>
      </c>
    </row>
    <row r="40" spans="1:5">
      <c r="A40" s="145" t="s">
        <v>193</v>
      </c>
      <c r="B40" s="163" t="s">
        <v>253</v>
      </c>
      <c r="C40" s="163" t="s">
        <v>393</v>
      </c>
      <c r="D40" s="163" t="s">
        <v>394</v>
      </c>
    </row>
    <row r="41" spans="1:5">
      <c r="A41" s="145" t="s">
        <v>193</v>
      </c>
      <c r="B41" s="164" t="s">
        <v>89</v>
      </c>
      <c r="C41" s="163" t="s">
        <v>402</v>
      </c>
      <c r="D41" s="163" t="s">
        <v>403</v>
      </c>
    </row>
    <row r="42" spans="1:5">
      <c r="A42" s="145" t="s">
        <v>193</v>
      </c>
      <c r="B42" s="163" t="s">
        <v>254</v>
      </c>
      <c r="C42" s="163" t="s">
        <v>385</v>
      </c>
      <c r="D42" s="164" t="s">
        <v>386</v>
      </c>
    </row>
    <row r="43" spans="1:5">
      <c r="A43" s="145" t="s">
        <v>193</v>
      </c>
      <c r="B43" s="163" t="s">
        <v>254</v>
      </c>
      <c r="C43" s="163" t="s">
        <v>387</v>
      </c>
      <c r="D43" s="164" t="s">
        <v>388</v>
      </c>
    </row>
    <row r="44" spans="1:5">
      <c r="A44" s="145" t="s">
        <v>193</v>
      </c>
      <c r="B44" s="163" t="s">
        <v>254</v>
      </c>
      <c r="C44" s="164" t="s">
        <v>409</v>
      </c>
      <c r="D44" s="164" t="s">
        <v>384</v>
      </c>
    </row>
    <row r="45" spans="1:5">
      <c r="B45" s="163"/>
      <c r="C45" s="164"/>
      <c r="D45" s="164"/>
    </row>
    <row r="46" spans="1:5">
      <c r="A46" s="145" t="s">
        <v>250</v>
      </c>
      <c r="B46" s="163" t="s">
        <v>130</v>
      </c>
      <c r="C46" s="164" t="s">
        <v>200</v>
      </c>
      <c r="D46" s="164" t="s">
        <v>270</v>
      </c>
      <c r="E46">
        <v>1</v>
      </c>
    </row>
    <row r="47" spans="1:5">
      <c r="A47" s="145" t="s">
        <v>250</v>
      </c>
      <c r="B47" s="163" t="s">
        <v>130</v>
      </c>
      <c r="C47" s="164" t="s">
        <v>214</v>
      </c>
      <c r="D47" s="164" t="s">
        <v>303</v>
      </c>
      <c r="E47">
        <v>2</v>
      </c>
    </row>
    <row r="48" spans="1:5">
      <c r="A48" s="145" t="s">
        <v>156</v>
      </c>
      <c r="B48" s="163" t="s">
        <v>130</v>
      </c>
      <c r="C48" s="163" t="s">
        <v>204</v>
      </c>
      <c r="D48" s="163" t="s">
        <v>290</v>
      </c>
      <c r="E48">
        <v>3</v>
      </c>
    </row>
    <row r="49" spans="1:5">
      <c r="A49" s="145" t="s">
        <v>156</v>
      </c>
      <c r="B49" s="163" t="s">
        <v>130</v>
      </c>
      <c r="C49" s="163" t="s">
        <v>203</v>
      </c>
      <c r="D49" s="163" t="s">
        <v>291</v>
      </c>
      <c r="E49">
        <v>4</v>
      </c>
    </row>
    <row r="50" spans="1:5">
      <c r="A50" s="145" t="s">
        <v>250</v>
      </c>
      <c r="B50" s="163" t="s">
        <v>130</v>
      </c>
      <c r="C50" s="164" t="s">
        <v>296</v>
      </c>
      <c r="D50" s="164" t="s">
        <v>295</v>
      </c>
      <c r="E50">
        <v>5</v>
      </c>
    </row>
    <row r="51" spans="1:5">
      <c r="A51" s="145" t="s">
        <v>246</v>
      </c>
      <c r="B51" s="163" t="s">
        <v>130</v>
      </c>
      <c r="C51" s="163" t="s">
        <v>194</v>
      </c>
      <c r="D51" s="163" t="s">
        <v>271</v>
      </c>
      <c r="E51">
        <v>6</v>
      </c>
    </row>
    <row r="52" spans="1:5">
      <c r="A52" s="145" t="s">
        <v>250</v>
      </c>
      <c r="B52" s="163" t="s">
        <v>130</v>
      </c>
      <c r="C52" s="163" t="s">
        <v>197</v>
      </c>
      <c r="D52" s="164" t="s">
        <v>267</v>
      </c>
      <c r="E52">
        <v>7</v>
      </c>
    </row>
    <row r="53" spans="1:5">
      <c r="A53" s="145" t="s">
        <v>250</v>
      </c>
      <c r="B53" s="163" t="s">
        <v>130</v>
      </c>
      <c r="C53" s="163" t="s">
        <v>196</v>
      </c>
      <c r="D53" s="164" t="s">
        <v>256</v>
      </c>
      <c r="E53">
        <v>8</v>
      </c>
    </row>
    <row r="54" spans="1:5">
      <c r="A54" s="145" t="s">
        <v>293</v>
      </c>
      <c r="B54" s="163" t="s">
        <v>130</v>
      </c>
      <c r="C54" s="164" t="s">
        <v>222</v>
      </c>
      <c r="D54" s="164" t="s">
        <v>306</v>
      </c>
      <c r="E54">
        <v>9</v>
      </c>
    </row>
    <row r="55" spans="1:5">
      <c r="A55" s="145" t="s">
        <v>250</v>
      </c>
      <c r="B55" s="163" t="s">
        <v>130</v>
      </c>
      <c r="C55" s="164" t="s">
        <v>216</v>
      </c>
      <c r="D55" s="164" t="s">
        <v>297</v>
      </c>
      <c r="E55">
        <v>10</v>
      </c>
    </row>
    <row r="56" spans="1:5">
      <c r="A56" s="145" t="s">
        <v>131</v>
      </c>
      <c r="B56" s="163" t="s">
        <v>130</v>
      </c>
      <c r="C56" s="163" t="s">
        <v>135</v>
      </c>
      <c r="D56" s="164" t="s">
        <v>132</v>
      </c>
      <c r="E56">
        <v>11</v>
      </c>
    </row>
    <row r="57" spans="1:5">
      <c r="A57" s="145" t="s">
        <v>193</v>
      </c>
      <c r="B57" s="163" t="s">
        <v>130</v>
      </c>
      <c r="C57" s="163" t="s">
        <v>188</v>
      </c>
      <c r="D57" s="163" t="s">
        <v>278</v>
      </c>
      <c r="E57">
        <v>12</v>
      </c>
    </row>
    <row r="58" spans="1:5">
      <c r="A58" s="145" t="s">
        <v>193</v>
      </c>
      <c r="B58" s="163" t="s">
        <v>280</v>
      </c>
      <c r="C58" s="163" t="s">
        <v>279</v>
      </c>
      <c r="D58" s="164" t="s">
        <v>278</v>
      </c>
      <c r="E58">
        <v>13</v>
      </c>
    </row>
    <row r="59" spans="1:5">
      <c r="A59" s="145" t="s">
        <v>250</v>
      </c>
      <c r="B59" s="163" t="s">
        <v>130</v>
      </c>
      <c r="C59" s="164" t="s">
        <v>199</v>
      </c>
      <c r="D59" s="164" t="s">
        <v>269</v>
      </c>
      <c r="E59">
        <v>14</v>
      </c>
    </row>
    <row r="60" spans="1:5">
      <c r="A60" s="145" t="s">
        <v>156</v>
      </c>
      <c r="B60" s="163" t="s">
        <v>130</v>
      </c>
      <c r="C60" s="163" t="s">
        <v>205</v>
      </c>
      <c r="D60" s="163" t="s">
        <v>292</v>
      </c>
      <c r="E60">
        <v>15</v>
      </c>
    </row>
    <row r="61" spans="1:5">
      <c r="A61" s="145" t="s">
        <v>193</v>
      </c>
      <c r="B61" s="163" t="s">
        <v>130</v>
      </c>
      <c r="C61" s="163" t="s">
        <v>187</v>
      </c>
      <c r="D61" s="163" t="s">
        <v>276</v>
      </c>
      <c r="E61">
        <v>16</v>
      </c>
    </row>
    <row r="62" spans="1:5">
      <c r="A62" s="145" t="s">
        <v>136</v>
      </c>
      <c r="B62" s="163" t="s">
        <v>130</v>
      </c>
      <c r="C62" s="163" t="s">
        <v>137</v>
      </c>
      <c r="D62" s="164" t="s">
        <v>138</v>
      </c>
      <c r="E62">
        <v>17</v>
      </c>
    </row>
    <row r="63" spans="1:5">
      <c r="A63" s="145" t="s">
        <v>156</v>
      </c>
      <c r="B63" s="163" t="s">
        <v>130</v>
      </c>
      <c r="C63" s="163" t="s">
        <v>170</v>
      </c>
      <c r="D63" s="163" t="s">
        <v>169</v>
      </c>
      <c r="E63">
        <v>18</v>
      </c>
    </row>
    <row r="64" spans="1:5">
      <c r="A64" s="145" t="s">
        <v>250</v>
      </c>
      <c r="B64" s="163" t="s">
        <v>130</v>
      </c>
      <c r="C64" s="163" t="s">
        <v>219</v>
      </c>
      <c r="D64" s="164" t="s">
        <v>305</v>
      </c>
      <c r="E64">
        <v>19</v>
      </c>
    </row>
    <row r="65" spans="1:5">
      <c r="A65" s="145" t="s">
        <v>246</v>
      </c>
      <c r="B65" s="163" t="s">
        <v>130</v>
      </c>
      <c r="C65" s="163" t="s">
        <v>195</v>
      </c>
      <c r="D65" s="163" t="s">
        <v>272</v>
      </c>
      <c r="E65">
        <v>20</v>
      </c>
    </row>
    <row r="66" spans="1:5">
      <c r="A66" s="145" t="s">
        <v>156</v>
      </c>
      <c r="B66" s="163" t="s">
        <v>130</v>
      </c>
      <c r="C66" s="164" t="s">
        <v>177</v>
      </c>
      <c r="D66" s="164" t="s">
        <v>157</v>
      </c>
      <c r="E66">
        <v>21</v>
      </c>
    </row>
    <row r="67" spans="1:5">
      <c r="A67" s="145" t="s">
        <v>249</v>
      </c>
      <c r="B67" s="163" t="s">
        <v>130</v>
      </c>
      <c r="C67" s="163" t="s">
        <v>211</v>
      </c>
      <c r="D67" s="163" t="s">
        <v>264</v>
      </c>
      <c r="E67">
        <v>22</v>
      </c>
    </row>
    <row r="68" spans="1:5">
      <c r="A68" s="145" t="s">
        <v>156</v>
      </c>
      <c r="B68" s="163" t="s">
        <v>130</v>
      </c>
      <c r="C68" s="163" t="s">
        <v>174</v>
      </c>
      <c r="D68" s="164" t="s">
        <v>175</v>
      </c>
      <c r="E68">
        <v>23</v>
      </c>
    </row>
    <row r="69" spans="1:5">
      <c r="A69" s="145" t="s">
        <v>282</v>
      </c>
      <c r="B69" s="163" t="s">
        <v>130</v>
      </c>
      <c r="C69" s="163" t="s">
        <v>190</v>
      </c>
      <c r="D69" s="163" t="s">
        <v>281</v>
      </c>
      <c r="E69">
        <v>24</v>
      </c>
    </row>
    <row r="70" spans="1:5">
      <c r="A70" s="145" t="s">
        <v>293</v>
      </c>
      <c r="B70" s="163" t="s">
        <v>130</v>
      </c>
      <c r="C70" s="163" t="s">
        <v>208</v>
      </c>
      <c r="D70" s="164" t="s">
        <v>265</v>
      </c>
      <c r="E70">
        <v>25</v>
      </c>
    </row>
    <row r="71" spans="1:5">
      <c r="A71" s="145" t="s">
        <v>250</v>
      </c>
      <c r="B71" s="163" t="s">
        <v>130</v>
      </c>
      <c r="C71" s="164" t="s">
        <v>252</v>
      </c>
      <c r="D71" s="164" t="s">
        <v>268</v>
      </c>
      <c r="E71">
        <v>26</v>
      </c>
    </row>
    <row r="72" spans="1:5">
      <c r="A72" s="145" t="s">
        <v>136</v>
      </c>
      <c r="B72" s="163" t="s">
        <v>130</v>
      </c>
      <c r="C72" s="163" t="s">
        <v>221</v>
      </c>
      <c r="D72" s="164" t="s">
        <v>308</v>
      </c>
      <c r="E72">
        <v>27</v>
      </c>
    </row>
    <row r="73" spans="1:5">
      <c r="A73" s="145" t="s">
        <v>293</v>
      </c>
      <c r="B73" s="163" t="s">
        <v>130</v>
      </c>
      <c r="C73" s="163" t="s">
        <v>210</v>
      </c>
      <c r="D73" s="164" t="s">
        <v>263</v>
      </c>
      <c r="E73">
        <v>28</v>
      </c>
    </row>
    <row r="74" spans="1:5">
      <c r="A74" s="145" t="s">
        <v>247</v>
      </c>
      <c r="B74" s="163" t="s">
        <v>130</v>
      </c>
      <c r="C74" s="163" t="s">
        <v>209</v>
      </c>
      <c r="D74" s="163" t="s">
        <v>266</v>
      </c>
      <c r="E74">
        <v>29</v>
      </c>
    </row>
    <row r="75" spans="1:5">
      <c r="A75" s="145" t="s">
        <v>250</v>
      </c>
      <c r="B75" s="163" t="s">
        <v>130</v>
      </c>
      <c r="C75" s="164" t="s">
        <v>294</v>
      </c>
      <c r="D75" s="164" t="s">
        <v>255</v>
      </c>
      <c r="E75">
        <v>30</v>
      </c>
    </row>
    <row r="76" spans="1:5">
      <c r="A76" s="145" t="s">
        <v>250</v>
      </c>
      <c r="B76" s="163" t="s">
        <v>130</v>
      </c>
      <c r="C76" s="164" t="s">
        <v>301</v>
      </c>
      <c r="D76" s="164" t="s">
        <v>300</v>
      </c>
      <c r="E76">
        <v>31</v>
      </c>
    </row>
    <row r="77" spans="1:5">
      <c r="A77" s="145" t="s">
        <v>250</v>
      </c>
      <c r="B77" s="163" t="s">
        <v>130</v>
      </c>
      <c r="C77" s="164" t="s">
        <v>298</v>
      </c>
      <c r="D77" s="164" t="s">
        <v>299</v>
      </c>
      <c r="E77">
        <v>32</v>
      </c>
    </row>
    <row r="78" spans="1:5">
      <c r="A78" s="145" t="s">
        <v>248</v>
      </c>
      <c r="B78" s="163" t="s">
        <v>130</v>
      </c>
      <c r="C78" s="163" t="s">
        <v>220</v>
      </c>
      <c r="D78" s="163" t="s">
        <v>304</v>
      </c>
      <c r="E78">
        <v>33</v>
      </c>
    </row>
    <row r="79" spans="1:5">
      <c r="A79" s="145" t="s">
        <v>193</v>
      </c>
      <c r="B79" s="163" t="s">
        <v>130</v>
      </c>
      <c r="C79" s="163" t="s">
        <v>186</v>
      </c>
      <c r="D79" s="163" t="s">
        <v>273</v>
      </c>
      <c r="E79">
        <v>34</v>
      </c>
    </row>
    <row r="80" spans="1:5">
      <c r="A80" s="145" t="s">
        <v>131</v>
      </c>
      <c r="B80" s="163" t="s">
        <v>130</v>
      </c>
      <c r="C80" s="163" t="s">
        <v>189</v>
      </c>
      <c r="D80" s="164" t="s">
        <v>277</v>
      </c>
      <c r="E80">
        <v>35</v>
      </c>
    </row>
    <row r="81" spans="1:5">
      <c r="A81" s="145" t="s">
        <v>156</v>
      </c>
      <c r="B81" s="163" t="s">
        <v>130</v>
      </c>
      <c r="C81" s="163" t="s">
        <v>206</v>
      </c>
      <c r="D81" s="163" t="s">
        <v>169</v>
      </c>
      <c r="E81">
        <v>36</v>
      </c>
    </row>
    <row r="82" spans="1:5">
      <c r="A82" s="145" t="s">
        <v>250</v>
      </c>
      <c r="B82" s="163" t="s">
        <v>130</v>
      </c>
      <c r="C82" s="164" t="s">
        <v>218</v>
      </c>
      <c r="D82" s="164" t="s">
        <v>302</v>
      </c>
      <c r="E82">
        <v>37</v>
      </c>
    </row>
    <row r="83" spans="1:5">
      <c r="A83" s="145" t="s">
        <v>250</v>
      </c>
      <c r="B83" s="163" t="s">
        <v>130</v>
      </c>
      <c r="C83" s="163" t="s">
        <v>223</v>
      </c>
      <c r="D83" s="164" t="s">
        <v>307</v>
      </c>
      <c r="E83">
        <v>38</v>
      </c>
    </row>
    <row r="84" spans="1:5">
      <c r="A84" s="145" t="s">
        <v>193</v>
      </c>
      <c r="B84" s="163" t="s">
        <v>130</v>
      </c>
      <c r="C84" s="163" t="s">
        <v>251</v>
      </c>
      <c r="D84" s="163" t="s">
        <v>283</v>
      </c>
      <c r="E84">
        <v>39</v>
      </c>
    </row>
  </sheetData>
  <sortState ref="A46:D84">
    <sortCondition ref="C46:C84"/>
    <sortCondition ref="A46:A84"/>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baseColWidth="10" defaultRowHeight="14"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47"/>
  <sheetViews>
    <sheetView showGridLines="0" workbookViewId="0">
      <selection activeCell="B29" sqref="B29"/>
    </sheetView>
  </sheetViews>
  <sheetFormatPr baseColWidth="10" defaultColWidth="11.5" defaultRowHeight="12" x14ac:dyDescent="0"/>
  <cols>
    <col min="1" max="1" width="58.5" style="141" customWidth="1"/>
    <col min="2" max="3" width="14.33203125" style="141" customWidth="1"/>
    <col min="4" max="16384" width="11.5" style="141"/>
  </cols>
  <sheetData>
    <row r="1" spans="1:5" ht="37" customHeight="1">
      <c r="A1" s="274" t="s">
        <v>474</v>
      </c>
      <c r="B1" s="274"/>
      <c r="C1" s="274"/>
      <c r="D1" s="232"/>
    </row>
    <row r="2" spans="1:5" ht="11" customHeight="1">
      <c r="A2" s="233"/>
      <c r="B2" s="234"/>
      <c r="C2" s="235"/>
    </row>
    <row r="3" spans="1:5" ht="20.25" customHeight="1">
      <c r="A3" s="236" t="s">
        <v>475</v>
      </c>
      <c r="B3" s="275" t="s">
        <v>476</v>
      </c>
      <c r="C3" s="275" t="s">
        <v>477</v>
      </c>
    </row>
    <row r="4" spans="1:5" ht="13.5" customHeight="1">
      <c r="A4" s="237"/>
      <c r="B4" s="275"/>
      <c r="C4" s="275"/>
    </row>
    <row r="5" spans="1:5" s="241" customFormat="1" ht="17.25" customHeight="1">
      <c r="A5" s="238" t="s">
        <v>434</v>
      </c>
      <c r="B5" s="239">
        <v>8648</v>
      </c>
      <c r="C5" s="240">
        <v>7783</v>
      </c>
      <c r="E5" s="240"/>
    </row>
    <row r="6" spans="1:5" s="241" customFormat="1" ht="17.25" customHeight="1">
      <c r="A6" s="242" t="s">
        <v>439</v>
      </c>
      <c r="B6" s="243">
        <v>249</v>
      </c>
      <c r="C6" s="244">
        <v>145</v>
      </c>
      <c r="E6" s="244"/>
    </row>
    <row r="7" spans="1:5" s="241" customFormat="1" ht="17.25" customHeight="1">
      <c r="A7" s="242" t="s">
        <v>71</v>
      </c>
      <c r="B7" s="243">
        <v>-2785</v>
      </c>
      <c r="C7" s="244">
        <v>-2447</v>
      </c>
      <c r="E7" s="244"/>
    </row>
    <row r="8" spans="1:5" s="241" customFormat="1" ht="17.25" customHeight="1">
      <c r="A8" s="238" t="s">
        <v>59</v>
      </c>
      <c r="B8" s="239">
        <f>B5+B6+B7</f>
        <v>6112</v>
      </c>
      <c r="C8" s="245">
        <f>C5+C6+C7</f>
        <v>5481</v>
      </c>
      <c r="E8" s="245"/>
    </row>
    <row r="9" spans="1:5" s="241" customFormat="1" ht="17.25" customHeight="1">
      <c r="A9" s="242" t="s">
        <v>478</v>
      </c>
      <c r="B9" s="243">
        <v>-1309</v>
      </c>
      <c r="C9" s="244">
        <v>-1235</v>
      </c>
      <c r="E9" s="244"/>
    </row>
    <row r="10" spans="1:5" s="241" customFormat="1" ht="17.25" customHeight="1">
      <c r="A10" s="242" t="s">
        <v>479</v>
      </c>
      <c r="B10" s="243">
        <v>-2478</v>
      </c>
      <c r="C10" s="244">
        <v>-2212</v>
      </c>
      <c r="E10" s="244"/>
    </row>
    <row r="11" spans="1:5" s="241" customFormat="1" ht="17.25" customHeight="1">
      <c r="A11" s="242" t="s">
        <v>480</v>
      </c>
      <c r="B11" s="243">
        <v>60</v>
      </c>
      <c r="C11" s="244">
        <v>217</v>
      </c>
      <c r="E11" s="244"/>
    </row>
    <row r="12" spans="1:5" s="241" customFormat="1" ht="17.25" customHeight="1">
      <c r="A12" s="242" t="s">
        <v>481</v>
      </c>
      <c r="B12" s="243">
        <v>-26</v>
      </c>
      <c r="C12" s="244">
        <v>-124</v>
      </c>
      <c r="E12" s="244"/>
    </row>
    <row r="13" spans="1:5" s="241" customFormat="1" ht="17.25" customHeight="1">
      <c r="A13" s="242" t="s">
        <v>482</v>
      </c>
      <c r="B13" s="243">
        <v>-503</v>
      </c>
      <c r="C13" s="244">
        <v>-444</v>
      </c>
      <c r="E13" s="244"/>
    </row>
    <row r="14" spans="1:5" s="241" customFormat="1" ht="17.25" customHeight="1">
      <c r="A14" s="242" t="s">
        <v>483</v>
      </c>
      <c r="B14" s="243">
        <v>0</v>
      </c>
      <c r="C14" s="244">
        <v>0</v>
      </c>
      <c r="E14" s="244"/>
    </row>
    <row r="15" spans="1:5" s="241" customFormat="1" ht="17.25" customHeight="1">
      <c r="A15" s="242" t="s">
        <v>484</v>
      </c>
      <c r="B15" s="243">
        <v>-36</v>
      </c>
      <c r="C15" s="244">
        <v>-29</v>
      </c>
      <c r="E15" s="244"/>
    </row>
    <row r="16" spans="1:5" s="241" customFormat="1" ht="17.25" customHeight="1">
      <c r="A16" s="242" t="s">
        <v>485</v>
      </c>
      <c r="B16" s="243">
        <v>-119</v>
      </c>
      <c r="C16" s="244">
        <v>-500</v>
      </c>
      <c r="E16" s="244"/>
    </row>
    <row r="17" spans="1:5" s="241" customFormat="1" ht="17.25" customHeight="1">
      <c r="A17" s="242" t="s">
        <v>486</v>
      </c>
      <c r="B17" s="243">
        <v>0</v>
      </c>
      <c r="C17" s="244">
        <v>0</v>
      </c>
      <c r="E17" s="244"/>
    </row>
    <row r="18" spans="1:5" s="241" customFormat="1" ht="17.25" customHeight="1">
      <c r="A18" s="238" t="s">
        <v>58</v>
      </c>
      <c r="B18" s="239">
        <f>+SUM(B8:B17)</f>
        <v>1701</v>
      </c>
      <c r="C18" s="245">
        <f>C8+C9+C10+C11+C12+C13+C14+C15+C16</f>
        <v>1154</v>
      </c>
      <c r="E18" s="245"/>
    </row>
    <row r="19" spans="1:5" s="241" customFormat="1" ht="17.25" customHeight="1">
      <c r="A19" s="242" t="s">
        <v>487</v>
      </c>
      <c r="B19" s="246">
        <v>-111</v>
      </c>
      <c r="C19" s="244">
        <v>-129</v>
      </c>
      <c r="E19" s="244"/>
    </row>
    <row r="20" spans="1:5" ht="17.25" customHeight="1">
      <c r="A20" s="242" t="s">
        <v>488</v>
      </c>
      <c r="B20" s="246">
        <v>48</v>
      </c>
      <c r="C20" s="244">
        <v>12</v>
      </c>
      <c r="D20" s="241"/>
      <c r="E20" s="244"/>
    </row>
    <row r="21" spans="1:5" s="241" customFormat="1" ht="17.25" customHeight="1">
      <c r="A21" s="247" t="s">
        <v>489</v>
      </c>
      <c r="B21" s="239">
        <f>B18+B19+B20</f>
        <v>1638</v>
      </c>
      <c r="C21" s="245">
        <f>C18+C19+C20</f>
        <v>1037</v>
      </c>
      <c r="D21" s="141"/>
      <c r="E21" s="245"/>
    </row>
    <row r="22" spans="1:5" s="241" customFormat="1" ht="17.25" customHeight="1">
      <c r="A22" s="242" t="s">
        <v>490</v>
      </c>
      <c r="B22" s="243">
        <v>-336</v>
      </c>
      <c r="C22" s="248">
        <v>-117</v>
      </c>
      <c r="E22" s="248"/>
    </row>
    <row r="23" spans="1:5" s="241" customFormat="1" ht="27" customHeight="1">
      <c r="A23" s="242" t="s">
        <v>491</v>
      </c>
      <c r="B23" s="243">
        <v>6</v>
      </c>
      <c r="C23" s="244">
        <v>93</v>
      </c>
      <c r="E23" s="244"/>
    </row>
    <row r="24" spans="1:5" s="241" customFormat="1" ht="26">
      <c r="A24" s="249" t="s">
        <v>492</v>
      </c>
      <c r="B24" s="250">
        <f>B21+B22+B23</f>
        <v>1308</v>
      </c>
      <c r="C24" s="245">
        <f>C21+C22+C23</f>
        <v>1013</v>
      </c>
      <c r="E24" s="245"/>
    </row>
    <row r="25" spans="1:5" s="241" customFormat="1" ht="17.25" customHeight="1">
      <c r="A25" s="242" t="s">
        <v>493</v>
      </c>
      <c r="B25" s="243">
        <v>4427</v>
      </c>
      <c r="C25" s="244">
        <v>100</v>
      </c>
      <c r="E25" s="244"/>
    </row>
    <row r="26" spans="1:5" s="241" customFormat="1" ht="17.25" customHeight="1">
      <c r="A26" s="249" t="s">
        <v>494</v>
      </c>
      <c r="B26" s="251">
        <f>B24+B25</f>
        <v>5735</v>
      </c>
      <c r="C26" s="245">
        <f>C24+C25</f>
        <v>1113</v>
      </c>
      <c r="E26" s="245"/>
    </row>
    <row r="27" spans="1:5" s="241" customFormat="1" ht="17.25" customHeight="1">
      <c r="A27" s="242" t="s">
        <v>446</v>
      </c>
      <c r="B27" s="252">
        <v>34</v>
      </c>
      <c r="C27" s="244">
        <v>26</v>
      </c>
      <c r="E27" s="244"/>
    </row>
    <row r="28" spans="1:5" s="241" customFormat="1" ht="17.25" customHeight="1">
      <c r="A28" s="249" t="s">
        <v>495</v>
      </c>
      <c r="B28" s="251">
        <f>B26-B27</f>
        <v>5701</v>
      </c>
      <c r="C28" s="245">
        <f>C26-C27</f>
        <v>1087</v>
      </c>
      <c r="D28" s="253"/>
      <c r="E28" s="245"/>
    </row>
    <row r="29" spans="1:5" s="241" customFormat="1" ht="17.25" customHeight="1">
      <c r="A29" s="242" t="s">
        <v>496</v>
      </c>
      <c r="B29" s="254">
        <v>1262.4000000000001</v>
      </c>
      <c r="C29" s="255">
        <v>1288.4000000000001</v>
      </c>
      <c r="E29" s="255"/>
    </row>
    <row r="30" spans="1:5" s="241" customFormat="1" ht="27.75" customHeight="1">
      <c r="A30" s="256" t="s">
        <v>497</v>
      </c>
      <c r="B30" s="257">
        <f>+(B24-B27)/B29</f>
        <v>1.0091888466413181</v>
      </c>
      <c r="C30" s="257">
        <f>+(C24-C27)/C29</f>
        <v>0.76606643899410121</v>
      </c>
      <c r="D30" s="258"/>
    </row>
    <row r="31" spans="1:5" ht="15" customHeight="1">
      <c r="A31" s="259" t="s">
        <v>498</v>
      </c>
      <c r="B31" s="257">
        <f>+B28/B29</f>
        <v>4.5160012674271224</v>
      </c>
      <c r="C31" s="257">
        <f>+C28/C29</f>
        <v>0.84368208630859975</v>
      </c>
      <c r="D31" s="258"/>
      <c r="E31" s="241"/>
    </row>
    <row r="32" spans="1:5" s="261" customFormat="1" ht="6" customHeight="1">
      <c r="A32" s="141"/>
      <c r="B32" s="260"/>
      <c r="C32" s="260"/>
      <c r="D32" s="141"/>
      <c r="E32" s="141"/>
    </row>
    <row r="33" spans="1:5" s="261" customFormat="1" ht="24" customHeight="1">
      <c r="A33" s="276" t="s">
        <v>499</v>
      </c>
      <c r="B33" s="276"/>
      <c r="C33" s="276"/>
    </row>
    <row r="34" spans="1:5" ht="24" customHeight="1">
      <c r="A34" s="277"/>
      <c r="B34" s="277"/>
      <c r="C34" s="277"/>
      <c r="D34" s="261"/>
      <c r="E34" s="261"/>
    </row>
    <row r="35" spans="1:5" s="261" customFormat="1">
      <c r="A35" s="273"/>
      <c r="B35" s="273"/>
      <c r="C35" s="273"/>
      <c r="D35" s="141"/>
      <c r="E35" s="141"/>
    </row>
    <row r="36" spans="1:5">
      <c r="A36" s="262"/>
      <c r="B36" s="261"/>
      <c r="C36" s="261"/>
      <c r="D36" s="261"/>
      <c r="E36" s="261"/>
    </row>
    <row r="37" spans="1:5">
      <c r="B37" s="263"/>
      <c r="C37" s="263"/>
    </row>
    <row r="38" spans="1:5">
      <c r="B38" s="263"/>
      <c r="C38" s="263"/>
    </row>
    <row r="47" spans="1:5">
      <c r="A47" s="264"/>
    </row>
  </sheetData>
  <mergeCells count="6">
    <mergeCell ref="A35:C35"/>
    <mergeCell ref="A1:C1"/>
    <mergeCell ref="B3:B4"/>
    <mergeCell ref="C3:C4"/>
    <mergeCell ref="A33:C33"/>
    <mergeCell ref="A34:C34"/>
  </mergeCells>
  <pageMargins left="0.15748031496062992" right="0.27559055118110237" top="0.15748031496062992" bottom="0.15748031496062992" header="0.23622047244094491" footer="0.19685039370078741"/>
  <pageSetup paperSize="9" scale="91"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48"/>
  <sheetViews>
    <sheetView workbookViewId="0">
      <selection activeCell="A30" sqref="A30"/>
    </sheetView>
  </sheetViews>
  <sheetFormatPr baseColWidth="10" defaultRowHeight="14" x14ac:dyDescent="0"/>
  <cols>
    <col min="2" max="2" width="71.5" customWidth="1"/>
  </cols>
  <sheetData>
    <row r="2" spans="1:13" ht="19">
      <c r="A2">
        <v>1</v>
      </c>
      <c r="C2" s="169">
        <v>2016</v>
      </c>
      <c r="D2" s="169"/>
      <c r="E2" s="169">
        <v>2015</v>
      </c>
      <c r="F2" s="169"/>
      <c r="G2" s="169">
        <v>2014</v>
      </c>
      <c r="H2" s="169"/>
      <c r="I2" s="169">
        <v>2013</v>
      </c>
      <c r="J2" s="169"/>
      <c r="K2" s="169">
        <v>2012</v>
      </c>
      <c r="L2" s="184"/>
      <c r="M2" s="169">
        <v>2011</v>
      </c>
    </row>
    <row r="3" spans="1:13" ht="18">
      <c r="A3">
        <v>2</v>
      </c>
      <c r="B3" s="167" t="s">
        <v>334</v>
      </c>
      <c r="C3" s="171">
        <v>33821</v>
      </c>
      <c r="D3" s="171"/>
      <c r="E3" s="171">
        <v>37057</v>
      </c>
      <c r="F3" s="171"/>
      <c r="G3" s="171">
        <v>33770</v>
      </c>
      <c r="H3" s="171"/>
      <c r="I3" s="171">
        <v>32951</v>
      </c>
      <c r="J3" s="171"/>
      <c r="K3" s="171">
        <v>34947</v>
      </c>
      <c r="L3" s="171"/>
      <c r="M3" s="171">
        <v>33389</v>
      </c>
    </row>
    <row r="4" spans="1:13" ht="18">
      <c r="A4">
        <v>3</v>
      </c>
      <c r="B4" s="166" t="s">
        <v>335</v>
      </c>
      <c r="C4" s="170">
        <v>887</v>
      </c>
      <c r="D4" s="170"/>
      <c r="E4" s="170">
        <v>360</v>
      </c>
      <c r="F4" s="170"/>
      <c r="G4" s="170">
        <v>339</v>
      </c>
      <c r="H4" s="170"/>
      <c r="I4" s="170">
        <v>355</v>
      </c>
      <c r="J4" s="170"/>
      <c r="K4" s="170">
        <v>101</v>
      </c>
      <c r="L4" s="170"/>
      <c r="M4" s="170">
        <v>1669</v>
      </c>
    </row>
    <row r="5" spans="1:13" ht="18">
      <c r="A5">
        <v>4</v>
      </c>
      <c r="B5" s="166" t="s">
        <v>336</v>
      </c>
      <c r="C5" s="170">
        <v>-10702</v>
      </c>
      <c r="D5" s="170"/>
      <c r="E5" s="170">
        <v>-11804</v>
      </c>
      <c r="F5" s="170"/>
      <c r="G5" s="170">
        <v>-11029</v>
      </c>
      <c r="H5" s="170"/>
      <c r="I5" s="170">
        <v>-10983</v>
      </c>
      <c r="J5" s="170"/>
      <c r="K5" s="170">
        <v>-11075</v>
      </c>
      <c r="L5" s="170"/>
      <c r="M5" s="170">
        <v>-10389</v>
      </c>
    </row>
    <row r="6" spans="1:13" ht="18">
      <c r="A6">
        <v>5</v>
      </c>
      <c r="B6" s="167" t="s">
        <v>337</v>
      </c>
      <c r="C6" s="171">
        <v>24006</v>
      </c>
      <c r="D6" s="171"/>
      <c r="E6" s="171">
        <v>25613</v>
      </c>
      <c r="F6" s="171"/>
      <c r="G6" s="171">
        <v>23080</v>
      </c>
      <c r="H6" s="171"/>
      <c r="I6" s="171">
        <v>22323</v>
      </c>
      <c r="J6" s="171"/>
      <c r="K6" s="171">
        <v>24882</v>
      </c>
      <c r="L6" s="171"/>
      <c r="M6" s="171">
        <v>24669</v>
      </c>
    </row>
    <row r="7" spans="1:13" ht="18">
      <c r="A7">
        <v>6</v>
      </c>
      <c r="B7" s="166" t="s">
        <v>338</v>
      </c>
      <c r="C7" s="170">
        <v>-5172</v>
      </c>
      <c r="D7" s="170"/>
      <c r="E7" s="170">
        <v>-5259</v>
      </c>
      <c r="F7" s="170"/>
      <c r="G7" s="170">
        <v>-4824</v>
      </c>
      <c r="H7" s="170"/>
      <c r="I7" s="170">
        <v>-477</v>
      </c>
      <c r="J7" s="170"/>
      <c r="K7" s="170">
        <v>-4905</v>
      </c>
      <c r="L7" s="170"/>
      <c r="M7" s="170">
        <v>-4788</v>
      </c>
    </row>
    <row r="8" spans="1:13" ht="18">
      <c r="A8">
        <v>7</v>
      </c>
      <c r="B8" s="166" t="s">
        <v>339</v>
      </c>
      <c r="C8" s="170">
        <v>-9486</v>
      </c>
      <c r="D8" s="170"/>
      <c r="E8" s="170">
        <v>-10247</v>
      </c>
      <c r="F8" s="170"/>
      <c r="G8" s="170">
        <v>-8991</v>
      </c>
      <c r="H8" s="170"/>
      <c r="I8" s="170">
        <v>-8603</v>
      </c>
      <c r="J8" s="170"/>
      <c r="K8" s="170">
        <v>-8929</v>
      </c>
      <c r="L8" s="170"/>
      <c r="M8" s="170">
        <v>-8508</v>
      </c>
    </row>
    <row r="9" spans="1:13" ht="18">
      <c r="A9">
        <v>8</v>
      </c>
      <c r="B9" s="166" t="s">
        <v>340</v>
      </c>
      <c r="C9" s="170">
        <v>-127</v>
      </c>
      <c r="D9" s="170"/>
      <c r="E9" s="170">
        <v>-203</v>
      </c>
      <c r="F9" s="170"/>
      <c r="G9" s="170">
        <v>164</v>
      </c>
      <c r="H9" s="170"/>
      <c r="I9" s="170">
        <v>450</v>
      </c>
      <c r="J9" s="170"/>
      <c r="K9" s="170">
        <v>148</v>
      </c>
      <c r="L9" s="170"/>
      <c r="M9" s="170">
        <v>46</v>
      </c>
    </row>
    <row r="10" spans="1:13" ht="18">
      <c r="A10">
        <v>9</v>
      </c>
      <c r="B10" s="166" t="s">
        <v>341</v>
      </c>
      <c r="C10" s="170">
        <v>177</v>
      </c>
      <c r="D10" s="170"/>
      <c r="E10" s="170">
        <v>170</v>
      </c>
      <c r="F10" s="170"/>
      <c r="G10" s="170">
        <v>147</v>
      </c>
      <c r="H10" s="170"/>
      <c r="I10" s="170">
        <v>85</v>
      </c>
      <c r="J10" s="170"/>
      <c r="K10" s="170">
        <v>424</v>
      </c>
      <c r="L10" s="170"/>
      <c r="M10" s="170">
        <v>1102</v>
      </c>
    </row>
    <row r="11" spans="1:13" ht="18">
      <c r="A11">
        <v>10</v>
      </c>
      <c r="B11" s="166" t="s">
        <v>342</v>
      </c>
      <c r="C11" s="170">
        <v>-113</v>
      </c>
      <c r="D11" s="170"/>
      <c r="E11" s="170">
        <v>-126</v>
      </c>
      <c r="F11" s="170"/>
      <c r="G11" s="170">
        <v>-127</v>
      </c>
      <c r="H11" s="170"/>
      <c r="I11" s="170">
        <v>-162</v>
      </c>
      <c r="J11" s="170"/>
      <c r="K11" s="170">
        <v>-172</v>
      </c>
      <c r="L11" s="170"/>
      <c r="M11" s="170">
        <v>-247</v>
      </c>
    </row>
    <row r="12" spans="1:13" ht="18">
      <c r="A12">
        <v>11</v>
      </c>
      <c r="B12" s="167" t="s">
        <v>343</v>
      </c>
      <c r="C12" s="171">
        <v>9285</v>
      </c>
      <c r="D12" s="171"/>
      <c r="E12" s="171">
        <v>9948</v>
      </c>
      <c r="F12" s="171"/>
      <c r="G12" s="171">
        <v>9449</v>
      </c>
      <c r="H12" s="171"/>
      <c r="I12" s="171">
        <v>9323</v>
      </c>
      <c r="J12" s="171"/>
      <c r="K12" s="171">
        <v>11448</v>
      </c>
      <c r="L12" s="171"/>
      <c r="M12" s="171">
        <v>12274</v>
      </c>
    </row>
    <row r="13" spans="1:13" ht="18">
      <c r="A13">
        <v>12</v>
      </c>
      <c r="B13" s="166" t="s">
        <v>344</v>
      </c>
      <c r="C13" s="170">
        <v>-399</v>
      </c>
      <c r="D13" s="170"/>
      <c r="E13" s="170">
        <v>-390</v>
      </c>
      <c r="F13" s="170"/>
      <c r="G13" s="170">
        <v>-447</v>
      </c>
      <c r="H13" s="170"/>
      <c r="I13" s="170">
        <v>-503</v>
      </c>
      <c r="J13" s="170"/>
      <c r="K13" s="170">
        <v>-658</v>
      </c>
      <c r="L13" s="170"/>
      <c r="M13" s="170">
        <v>-604</v>
      </c>
    </row>
    <row r="14" spans="1:13" ht="18">
      <c r="A14">
        <v>13</v>
      </c>
      <c r="B14" s="166"/>
      <c r="C14" s="170"/>
      <c r="D14" s="170"/>
      <c r="E14" s="170"/>
      <c r="F14" s="170"/>
      <c r="G14" s="170"/>
      <c r="H14" s="170"/>
      <c r="I14" s="170"/>
      <c r="J14" s="170"/>
      <c r="K14" s="170"/>
      <c r="L14" s="170"/>
      <c r="M14" s="170"/>
    </row>
    <row r="15" spans="1:13" ht="18">
      <c r="A15">
        <v>14</v>
      </c>
      <c r="B15" s="166" t="s">
        <v>419</v>
      </c>
      <c r="C15" s="170">
        <v>274</v>
      </c>
      <c r="D15" s="170"/>
      <c r="E15" s="170">
        <v>331</v>
      </c>
      <c r="F15" s="170"/>
      <c r="G15" s="170">
        <v>357</v>
      </c>
      <c r="H15" s="170"/>
      <c r="I15" s="170"/>
      <c r="J15" s="170"/>
      <c r="K15" s="170"/>
      <c r="L15" s="170"/>
      <c r="M15" s="170"/>
    </row>
    <row r="16" spans="1:13" ht="18">
      <c r="A16">
        <v>15</v>
      </c>
      <c r="B16" s="167" t="s">
        <v>420</v>
      </c>
      <c r="C16" s="170">
        <v>678</v>
      </c>
      <c r="D16" s="170"/>
      <c r="E16" s="170">
        <v>101</v>
      </c>
      <c r="F16" s="170"/>
      <c r="G16" s="170">
        <v>80</v>
      </c>
      <c r="H16" s="170"/>
      <c r="I16" s="170"/>
      <c r="J16" s="170"/>
      <c r="K16" s="170"/>
      <c r="L16" s="170"/>
      <c r="M16" s="170"/>
    </row>
    <row r="17" spans="1:15" ht="18">
      <c r="A17">
        <v>16</v>
      </c>
      <c r="B17" s="167" t="s">
        <v>418</v>
      </c>
      <c r="C17" s="170">
        <v>6534</v>
      </c>
      <c r="D17" s="170"/>
      <c r="E17" s="170">
        <v>5624</v>
      </c>
      <c r="F17" s="170"/>
      <c r="G17" s="170">
        <v>6064</v>
      </c>
      <c r="H17" s="170"/>
      <c r="I17" s="170">
        <v>4982</v>
      </c>
      <c r="J17" s="170"/>
      <c r="K17" s="199">
        <v>6430</v>
      </c>
      <c r="L17" s="170"/>
      <c r="M17" s="170"/>
    </row>
    <row r="18" spans="1:15" ht="18">
      <c r="A18">
        <v>17</v>
      </c>
      <c r="B18" s="166"/>
      <c r="C18" s="170">
        <f>C12-C17</f>
        <v>2751</v>
      </c>
      <c r="D18" s="170"/>
      <c r="E18" s="170">
        <f t="shared" ref="E18:K18" si="0">E12-E17</f>
        <v>4324</v>
      </c>
      <c r="F18" s="170"/>
      <c r="G18" s="170">
        <f t="shared" si="0"/>
        <v>3385</v>
      </c>
      <c r="H18" s="170"/>
      <c r="I18" s="170">
        <f t="shared" si="0"/>
        <v>4341</v>
      </c>
      <c r="J18" s="170"/>
      <c r="K18" s="170">
        <f t="shared" si="0"/>
        <v>5018</v>
      </c>
      <c r="L18" s="170"/>
      <c r="M18" s="170"/>
    </row>
    <row r="19" spans="1:15" ht="18">
      <c r="A19">
        <v>18</v>
      </c>
      <c r="B19" s="166" t="s">
        <v>345</v>
      </c>
      <c r="C19" s="170">
        <v>-2054</v>
      </c>
      <c r="D19" s="170"/>
      <c r="E19" s="170">
        <v>-2187</v>
      </c>
      <c r="F19" s="170"/>
      <c r="G19" s="170">
        <v>-2155</v>
      </c>
      <c r="H19" s="170"/>
      <c r="I19" s="170">
        <v>-2134</v>
      </c>
      <c r="J19" s="170"/>
      <c r="K19" s="170">
        <v>-2689</v>
      </c>
      <c r="L19" s="170"/>
      <c r="M19" s="170">
        <v>-2922</v>
      </c>
    </row>
    <row r="20" spans="1:15" ht="18">
      <c r="A20">
        <v>19</v>
      </c>
      <c r="B20" s="166" t="s">
        <v>346</v>
      </c>
      <c r="C20" s="185">
        <v>23.3</v>
      </c>
      <c r="D20" s="185"/>
      <c r="E20" s="185">
        <v>23</v>
      </c>
      <c r="F20" s="185"/>
      <c r="G20" s="185">
        <v>24</v>
      </c>
      <c r="H20" s="185"/>
      <c r="I20" s="185">
        <v>24</v>
      </c>
      <c r="J20" s="185"/>
      <c r="K20" s="185">
        <v>25.5</v>
      </c>
      <c r="L20" s="185"/>
      <c r="M20" s="185">
        <v>27</v>
      </c>
    </row>
    <row r="21" spans="1:15" ht="18">
      <c r="A21">
        <v>20</v>
      </c>
      <c r="B21" s="166" t="s">
        <v>347</v>
      </c>
      <c r="C21" s="170">
        <v>6832</v>
      </c>
      <c r="D21" s="170"/>
      <c r="E21" s="170"/>
      <c r="F21" s="170"/>
      <c r="G21" s="170"/>
      <c r="H21" s="170"/>
      <c r="I21" s="170"/>
      <c r="J21" s="170"/>
      <c r="K21" s="170"/>
      <c r="L21" s="170"/>
      <c r="M21" s="175"/>
    </row>
    <row r="22" spans="1:15" ht="18">
      <c r="A22">
        <v>21</v>
      </c>
      <c r="B22" s="166" t="s">
        <v>348</v>
      </c>
      <c r="C22" s="170">
        <v>476</v>
      </c>
      <c r="D22" s="170"/>
      <c r="E22" s="170"/>
      <c r="F22" s="170"/>
      <c r="G22" s="170"/>
      <c r="H22" s="170"/>
      <c r="I22" s="170"/>
      <c r="J22" s="170"/>
      <c r="K22" s="170"/>
      <c r="L22" s="170"/>
      <c r="M22" s="175"/>
    </row>
    <row r="23" spans="1:15" ht="18">
      <c r="A23">
        <v>22</v>
      </c>
      <c r="B23" s="167" t="s">
        <v>349</v>
      </c>
      <c r="C23" s="171">
        <v>7308</v>
      </c>
      <c r="D23" s="171"/>
      <c r="E23" s="171">
        <v>7371</v>
      </c>
      <c r="F23" s="171"/>
      <c r="G23" s="171">
        <v>6847</v>
      </c>
      <c r="H23" s="171"/>
      <c r="I23" s="171">
        <v>6686</v>
      </c>
      <c r="J23" s="171"/>
      <c r="K23" s="171">
        <v>8101</v>
      </c>
      <c r="L23" s="171"/>
      <c r="M23" s="171">
        <v>8748</v>
      </c>
    </row>
    <row r="24" spans="1:15" ht="18">
      <c r="B24" s="167"/>
      <c r="C24" s="167"/>
      <c r="O24" s="167"/>
    </row>
    <row r="25" spans="1:15" ht="18">
      <c r="B25" s="167" t="s">
        <v>75</v>
      </c>
      <c r="C25" s="171">
        <f>SUM(C26:C27)</f>
        <v>18579</v>
      </c>
      <c r="D25" s="171"/>
      <c r="E25" s="171">
        <f t="shared" ref="E25:G25" si="1">SUM(E26:E27)</f>
        <v>16554</v>
      </c>
      <c r="F25" s="171"/>
      <c r="G25" s="171">
        <f t="shared" si="1"/>
        <v>14814</v>
      </c>
      <c r="O25" s="166"/>
    </row>
    <row r="26" spans="1:15" ht="18">
      <c r="B26" s="166" t="s">
        <v>70</v>
      </c>
      <c r="C26" s="166">
        <v>16815</v>
      </c>
      <c r="E26">
        <v>13118</v>
      </c>
      <c r="G26">
        <v>13276</v>
      </c>
      <c r="O26" s="166"/>
    </row>
    <row r="27" spans="1:15" ht="18">
      <c r="B27" s="166" t="s">
        <v>501</v>
      </c>
      <c r="C27" s="166">
        <v>1764</v>
      </c>
      <c r="E27">
        <v>3436</v>
      </c>
      <c r="G27">
        <v>1538</v>
      </c>
      <c r="O27" s="166"/>
    </row>
    <row r="28" spans="1:15" ht="18">
      <c r="B28" s="167"/>
      <c r="C28" s="167"/>
      <c r="O28" s="167"/>
    </row>
    <row r="29" spans="1:15" ht="18">
      <c r="B29" s="167"/>
      <c r="C29" s="265">
        <f>C15/C25</f>
        <v>1.4747833575542279E-2</v>
      </c>
      <c r="D29" s="265"/>
      <c r="E29" s="265">
        <f t="shared" ref="E29:G29" si="2">E15/E25</f>
        <v>1.9995167331158633E-2</v>
      </c>
      <c r="F29" s="265"/>
      <c r="G29" s="265">
        <f t="shared" si="2"/>
        <v>2.4098825435398947E-2</v>
      </c>
      <c r="O29" s="167"/>
    </row>
    <row r="30" spans="1:15" ht="18">
      <c r="B30" s="166"/>
      <c r="C30" s="166"/>
      <c r="O30" s="166"/>
    </row>
    <row r="31" spans="1:15" ht="18">
      <c r="B31" s="166" t="s">
        <v>17</v>
      </c>
      <c r="C31" s="266">
        <f>AVERAGE(C29,E29,G29)</f>
        <v>1.9613942114033289E-2</v>
      </c>
      <c r="O31" s="166"/>
    </row>
    <row r="32" spans="1:15" ht="18">
      <c r="B32" s="166"/>
      <c r="C32" s="166"/>
      <c r="O32" s="166"/>
    </row>
    <row r="33" spans="2:15" ht="18">
      <c r="B33" s="166"/>
      <c r="C33" s="166"/>
      <c r="O33" s="166"/>
    </row>
    <row r="34" spans="2:15" ht="18">
      <c r="B34" s="166"/>
      <c r="C34" s="166"/>
      <c r="O34" s="166"/>
    </row>
    <row r="35" spans="2:15" ht="18">
      <c r="B35" s="166"/>
      <c r="C35" s="166"/>
      <c r="O35" s="166"/>
    </row>
    <row r="36" spans="2:15" ht="18">
      <c r="B36" s="166"/>
      <c r="C36" s="166"/>
      <c r="O36" s="166"/>
    </row>
    <row r="37" spans="2:15" ht="18">
      <c r="B37" s="167"/>
      <c r="C37" s="167"/>
      <c r="O37" s="167"/>
    </row>
    <row r="38" spans="2:15" ht="18">
      <c r="B38" s="167"/>
      <c r="C38" s="167"/>
      <c r="O38" s="167"/>
    </row>
    <row r="39" spans="2:15" ht="18">
      <c r="B39" s="166"/>
      <c r="C39" s="166"/>
      <c r="O39" s="166"/>
    </row>
    <row r="40" spans="2:15" ht="18">
      <c r="B40" s="166"/>
      <c r="C40" s="166"/>
      <c r="O40" s="166"/>
    </row>
    <row r="41" spans="2:15" ht="18">
      <c r="B41" s="166"/>
      <c r="C41" s="166"/>
      <c r="O41" s="166"/>
    </row>
    <row r="42" spans="2:15" ht="18">
      <c r="B42" s="166"/>
      <c r="C42" s="166"/>
    </row>
    <row r="43" spans="2:15" ht="18">
      <c r="B43" s="166"/>
      <c r="C43" s="166"/>
    </row>
    <row r="44" spans="2:15" ht="18">
      <c r="B44" s="166"/>
      <c r="C44" s="166"/>
    </row>
    <row r="45" spans="2:15" ht="18">
      <c r="B45" s="167"/>
      <c r="C45" s="167"/>
      <c r="O45" s="167"/>
    </row>
    <row r="46" spans="2:15" ht="18">
      <c r="B46" s="167"/>
      <c r="C46" s="167"/>
      <c r="O46" s="167"/>
    </row>
    <row r="47" spans="2:15" ht="18">
      <c r="B47" s="166"/>
      <c r="C47" s="166"/>
    </row>
    <row r="48" spans="2:15" ht="18">
      <c r="B48" s="167"/>
      <c r="C48" s="167"/>
    </row>
  </sheetData>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15</vt:i4>
      </vt:variant>
    </vt:vector>
  </HeadingPairs>
  <TitlesOfParts>
    <vt:vector size="15" baseType="lpstr">
      <vt:lpstr>DCF</vt:lpstr>
      <vt:lpstr>Assumptions</vt:lpstr>
      <vt:lpstr>WACC</vt:lpstr>
      <vt:lpstr>Infographic</vt:lpstr>
      <vt:lpstr>Drugs sales</vt:lpstr>
      <vt:lpstr>Drugs T</vt:lpstr>
      <vt:lpstr>ExRate</vt:lpstr>
      <vt:lpstr>Consolidated P&amp;L</vt:lpstr>
      <vt:lpstr>ISG</vt:lpstr>
      <vt:lpstr>ISP</vt:lpstr>
      <vt:lpstr>ISV</vt:lpstr>
      <vt:lpstr>ISAH</vt:lpstr>
      <vt:lpstr>CFS</vt:lpstr>
      <vt:lpstr>Multiples</vt:lpstr>
      <vt:lpstr>CONSENSUS ESTIMATES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mikhailsnyatkov</dc:creator>
  <cp:lastModifiedBy>Mikhail Snyatkov</cp:lastModifiedBy>
  <cp:lastPrinted>2017-05-27T20:53:34Z</cp:lastPrinted>
  <dcterms:created xsi:type="dcterms:W3CDTF">2017-04-14T12:06:00Z</dcterms:created>
  <dcterms:modified xsi:type="dcterms:W3CDTF">2017-06-09T21:51:38Z</dcterms:modified>
</cp:coreProperties>
</file>