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les\Stock articles\"/>
    </mc:Choice>
  </mc:AlternateContent>
  <bookViews>
    <workbookView xWindow="0" yWindow="0" windowWidth="21600" windowHeight="95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0" i="1" l="1"/>
  <c r="G120" i="1"/>
  <c r="H120" i="1"/>
  <c r="I120" i="1"/>
  <c r="E120" i="1"/>
  <c r="H119" i="1"/>
  <c r="I119" i="1"/>
  <c r="F119" i="1"/>
  <c r="G119" i="1"/>
  <c r="E119" i="1"/>
  <c r="G103" i="1" l="1"/>
  <c r="G25" i="1"/>
  <c r="G53" i="1"/>
  <c r="G13" i="1"/>
  <c r="G97" i="1"/>
  <c r="G93" i="1"/>
  <c r="G102" i="1"/>
  <c r="G73" i="1"/>
  <c r="G42" i="1"/>
  <c r="G92" i="1"/>
  <c r="G59" i="1"/>
  <c r="G111" i="1"/>
  <c r="G50" i="1"/>
  <c r="G71" i="1"/>
  <c r="G39" i="1"/>
  <c r="G7" i="1"/>
  <c r="G90" i="1"/>
  <c r="G55" i="1"/>
  <c r="G96" i="1"/>
  <c r="G16" i="1"/>
  <c r="G22" i="1"/>
  <c r="G15" i="1"/>
  <c r="G18" i="1"/>
  <c r="G67" i="1"/>
  <c r="G79" i="1"/>
  <c r="G58" i="1"/>
  <c r="G52" i="1"/>
  <c r="G6" i="1"/>
  <c r="G31" i="1"/>
  <c r="G54" i="1"/>
  <c r="G72" i="1"/>
  <c r="G43" i="1"/>
  <c r="G5" i="1"/>
  <c r="G35" i="1"/>
  <c r="G21" i="1"/>
  <c r="G99" i="1"/>
  <c r="G8" i="1"/>
  <c r="G112" i="1"/>
  <c r="G82" i="1"/>
  <c r="G38" i="1"/>
  <c r="G77" i="1"/>
  <c r="G49" i="1"/>
  <c r="G100" i="1"/>
  <c r="G14" i="1"/>
  <c r="G24" i="1"/>
  <c r="G94" i="1"/>
  <c r="G113" i="1" l="1"/>
  <c r="G4" i="1"/>
  <c r="G78" i="1"/>
  <c r="G48" i="1"/>
  <c r="G70" i="1"/>
  <c r="G3" i="1"/>
  <c r="G98" i="1"/>
  <c r="G57" i="1"/>
  <c r="G69" i="1"/>
  <c r="G84" i="1"/>
  <c r="G89" i="1"/>
  <c r="G74" i="1"/>
  <c r="G106" i="1"/>
  <c r="G91" i="1"/>
  <c r="G37" i="1"/>
  <c r="G64" i="1"/>
  <c r="G81" i="1"/>
  <c r="G83" i="1"/>
  <c r="G66" i="1"/>
  <c r="G109" i="1"/>
  <c r="G47" i="1"/>
  <c r="G101" i="1"/>
  <c r="G86" i="1"/>
  <c r="G60" i="1"/>
  <c r="G76" i="1"/>
  <c r="G20" i="1"/>
  <c r="G19" i="1"/>
  <c r="G95" i="1"/>
  <c r="G23" i="1"/>
  <c r="G32" i="1"/>
  <c r="G41" i="1"/>
  <c r="G105" i="1"/>
  <c r="G88" i="1"/>
  <c r="G85" i="1"/>
  <c r="G34" i="1"/>
  <c r="G17" i="1"/>
  <c r="G56" i="1"/>
  <c r="G30" i="1"/>
  <c r="G63" i="1"/>
  <c r="G10" i="1"/>
  <c r="G29" i="1"/>
  <c r="G104" i="1"/>
  <c r="G46" i="1"/>
  <c r="G62" i="1"/>
  <c r="G68" i="1" l="1"/>
  <c r="G11" i="1"/>
  <c r="G9" i="1"/>
  <c r="G28" i="1"/>
  <c r="G51" i="1"/>
  <c r="G80" i="1"/>
  <c r="G107" i="1"/>
  <c r="G110" i="1"/>
  <c r="G27" i="1"/>
  <c r="G26" i="1"/>
  <c r="I118" i="1"/>
  <c r="G40" i="1"/>
  <c r="G45" i="1"/>
  <c r="G61" i="1"/>
  <c r="G65" i="1"/>
  <c r="G115" i="1"/>
  <c r="G114" i="1"/>
  <c r="G44" i="1"/>
  <c r="F118" i="1"/>
  <c r="H118" i="1"/>
  <c r="E118" i="1"/>
  <c r="G33" i="1"/>
  <c r="G87" i="1"/>
  <c r="G108" i="1"/>
  <c r="G12" i="1"/>
  <c r="G36" i="1"/>
  <c r="G75" i="1"/>
  <c r="G118" i="1" l="1"/>
</calcChain>
</file>

<file path=xl/sharedStrings.xml><?xml version="1.0" encoding="utf-8"?>
<sst xmlns="http://schemas.openxmlformats.org/spreadsheetml/2006/main" count="394" uniqueCount="356">
  <si>
    <t>Bank</t>
  </si>
  <si>
    <t>Ticker</t>
  </si>
  <si>
    <t>Assets (1)</t>
  </si>
  <si>
    <t>Location</t>
  </si>
  <si>
    <t>Election (2)</t>
  </si>
  <si>
    <t>ROE (3)</t>
  </si>
  <si>
    <t>Price to</t>
  </si>
  <si>
    <t>TNW (4)</t>
  </si>
  <si>
    <t>PE Ratio(5)</t>
  </si>
  <si>
    <t>American National</t>
  </si>
  <si>
    <t>AMNB</t>
  </si>
  <si>
    <t>(1) As of March 31, 2017, in millions.</t>
  </si>
  <si>
    <t>Danville, VA</t>
  </si>
  <si>
    <t>(2) Stock price gain from November 8, 2016 to June 23, 2017</t>
  </si>
  <si>
    <t>(3) Return on Equity for 2016 per Value Line</t>
  </si>
  <si>
    <t>(5) Trailing 12 months per Value Line</t>
  </si>
  <si>
    <t>Ameris</t>
  </si>
  <si>
    <t>ABCB</t>
  </si>
  <si>
    <t>Moultrie, GA</t>
  </si>
  <si>
    <t>Arrow Financial</t>
  </si>
  <si>
    <t>AROW</t>
  </si>
  <si>
    <t>Glens Falls, NY</t>
  </si>
  <si>
    <t>Atlantic Capital</t>
  </si>
  <si>
    <t>ACBI</t>
  </si>
  <si>
    <t>Atlanta, GA</t>
  </si>
  <si>
    <t>BSB</t>
  </si>
  <si>
    <t>Belmont, MA</t>
  </si>
  <si>
    <t>BLMT</t>
  </si>
  <si>
    <t>Bank of Marin</t>
  </si>
  <si>
    <t>BMRC</t>
  </si>
  <si>
    <t>Novato, CA</t>
  </si>
  <si>
    <t>Bar Harbor</t>
  </si>
  <si>
    <t>BHB</t>
  </si>
  <si>
    <t>Bar Harbor, ME</t>
  </si>
  <si>
    <t>Beneficial</t>
  </si>
  <si>
    <t>Philadelphia</t>
  </si>
  <si>
    <t>BNCL</t>
  </si>
  <si>
    <t>Blue Hills</t>
  </si>
  <si>
    <t>Norwood, MA</t>
  </si>
  <si>
    <t>BHBK</t>
  </si>
  <si>
    <t>Equity to</t>
  </si>
  <si>
    <t>Avg. Assets (6)</t>
  </si>
  <si>
    <t>Boston Private</t>
  </si>
  <si>
    <t>BPFH</t>
  </si>
  <si>
    <t>Boston, MA</t>
  </si>
  <si>
    <t>Bridge</t>
  </si>
  <si>
    <t>BDGE</t>
  </si>
  <si>
    <t>Bridgehampton, NY</t>
  </si>
  <si>
    <t>Bryn Mawr</t>
  </si>
  <si>
    <t>BMTC</t>
  </si>
  <si>
    <t>Bryn Mawr, PA</t>
  </si>
  <si>
    <t>CNB</t>
  </si>
  <si>
    <t>CCNE</t>
  </si>
  <si>
    <t>Clearfield, PA</t>
  </si>
  <si>
    <t>CVB</t>
  </si>
  <si>
    <t>CVBF</t>
  </si>
  <si>
    <t>Ontario, CA</t>
  </si>
  <si>
    <t>Camden</t>
  </si>
  <si>
    <t>CAC</t>
  </si>
  <si>
    <t>Camden, ME</t>
  </si>
  <si>
    <t>Capital City</t>
  </si>
  <si>
    <t>CCBG</t>
  </si>
  <si>
    <t>Tallahassee, FL</t>
  </si>
  <si>
    <t>Cascade</t>
  </si>
  <si>
    <t>CACB</t>
  </si>
  <si>
    <t>Bend, OR</t>
  </si>
  <si>
    <t>Centerstate</t>
  </si>
  <si>
    <t>CSFL</t>
  </si>
  <si>
    <t>Davenport, FL</t>
  </si>
  <si>
    <t>Central Pacific</t>
  </si>
  <si>
    <t>CPF</t>
  </si>
  <si>
    <t>Honolulu, HI</t>
  </si>
  <si>
    <t>Century</t>
  </si>
  <si>
    <t>CNBKA</t>
  </si>
  <si>
    <t>Medford, MA</t>
  </si>
  <si>
    <t>City Holding</t>
  </si>
  <si>
    <t>CHCO</t>
  </si>
  <si>
    <t>Charleston, WV</t>
  </si>
  <si>
    <t>Cobiz</t>
  </si>
  <si>
    <t>COBZ</t>
  </si>
  <si>
    <t>Denver, CO</t>
  </si>
  <si>
    <t>Codorus Valley</t>
  </si>
  <si>
    <t>CVLY</t>
  </si>
  <si>
    <t>York, PA</t>
  </si>
  <si>
    <t>Community Bank</t>
  </si>
  <si>
    <t>CBU</t>
  </si>
  <si>
    <t>DeWitt, NY</t>
  </si>
  <si>
    <t>Community Trust</t>
  </si>
  <si>
    <t>CTBI</t>
  </si>
  <si>
    <t>Pikeville, KY</t>
  </si>
  <si>
    <t>ConnectOne</t>
  </si>
  <si>
    <t>CNOB</t>
  </si>
  <si>
    <t>Englewood Cliff, NJ</t>
  </si>
  <si>
    <t>Customers</t>
  </si>
  <si>
    <t>CUBI</t>
  </si>
  <si>
    <t>Wyomissing, PA</t>
  </si>
  <si>
    <t>Eagle</t>
  </si>
  <si>
    <t>EGBN</t>
  </si>
  <si>
    <t>Bethesda, MD</t>
  </si>
  <si>
    <t>Enterprise</t>
  </si>
  <si>
    <t>EBTC</t>
  </si>
  <si>
    <t>Lowell, MA</t>
  </si>
  <si>
    <t>FCB</t>
  </si>
  <si>
    <t>Weston, FL</t>
  </si>
  <si>
    <t>Farmers Capital</t>
  </si>
  <si>
    <t>FFKT</t>
  </si>
  <si>
    <t>Frankfort, KY</t>
  </si>
  <si>
    <t>Fidelity Southern</t>
  </si>
  <si>
    <t>LION</t>
  </si>
  <si>
    <t>Financial Inst.</t>
  </si>
  <si>
    <t>FISI</t>
  </si>
  <si>
    <t>Warsaw, NY</t>
  </si>
  <si>
    <t>First Bancorp</t>
  </si>
  <si>
    <t>FBNC</t>
  </si>
  <si>
    <t>Southern Pines, NC</t>
  </si>
  <si>
    <t>FCBC</t>
  </si>
  <si>
    <t>Bluefield, VA</t>
  </si>
  <si>
    <t>First Community</t>
  </si>
  <si>
    <t>First Connecticut</t>
  </si>
  <si>
    <t>FBNK</t>
  </si>
  <si>
    <t>Farmington, CT</t>
  </si>
  <si>
    <t>First Interstate</t>
  </si>
  <si>
    <t>FIBK</t>
  </si>
  <si>
    <t>Billings, MT</t>
  </si>
  <si>
    <t>First of Long Island</t>
  </si>
  <si>
    <t>FLIC</t>
  </si>
  <si>
    <t>Glen Head, NY</t>
  </si>
  <si>
    <t>FSB</t>
  </si>
  <si>
    <t>Franklin Financial</t>
  </si>
  <si>
    <t>Franklin, TN</t>
  </si>
  <si>
    <t>Banks $1.5 - $10 billion, that are profitable</t>
  </si>
  <si>
    <t>Guaranty</t>
  </si>
  <si>
    <t>GBNK</t>
  </si>
  <si>
    <t>Hamni</t>
  </si>
  <si>
    <t>HAFC</t>
  </si>
  <si>
    <t>Los Angeles, CA</t>
  </si>
  <si>
    <t>(4) Tangible Net Worth as of March 31, 2017, deferred tax assets are considered intangible</t>
  </si>
  <si>
    <t>Heritage Commerce</t>
  </si>
  <si>
    <t>HTBK</t>
  </si>
  <si>
    <t>San Jose, CA</t>
  </si>
  <si>
    <t>Heritage Financial</t>
  </si>
  <si>
    <t>HFWA</t>
  </si>
  <si>
    <t>Olympia, WA</t>
  </si>
  <si>
    <t>Independent</t>
  </si>
  <si>
    <t>INDB</t>
  </si>
  <si>
    <t>Hanover, MA</t>
  </si>
  <si>
    <t>Lakeland</t>
  </si>
  <si>
    <t>LBAI</t>
  </si>
  <si>
    <t>Oak Ridge, NJ</t>
  </si>
  <si>
    <t>Live Oak</t>
  </si>
  <si>
    <t>LOB</t>
  </si>
  <si>
    <t>Wilmington, NC</t>
  </si>
  <si>
    <t>Merchants</t>
  </si>
  <si>
    <t>MBVT</t>
  </si>
  <si>
    <t>Burlington, VT</t>
  </si>
  <si>
    <t>Midsouth</t>
  </si>
  <si>
    <t>oil</t>
  </si>
  <si>
    <t>MSL</t>
  </si>
  <si>
    <t>Lafayette, LA</t>
  </si>
  <si>
    <t>NBT</t>
  </si>
  <si>
    <t>NBTB</t>
  </si>
  <si>
    <t>Norwich, NY</t>
  </si>
  <si>
    <t>National Commerce</t>
  </si>
  <si>
    <t>NCOM</t>
  </si>
  <si>
    <t>Birmingham, AL</t>
  </si>
  <si>
    <t>Northrim</t>
  </si>
  <si>
    <t>NRIM</t>
  </si>
  <si>
    <t>Anchorage, AK</t>
  </si>
  <si>
    <t>Old Line</t>
  </si>
  <si>
    <t>OLBK</t>
  </si>
  <si>
    <t>Bowie, MD</t>
  </si>
  <si>
    <t>Oritani</t>
  </si>
  <si>
    <t>ORIT</t>
  </si>
  <si>
    <t>Washington TSP, NJ</t>
  </si>
  <si>
    <t>Pacific Continental</t>
  </si>
  <si>
    <t>PCBK</t>
  </si>
  <si>
    <t>Eugene, OR</t>
  </si>
  <si>
    <t>Park Sterling</t>
  </si>
  <si>
    <t>PSTB</t>
  </si>
  <si>
    <t>Charlotte, NC</t>
  </si>
  <si>
    <t>Peapack-Gladstone</t>
  </si>
  <si>
    <t>PGC</t>
  </si>
  <si>
    <t>Bedminster, NJ</t>
  </si>
  <si>
    <t>Renasant</t>
  </si>
  <si>
    <t>RNST</t>
  </si>
  <si>
    <t>Tupelo, MS</t>
  </si>
  <si>
    <t>Republic</t>
  </si>
  <si>
    <t>RBCAA</t>
  </si>
  <si>
    <t>Louisville, KY</t>
  </si>
  <si>
    <t>S&amp;T</t>
  </si>
  <si>
    <t>STBA</t>
  </si>
  <si>
    <t>Indiana, PA</t>
  </si>
  <si>
    <t>Sandy Spring</t>
  </si>
  <si>
    <t>Olney, MD</t>
  </si>
  <si>
    <t>SASR</t>
  </si>
  <si>
    <t>Seacoast</t>
  </si>
  <si>
    <t>SBCF</t>
  </si>
  <si>
    <t>Stuart, FL</t>
  </si>
  <si>
    <t>ServisFirst</t>
  </si>
  <si>
    <t>SFBS</t>
  </si>
  <si>
    <t>Sierra</t>
  </si>
  <si>
    <t>BSRR</t>
  </si>
  <si>
    <t>Porterville, CA</t>
  </si>
  <si>
    <t>Southside</t>
  </si>
  <si>
    <t>SBSI</t>
  </si>
  <si>
    <t>Tyler, TX</t>
  </si>
  <si>
    <t>State Bank</t>
  </si>
  <si>
    <t>STBZ</t>
  </si>
  <si>
    <t>Stock Yards</t>
  </si>
  <si>
    <t>SYBT</t>
  </si>
  <si>
    <t>Sun</t>
  </si>
  <si>
    <t>SNBC</t>
  </si>
  <si>
    <t>Mount Laurel, NJ</t>
  </si>
  <si>
    <t>Territorial</t>
  </si>
  <si>
    <t>TBNK</t>
  </si>
  <si>
    <t>The First</t>
  </si>
  <si>
    <t>FNLC</t>
  </si>
  <si>
    <t>Damariscotta, ME</t>
  </si>
  <si>
    <t>Tomkins</t>
  </si>
  <si>
    <t>TMP</t>
  </si>
  <si>
    <t>Ithaca, NY</t>
  </si>
  <si>
    <t>TowneBank</t>
  </si>
  <si>
    <t>TOWN</t>
  </si>
  <si>
    <t>Portsmouth, VA</t>
  </si>
  <si>
    <t>TriCo</t>
  </si>
  <si>
    <t>TCBK</t>
  </si>
  <si>
    <t>Chico, CA</t>
  </si>
  <si>
    <t>TriState</t>
  </si>
  <si>
    <t>TSC</t>
  </si>
  <si>
    <t>Pittsburgh, PA</t>
  </si>
  <si>
    <t>TrustCo</t>
  </si>
  <si>
    <t>TRST</t>
  </si>
  <si>
    <t>Glenville, NY</t>
  </si>
  <si>
    <t>Union</t>
  </si>
  <si>
    <t>UBSH</t>
  </si>
  <si>
    <t>Richmond, VA</t>
  </si>
  <si>
    <t>Univest</t>
  </si>
  <si>
    <t>UVSP</t>
  </si>
  <si>
    <t>Souderton, PA</t>
  </si>
  <si>
    <t>Washington Tshp.</t>
  </si>
  <si>
    <t>WASH</t>
  </si>
  <si>
    <t>Westerly, RI</t>
  </si>
  <si>
    <t>Wesbanco</t>
  </si>
  <si>
    <t>WSBC</t>
  </si>
  <si>
    <t>Wheeling, WV</t>
  </si>
  <si>
    <t>Westamerica</t>
  </si>
  <si>
    <t>WABC</t>
  </si>
  <si>
    <t>San Rafael, CA</t>
  </si>
  <si>
    <t>BancFirst</t>
  </si>
  <si>
    <t>BANF</t>
  </si>
  <si>
    <t>Oklahoma City, OK</t>
  </si>
  <si>
    <t>EFSC</t>
  </si>
  <si>
    <t>Clayton, MO</t>
  </si>
  <si>
    <t>Farmers National</t>
  </si>
  <si>
    <t>Canfield, OH</t>
  </si>
  <si>
    <t>FMNB</t>
  </si>
  <si>
    <t>First Busey</t>
  </si>
  <si>
    <t>BUSE</t>
  </si>
  <si>
    <t>Champaign, IL</t>
  </si>
  <si>
    <t>First Business</t>
  </si>
  <si>
    <t>FBIZ</t>
  </si>
  <si>
    <t>Madison, WI</t>
  </si>
  <si>
    <t>First Financial</t>
  </si>
  <si>
    <t>FFBC</t>
  </si>
  <si>
    <t>Cincinnati, OH</t>
  </si>
  <si>
    <t>FFIN</t>
  </si>
  <si>
    <t>Abilene, TX</t>
  </si>
  <si>
    <t>THFF</t>
  </si>
  <si>
    <t>Terre Haute, IN</t>
  </si>
  <si>
    <t>FRME</t>
  </si>
  <si>
    <t>First Merchants</t>
  </si>
  <si>
    <t>Muncie, IN</t>
  </si>
  <si>
    <t>First Mid-Illinois</t>
  </si>
  <si>
    <t>FMBH</t>
  </si>
  <si>
    <t>Mattoon, IL</t>
  </si>
  <si>
    <t>1st Source</t>
  </si>
  <si>
    <t>SRCE</t>
  </si>
  <si>
    <t>South Bend, IN</t>
  </si>
  <si>
    <t>German American</t>
  </si>
  <si>
    <t>GABC</t>
  </si>
  <si>
    <t>Jasper, IN</t>
  </si>
  <si>
    <t>Glacier</t>
  </si>
  <si>
    <t>GBCI</t>
  </si>
  <si>
    <t>Kalispell, MT</t>
  </si>
  <si>
    <t>Great Southern</t>
  </si>
  <si>
    <t>GSBC</t>
  </si>
  <si>
    <t>Springfield, MO</t>
  </si>
  <si>
    <t>Heartland</t>
  </si>
  <si>
    <t>HTLF</t>
  </si>
  <si>
    <t>Dubuque, IA</t>
  </si>
  <si>
    <t>Horizon</t>
  </si>
  <si>
    <t>HBNC</t>
  </si>
  <si>
    <t>Michigan City, IN</t>
  </si>
  <si>
    <t>IBCP</t>
  </si>
  <si>
    <t>Grand Rapids, MI</t>
  </si>
  <si>
    <t>Isabella</t>
  </si>
  <si>
    <t>ISBA</t>
  </si>
  <si>
    <t>Mt. Pleasant, MI</t>
  </si>
  <si>
    <t>LKFN</t>
  </si>
  <si>
    <t>Warsaw, IN</t>
  </si>
  <si>
    <t>Macatawa</t>
  </si>
  <si>
    <t>MCBC</t>
  </si>
  <si>
    <t>Holland, MI</t>
  </si>
  <si>
    <t>MainSource</t>
  </si>
  <si>
    <t>MSFG</t>
  </si>
  <si>
    <t>Greensburg, IN</t>
  </si>
  <si>
    <t>Mercantile</t>
  </si>
  <si>
    <t>MBWM</t>
  </si>
  <si>
    <t xml:space="preserve">National  </t>
  </si>
  <si>
    <t>NBHC</t>
  </si>
  <si>
    <t>Greenwood Vill.,CO</t>
  </si>
  <si>
    <t>Recession</t>
  </si>
  <si>
    <t>Last (7)</t>
  </si>
  <si>
    <t>5 Year</t>
  </si>
  <si>
    <t>Growth(8)</t>
  </si>
  <si>
    <t>Old Second</t>
  </si>
  <si>
    <t>OSBC</t>
  </si>
  <si>
    <t>Aurora, IL</t>
  </si>
  <si>
    <t>Peoples</t>
  </si>
  <si>
    <t>PEBO</t>
  </si>
  <si>
    <t>Marietta, OH</t>
  </si>
  <si>
    <t>QCR</t>
  </si>
  <si>
    <t>QCRH</t>
  </si>
  <si>
    <t>Moline, IL</t>
  </si>
  <si>
    <t>Simmons First</t>
  </si>
  <si>
    <t>SFNC</t>
  </si>
  <si>
    <t>Pine Bluff, AR</t>
  </si>
  <si>
    <t>Southwest</t>
  </si>
  <si>
    <t>OKSB</t>
  </si>
  <si>
    <t>Stillwater, OK</t>
  </si>
  <si>
    <t>Triumph</t>
  </si>
  <si>
    <t>TBK</t>
  </si>
  <si>
    <t>Dallas, TX</t>
  </si>
  <si>
    <t>Chemung</t>
  </si>
  <si>
    <t>CHMG</t>
  </si>
  <si>
    <t>Elmira, NY</t>
  </si>
  <si>
    <t>Summit</t>
  </si>
  <si>
    <t>SMMF</t>
  </si>
  <si>
    <t>Moorefield, WV</t>
  </si>
  <si>
    <t>Washington First</t>
  </si>
  <si>
    <t>WFBI</t>
  </si>
  <si>
    <t>Reston, VA</t>
  </si>
  <si>
    <t>Peoples Utah</t>
  </si>
  <si>
    <t>PUB</t>
  </si>
  <si>
    <t>American Fork, UT</t>
  </si>
  <si>
    <t>NAV</t>
  </si>
  <si>
    <t>BCB</t>
  </si>
  <si>
    <t>BCBP</t>
  </si>
  <si>
    <t>Bayonne, NJ</t>
  </si>
  <si>
    <t>Write</t>
  </si>
  <si>
    <t>(6) Per Value line 12/31/2016</t>
  </si>
  <si>
    <t>(7) On a scale of 1 to 5, 5 being best, how the bank performed in the last recession.</t>
  </si>
  <si>
    <t>(8) On a scale of 1 to 5, 5 being best, EPS and organic loan growth the past 5 years.  EPS growth off a low base given less weight.</t>
  </si>
  <si>
    <t>Averages</t>
  </si>
  <si>
    <t>Averages, ROE 6.0% or more</t>
  </si>
  <si>
    <t>Averages, ROE less than 6.0%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</si>
</sst>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0.0%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165" fontId="0" fillId="0" borderId="0" xfId="0" applyNumberFormat="1"/>
    <xf numFmtId="165" fontId="0" fillId="0" borderId="1" xfId="0" applyNumberFormat="1" applyBorder="1"/>
    <xf numFmtId="166" fontId="0" fillId="0" borderId="0" xfId="0" applyNumberFormat="1"/>
    <xf numFmtId="166" fontId="0" fillId="0" borderId="1" xfId="0" applyNumberFormat="1" applyBorder="1"/>
    <xf numFmtId="1" fontId="0" fillId="0" borderId="0" xfId="0" applyNumberFormat="1"/>
    <xf numFmtId="1" fontId="0" fillId="0" borderId="0" xfId="0" applyNumberFormat="1" applyAlignment="1">
      <alignment horizontal="right"/>
    </xf>
    <xf numFmtId="1" fontId="0" fillId="0" borderId="1" xfId="0" applyNumberFormat="1" applyFill="1" applyBorder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abSelected="1" workbookViewId="0">
      <selection activeCell="D4" sqref="D4"/>
    </sheetView>
  </sheetViews>
  <sheetFormatPr defaultRowHeight="15" x14ac:dyDescent="0.25"/>
  <cols>
    <col min="1" max="1" width="18.28515625" customWidth="1"/>
    <col min="3" max="3" width="9.140625" style="2"/>
    <col min="4" max="4" width="17.7109375" customWidth="1"/>
    <col min="5" max="5" width="12" style="4" customWidth="1"/>
    <col min="6" max="7" width="9.140625" style="4"/>
    <col min="8" max="8" width="10.42578125" style="6" customWidth="1"/>
    <col min="9" max="9" width="14.7109375" style="4" customWidth="1"/>
    <col min="10" max="11" width="9.140625" style="8"/>
  </cols>
  <sheetData>
    <row r="1" spans="1:11" x14ac:dyDescent="0.25">
      <c r="A1" t="s">
        <v>130</v>
      </c>
      <c r="G1" s="4" t="s">
        <v>6</v>
      </c>
      <c r="I1" s="4" t="s">
        <v>40</v>
      </c>
      <c r="J1" s="8" t="s">
        <v>312</v>
      </c>
      <c r="K1" s="8" t="s">
        <v>313</v>
      </c>
    </row>
    <row r="2" spans="1:11" x14ac:dyDescent="0.25">
      <c r="A2" s="1" t="s">
        <v>0</v>
      </c>
      <c r="B2" s="1" t="s">
        <v>1</v>
      </c>
      <c r="C2" s="3" t="s">
        <v>2</v>
      </c>
      <c r="D2" s="1" t="s">
        <v>3</v>
      </c>
      <c r="E2" s="5" t="s">
        <v>4</v>
      </c>
      <c r="F2" s="5" t="s">
        <v>5</v>
      </c>
      <c r="G2" s="5" t="s">
        <v>7</v>
      </c>
      <c r="H2" s="7" t="s">
        <v>8</v>
      </c>
      <c r="I2" s="5" t="s">
        <v>41</v>
      </c>
      <c r="J2" s="10" t="s">
        <v>311</v>
      </c>
      <c r="K2" s="10" t="s">
        <v>314</v>
      </c>
    </row>
    <row r="3" spans="1:11" x14ac:dyDescent="0.25">
      <c r="A3" t="s">
        <v>198</v>
      </c>
      <c r="B3" t="s">
        <v>199</v>
      </c>
      <c r="C3" s="2">
        <v>6336</v>
      </c>
      <c r="D3" t="s">
        <v>164</v>
      </c>
      <c r="E3" s="4">
        <v>0.35199999999999998</v>
      </c>
      <c r="F3" s="4">
        <v>0.156</v>
      </c>
      <c r="G3" s="4">
        <f>1930/503</f>
        <v>3.8369781312127236</v>
      </c>
      <c r="H3" s="6">
        <v>24.1</v>
      </c>
      <c r="I3" s="4">
        <v>8.2000000000000003E-2</v>
      </c>
      <c r="J3" s="9" t="s">
        <v>345</v>
      </c>
      <c r="K3" s="9" t="s">
        <v>345</v>
      </c>
    </row>
    <row r="4" spans="1:11" x14ac:dyDescent="0.25">
      <c r="A4" t="s">
        <v>208</v>
      </c>
      <c r="B4" t="s">
        <v>209</v>
      </c>
      <c r="C4" s="2">
        <v>3033</v>
      </c>
      <c r="D4" t="s">
        <v>188</v>
      </c>
      <c r="E4" s="4">
        <v>6.6000000000000003E-2</v>
      </c>
      <c r="F4" s="4">
        <v>0.13100000000000001</v>
      </c>
      <c r="G4" s="4">
        <f>837/319.6</f>
        <v>2.6188986232790987</v>
      </c>
      <c r="H4" s="6">
        <v>22.1</v>
      </c>
      <c r="I4" s="4">
        <v>0.10299999999999999</v>
      </c>
      <c r="J4" s="8">
        <v>5</v>
      </c>
      <c r="K4" s="8">
        <v>5</v>
      </c>
    </row>
    <row r="5" spans="1:11" x14ac:dyDescent="0.25">
      <c r="A5" t="s">
        <v>99</v>
      </c>
      <c r="B5" t="s">
        <v>251</v>
      </c>
      <c r="C5" s="2">
        <v>5106</v>
      </c>
      <c r="D5" t="s">
        <v>252</v>
      </c>
      <c r="E5" s="4">
        <v>0.20200000000000001</v>
      </c>
      <c r="F5" s="4">
        <v>0.126</v>
      </c>
      <c r="G5" s="4">
        <f>938/412</f>
        <v>2.2766990291262137</v>
      </c>
      <c r="H5" s="6">
        <v>17</v>
      </c>
      <c r="I5" s="4">
        <v>9.5000000000000001E-2</v>
      </c>
      <c r="J5" s="8">
        <v>1</v>
      </c>
      <c r="K5" s="8">
        <v>5</v>
      </c>
    </row>
    <row r="6" spans="1:11" x14ac:dyDescent="0.25">
      <c r="A6" t="s">
        <v>262</v>
      </c>
      <c r="B6" t="s">
        <v>265</v>
      </c>
      <c r="C6" s="2">
        <v>6930</v>
      </c>
      <c r="D6" t="s">
        <v>266</v>
      </c>
      <c r="E6" s="4">
        <v>0.123</v>
      </c>
      <c r="F6" s="4">
        <v>0.125</v>
      </c>
      <c r="G6" s="4">
        <f>2720/716</f>
        <v>3.7988826815642458</v>
      </c>
      <c r="H6" s="6">
        <v>24.7</v>
      </c>
      <c r="I6" s="4">
        <v>0.123</v>
      </c>
      <c r="J6" s="8">
        <v>5</v>
      </c>
      <c r="K6" s="8">
        <v>4</v>
      </c>
    </row>
    <row r="7" spans="1:11" x14ac:dyDescent="0.25">
      <c r="A7" t="s">
        <v>146</v>
      </c>
      <c r="B7" t="s">
        <v>298</v>
      </c>
      <c r="C7" s="2">
        <v>4319</v>
      </c>
      <c r="D7" t="s">
        <v>299</v>
      </c>
      <c r="E7" s="4">
        <v>0.24199999999999999</v>
      </c>
      <c r="F7" s="4">
        <v>0.122</v>
      </c>
      <c r="G7" s="4">
        <f>1150/432.2</f>
        <v>2.6608051827857473</v>
      </c>
      <c r="H7" s="6">
        <v>20.5</v>
      </c>
      <c r="I7" s="4">
        <v>0.1</v>
      </c>
      <c r="J7" s="8">
        <v>4</v>
      </c>
      <c r="K7" s="8">
        <v>5</v>
      </c>
    </row>
    <row r="8" spans="1:11" x14ac:dyDescent="0.25">
      <c r="A8" t="s">
        <v>239</v>
      </c>
      <c r="B8" t="s">
        <v>240</v>
      </c>
      <c r="C8" s="2">
        <v>4389</v>
      </c>
      <c r="D8" t="s">
        <v>241</v>
      </c>
      <c r="E8" s="4">
        <v>0.109</v>
      </c>
      <c r="F8" s="4">
        <v>0.11899999999999999</v>
      </c>
      <c r="G8" s="4">
        <f>864.6/323.9</f>
        <v>2.6693423896264283</v>
      </c>
      <c r="H8" s="6">
        <v>18.2</v>
      </c>
      <c r="I8" s="4">
        <v>8.8999999999999996E-2</v>
      </c>
      <c r="J8" s="8">
        <v>5</v>
      </c>
      <c r="K8" s="8">
        <v>4</v>
      </c>
    </row>
    <row r="9" spans="1:11" x14ac:dyDescent="0.25">
      <c r="A9" t="s">
        <v>75</v>
      </c>
      <c r="B9" t="s">
        <v>76</v>
      </c>
      <c r="C9" s="2">
        <v>4124</v>
      </c>
      <c r="D9" t="s">
        <v>77</v>
      </c>
      <c r="E9" s="4">
        <v>0.23100000000000001</v>
      </c>
      <c r="F9" s="4">
        <v>0.11799999999999999</v>
      </c>
      <c r="G9" s="4">
        <f>1000/364.6</f>
        <v>2.7427317608337902</v>
      </c>
      <c r="H9" s="6">
        <v>18.899999999999999</v>
      </c>
      <c r="I9" s="4">
        <v>0.111</v>
      </c>
      <c r="J9" s="8">
        <v>5</v>
      </c>
      <c r="K9" s="8">
        <v>5</v>
      </c>
    </row>
    <row r="10" spans="1:11" x14ac:dyDescent="0.25">
      <c r="A10" t="s">
        <v>96</v>
      </c>
      <c r="B10" t="s">
        <v>97</v>
      </c>
      <c r="C10" s="2">
        <v>7090</v>
      </c>
      <c r="D10" t="s">
        <v>98</v>
      </c>
      <c r="E10" s="4">
        <v>0.21199999999999999</v>
      </c>
      <c r="F10" s="4">
        <v>0.11600000000000001</v>
      </c>
      <c r="G10" s="4">
        <f>2090/718</f>
        <v>2.9108635097493036</v>
      </c>
      <c r="H10" s="6">
        <v>20.2</v>
      </c>
      <c r="I10" s="4">
        <v>0.122</v>
      </c>
      <c r="J10" s="8">
        <v>4</v>
      </c>
      <c r="K10" s="8">
        <v>5</v>
      </c>
    </row>
    <row r="11" spans="1:11" x14ac:dyDescent="0.25">
      <c r="A11" t="s">
        <v>78</v>
      </c>
      <c r="B11" t="s">
        <v>79</v>
      </c>
      <c r="C11" s="2">
        <v>3731</v>
      </c>
      <c r="D11" t="s">
        <v>80</v>
      </c>
      <c r="E11" s="4">
        <v>0.26200000000000001</v>
      </c>
      <c r="F11" s="4">
        <v>0.115</v>
      </c>
      <c r="G11" s="4">
        <f>671.8/291.7</f>
        <v>2.3030510798765853</v>
      </c>
      <c r="H11" s="6">
        <v>18.899999999999999</v>
      </c>
      <c r="I11" s="4">
        <v>8.3000000000000004E-2</v>
      </c>
      <c r="J11" s="8">
        <v>1</v>
      </c>
      <c r="K11" s="8">
        <v>5</v>
      </c>
    </row>
    <row r="12" spans="1:11" x14ac:dyDescent="0.25">
      <c r="A12" t="s">
        <v>19</v>
      </c>
      <c r="B12" t="s">
        <v>20</v>
      </c>
      <c r="C12" s="2">
        <v>2656</v>
      </c>
      <c r="D12" t="s">
        <v>21</v>
      </c>
      <c r="E12" s="4">
        <v>2E-3</v>
      </c>
      <c r="F12" s="4">
        <v>0.114</v>
      </c>
      <c r="G12" s="4">
        <f>427.4/211.6</f>
        <v>2.0198487712665405</v>
      </c>
      <c r="H12" s="6">
        <v>17.399999999999999</v>
      </c>
      <c r="I12" s="4">
        <v>8.8999999999999996E-2</v>
      </c>
      <c r="J12" s="8">
        <v>5</v>
      </c>
      <c r="K12" s="8">
        <v>4</v>
      </c>
    </row>
    <row r="13" spans="1:11" x14ac:dyDescent="0.25">
      <c r="A13" t="s">
        <v>336</v>
      </c>
      <c r="B13" t="s">
        <v>337</v>
      </c>
      <c r="C13" s="2">
        <v>1776</v>
      </c>
      <c r="D13" t="s">
        <v>338</v>
      </c>
      <c r="E13" s="4">
        <v>0.111</v>
      </c>
      <c r="F13" s="4">
        <v>0.111</v>
      </c>
      <c r="G13" s="4">
        <f>273.2/140</f>
        <v>1.9514285714285713</v>
      </c>
      <c r="H13" s="6">
        <v>20</v>
      </c>
      <c r="I13" s="4">
        <v>8.7999999999999995E-2</v>
      </c>
      <c r="J13" s="8">
        <v>1</v>
      </c>
      <c r="K13" s="8">
        <v>4</v>
      </c>
    </row>
    <row r="14" spans="1:11" x14ac:dyDescent="0.25">
      <c r="A14" t="s">
        <v>218</v>
      </c>
      <c r="B14" t="s">
        <v>219</v>
      </c>
      <c r="C14" s="2">
        <v>6280</v>
      </c>
      <c r="D14" t="s">
        <v>220</v>
      </c>
      <c r="E14" s="4">
        <v>3.9E-2</v>
      </c>
      <c r="F14" s="4">
        <v>0.108</v>
      </c>
      <c r="G14" s="4">
        <f>1180/460.4</f>
        <v>2.5629887054735012</v>
      </c>
      <c r="H14" s="6">
        <v>21</v>
      </c>
      <c r="I14" s="4">
        <v>8.7999999999999995E-2</v>
      </c>
      <c r="J14" s="8">
        <v>5</v>
      </c>
      <c r="K14" s="8">
        <v>4</v>
      </c>
    </row>
    <row r="15" spans="1:11" x14ac:dyDescent="0.25">
      <c r="A15" t="s">
        <v>281</v>
      </c>
      <c r="B15" t="s">
        <v>282</v>
      </c>
      <c r="C15" s="2">
        <v>9554</v>
      </c>
      <c r="D15" t="s">
        <v>283</v>
      </c>
      <c r="E15" s="4">
        <v>0.23599999999999999</v>
      </c>
      <c r="F15" s="4">
        <v>0.108</v>
      </c>
      <c r="G15" s="4">
        <f>2690/911</f>
        <v>2.9527991218441274</v>
      </c>
      <c r="H15" s="6">
        <v>20.7</v>
      </c>
      <c r="I15" s="4">
        <v>0.11799999999999999</v>
      </c>
      <c r="J15" s="8">
        <v>3</v>
      </c>
      <c r="K15" s="8">
        <v>5</v>
      </c>
    </row>
    <row r="16" spans="1:11" x14ac:dyDescent="0.25">
      <c r="A16" t="s">
        <v>287</v>
      </c>
      <c r="B16" t="s">
        <v>288</v>
      </c>
      <c r="C16" s="2">
        <v>8362</v>
      </c>
      <c r="D16" t="s">
        <v>289</v>
      </c>
      <c r="E16" s="4">
        <v>0.23599999999999999</v>
      </c>
      <c r="F16" s="4">
        <v>0.108</v>
      </c>
      <c r="G16" s="4">
        <f>1210/616</f>
        <v>1.9642857142857142</v>
      </c>
      <c r="H16" s="6">
        <v>14.9</v>
      </c>
      <c r="I16" s="4">
        <v>0.09</v>
      </c>
      <c r="J16" s="8">
        <v>4</v>
      </c>
      <c r="K16" s="8">
        <v>3</v>
      </c>
    </row>
    <row r="17" spans="1:11" x14ac:dyDescent="0.25">
      <c r="A17" t="s">
        <v>107</v>
      </c>
      <c r="B17" t="s">
        <v>108</v>
      </c>
      <c r="C17" s="2">
        <v>4531</v>
      </c>
      <c r="D17" t="s">
        <v>24</v>
      </c>
      <c r="E17" s="4">
        <v>0.11600000000000001</v>
      </c>
      <c r="F17" s="4">
        <v>0.107</v>
      </c>
      <c r="G17" s="4">
        <f>594.8/371.3</f>
        <v>1.6019391327767303</v>
      </c>
      <c r="H17" s="6">
        <v>13.2</v>
      </c>
      <c r="I17" s="4">
        <v>8.3000000000000004E-2</v>
      </c>
      <c r="J17" s="8">
        <v>1</v>
      </c>
      <c r="K17" s="8">
        <v>3</v>
      </c>
    </row>
    <row r="18" spans="1:11" x14ac:dyDescent="0.25">
      <c r="A18" t="s">
        <v>278</v>
      </c>
      <c r="B18" t="s">
        <v>279</v>
      </c>
      <c r="C18" s="2">
        <v>2933</v>
      </c>
      <c r="D18" t="s">
        <v>280</v>
      </c>
      <c r="E18" s="4">
        <v>0.184</v>
      </c>
      <c r="F18" s="4">
        <v>0.107</v>
      </c>
      <c r="G18" s="4">
        <f>733.7/284</f>
        <v>2.5834507042253523</v>
      </c>
      <c r="H18" s="6">
        <v>19.600000000000001</v>
      </c>
      <c r="I18" s="4">
        <v>0.112</v>
      </c>
      <c r="J18" s="8">
        <v>5</v>
      </c>
      <c r="K18" s="8">
        <v>4</v>
      </c>
    </row>
    <row r="19" spans="1:11" x14ac:dyDescent="0.25">
      <c r="A19" t="s">
        <v>133</v>
      </c>
      <c r="B19" t="s">
        <v>134</v>
      </c>
      <c r="C19" s="2">
        <v>4812</v>
      </c>
      <c r="D19" t="s">
        <v>135</v>
      </c>
      <c r="E19" s="4">
        <v>0.122</v>
      </c>
      <c r="F19" s="4">
        <v>0.106</v>
      </c>
      <c r="G19" s="4">
        <f>894/486.7</f>
        <v>1.8368604890076023</v>
      </c>
      <c r="H19" s="6">
        <v>16.7</v>
      </c>
      <c r="I19" s="4">
        <v>0.113</v>
      </c>
      <c r="J19" s="8">
        <v>1</v>
      </c>
      <c r="K19" s="8">
        <v>5</v>
      </c>
    </row>
    <row r="20" spans="1:11" x14ac:dyDescent="0.25">
      <c r="A20" t="s">
        <v>137</v>
      </c>
      <c r="B20" t="s">
        <v>138</v>
      </c>
      <c r="C20" s="2">
        <v>2642</v>
      </c>
      <c r="D20" t="s">
        <v>139</v>
      </c>
      <c r="E20" s="4">
        <v>0.20200000000000001</v>
      </c>
      <c r="F20" s="4">
        <v>0.105</v>
      </c>
      <c r="G20" s="4">
        <f>494.9/211.6</f>
        <v>2.3388468809073721</v>
      </c>
      <c r="H20" s="6">
        <v>19.8</v>
      </c>
      <c r="I20" s="4">
        <v>0.10100000000000001</v>
      </c>
      <c r="J20" s="8">
        <v>1</v>
      </c>
      <c r="K20" s="8">
        <v>3</v>
      </c>
    </row>
    <row r="21" spans="1:11" x14ac:dyDescent="0.25">
      <c r="A21" t="s">
        <v>245</v>
      </c>
      <c r="B21" t="s">
        <v>246</v>
      </c>
      <c r="C21" s="2">
        <v>5396</v>
      </c>
      <c r="D21" t="s">
        <v>247</v>
      </c>
      <c r="E21" s="4">
        <v>9.2999999999999999E-2</v>
      </c>
      <c r="F21" s="4">
        <v>0.105</v>
      </c>
      <c r="G21" s="4">
        <f>1450/457.2</f>
        <v>3.1714785651793527</v>
      </c>
      <c r="H21" s="6">
        <v>23.6</v>
      </c>
      <c r="I21" s="4">
        <v>0.105</v>
      </c>
      <c r="J21" s="8">
        <v>5</v>
      </c>
      <c r="K21" s="8">
        <v>1</v>
      </c>
    </row>
    <row r="22" spans="1:11" x14ac:dyDescent="0.25">
      <c r="A22" t="s">
        <v>284</v>
      </c>
      <c r="B22" t="s">
        <v>285</v>
      </c>
      <c r="C22" s="2">
        <v>4433</v>
      </c>
      <c r="D22" t="s">
        <v>286</v>
      </c>
      <c r="E22" s="4">
        <v>0.26</v>
      </c>
      <c r="F22" s="4">
        <v>0.105</v>
      </c>
      <c r="G22" s="4">
        <f>738/428</f>
        <v>1.7242990654205608</v>
      </c>
      <c r="H22" s="6">
        <v>15.1</v>
      </c>
      <c r="I22" s="4">
        <v>9.4E-2</v>
      </c>
      <c r="J22" s="8">
        <v>2</v>
      </c>
      <c r="K22" s="8">
        <v>5</v>
      </c>
    </row>
    <row r="23" spans="1:11" x14ac:dyDescent="0.25">
      <c r="A23" t="s">
        <v>128</v>
      </c>
      <c r="B23" t="s">
        <v>127</v>
      </c>
      <c r="C23" s="2">
        <v>3455</v>
      </c>
      <c r="D23" t="s">
        <v>129</v>
      </c>
      <c r="E23" s="4">
        <v>0.26300000000000001</v>
      </c>
      <c r="F23" s="4">
        <v>0.104</v>
      </c>
      <c r="G23" s="4">
        <f>519/253</f>
        <v>2.0513833992094863</v>
      </c>
      <c r="H23" s="6">
        <v>17.7</v>
      </c>
      <c r="I23" s="4">
        <v>9.1999999999999998E-2</v>
      </c>
      <c r="J23" s="9" t="s">
        <v>345</v>
      </c>
      <c r="K23" s="9" t="s">
        <v>345</v>
      </c>
    </row>
    <row r="24" spans="1:11" x14ac:dyDescent="0.25">
      <c r="A24" t="s">
        <v>215</v>
      </c>
      <c r="B24" t="s">
        <v>216</v>
      </c>
      <c r="C24" s="2">
        <v>1730</v>
      </c>
      <c r="D24" t="s">
        <v>217</v>
      </c>
      <c r="E24" s="4">
        <v>0.123</v>
      </c>
      <c r="F24" s="4">
        <v>0.104</v>
      </c>
      <c r="G24" s="4">
        <f>287.3/142.4</f>
        <v>2.0175561797752808</v>
      </c>
      <c r="H24" s="6">
        <v>16</v>
      </c>
      <c r="I24" s="4">
        <v>0.10100000000000001</v>
      </c>
      <c r="J24" s="8">
        <v>5</v>
      </c>
      <c r="K24" s="8">
        <v>4</v>
      </c>
    </row>
    <row r="25" spans="1:11" x14ac:dyDescent="0.25">
      <c r="A25" t="s">
        <v>342</v>
      </c>
      <c r="B25" t="s">
        <v>343</v>
      </c>
      <c r="C25" s="2">
        <v>1718</v>
      </c>
      <c r="D25" t="s">
        <v>344</v>
      </c>
      <c r="E25" s="4">
        <v>0.38200000000000001</v>
      </c>
      <c r="F25" s="4">
        <v>0.10299999999999999</v>
      </c>
      <c r="G25" s="4">
        <f>476.9/224.5</f>
        <v>2.1242761692650332</v>
      </c>
      <c r="H25" s="6">
        <v>19.899999999999999</v>
      </c>
      <c r="I25" s="4">
        <v>0.13700000000000001</v>
      </c>
      <c r="J25" s="9" t="s">
        <v>345</v>
      </c>
      <c r="K25" s="9" t="s">
        <v>345</v>
      </c>
    </row>
    <row r="26" spans="1:11" x14ac:dyDescent="0.25">
      <c r="A26" t="s">
        <v>54</v>
      </c>
      <c r="B26" t="s">
        <v>55</v>
      </c>
      <c r="C26" s="2">
        <v>8559</v>
      </c>
      <c r="D26" t="s">
        <v>56</v>
      </c>
      <c r="E26" s="4">
        <v>0.25800000000000001</v>
      </c>
      <c r="F26" s="4">
        <v>0.10199999999999999</v>
      </c>
      <c r="G26" s="4">
        <f>2370/919.2</f>
        <v>2.5783289817232373</v>
      </c>
      <c r="H26" s="6">
        <v>22.2</v>
      </c>
      <c r="I26" s="4">
        <v>0.123</v>
      </c>
      <c r="J26" s="8">
        <v>5</v>
      </c>
      <c r="K26" s="8">
        <v>3</v>
      </c>
    </row>
    <row r="27" spans="1:11" x14ac:dyDescent="0.25">
      <c r="A27" t="s">
        <v>57</v>
      </c>
      <c r="B27" t="s">
        <v>58</v>
      </c>
      <c r="C27" s="2">
        <v>3938</v>
      </c>
      <c r="D27" t="s">
        <v>59</v>
      </c>
      <c r="E27" s="4">
        <v>0.252</v>
      </c>
      <c r="F27" s="4">
        <v>0.10199999999999999</v>
      </c>
      <c r="G27" s="4">
        <f>644/259.5</f>
        <v>2.4816955684007707</v>
      </c>
      <c r="H27" s="6">
        <v>16.3</v>
      </c>
      <c r="I27" s="4">
        <v>0.10100000000000001</v>
      </c>
      <c r="J27" s="8">
        <v>5</v>
      </c>
      <c r="K27" s="8">
        <v>2</v>
      </c>
    </row>
    <row r="28" spans="1:11" x14ac:dyDescent="0.25">
      <c r="A28" t="s">
        <v>72</v>
      </c>
      <c r="B28" t="s">
        <v>73</v>
      </c>
      <c r="C28" s="2">
        <v>4577</v>
      </c>
      <c r="D28" t="s">
        <v>74</v>
      </c>
      <c r="E28" s="4">
        <v>0.41799999999999998</v>
      </c>
      <c r="F28" s="4">
        <v>0.10199999999999999</v>
      </c>
      <c r="G28" s="4">
        <f>316.7/243.6</f>
        <v>1.3000821018062396</v>
      </c>
      <c r="H28" s="6">
        <v>13.9</v>
      </c>
      <c r="I28" s="4">
        <v>5.3999999999999999E-2</v>
      </c>
      <c r="J28" s="8">
        <v>5</v>
      </c>
      <c r="K28" s="8">
        <v>5</v>
      </c>
    </row>
    <row r="29" spans="1:11" x14ac:dyDescent="0.25">
      <c r="A29" t="s">
        <v>93</v>
      </c>
      <c r="B29" t="s">
        <v>94</v>
      </c>
      <c r="C29" s="2">
        <v>9907</v>
      </c>
      <c r="D29" t="s">
        <v>95</v>
      </c>
      <c r="E29" s="4">
        <v>8.4000000000000005E-2</v>
      </c>
      <c r="F29" s="4">
        <v>0.10199999999999999</v>
      </c>
      <c r="G29" s="4">
        <f>840/876.2</f>
        <v>0.95868523168226427</v>
      </c>
      <c r="H29" s="6">
        <v>11.6</v>
      </c>
      <c r="I29" s="4">
        <v>9.0999999999999998E-2</v>
      </c>
      <c r="J29" s="9" t="s">
        <v>345</v>
      </c>
      <c r="K29" s="8">
        <v>5</v>
      </c>
    </row>
    <row r="30" spans="1:11" x14ac:dyDescent="0.25">
      <c r="A30" t="s">
        <v>102</v>
      </c>
      <c r="B30" t="s">
        <v>102</v>
      </c>
      <c r="C30" s="2">
        <v>9533</v>
      </c>
      <c r="D30" t="s">
        <v>103</v>
      </c>
      <c r="E30" s="4">
        <v>0.25600000000000001</v>
      </c>
      <c r="F30" s="4">
        <v>0.10199999999999999</v>
      </c>
      <c r="G30" s="4">
        <f>1960/913.4</f>
        <v>2.1458287716225093</v>
      </c>
      <c r="H30" s="6">
        <v>17.8</v>
      </c>
      <c r="I30" s="4">
        <v>0.108</v>
      </c>
      <c r="J30" s="9" t="s">
        <v>345</v>
      </c>
      <c r="K30" s="9" t="s">
        <v>345</v>
      </c>
    </row>
    <row r="31" spans="1:11" x14ac:dyDescent="0.25">
      <c r="A31" t="s">
        <v>262</v>
      </c>
      <c r="B31" t="s">
        <v>263</v>
      </c>
      <c r="C31" s="2">
        <v>8531</v>
      </c>
      <c r="D31" t="s">
        <v>264</v>
      </c>
      <c r="E31" s="4">
        <v>0.23599999999999999</v>
      </c>
      <c r="F31" s="4">
        <v>0.10199999999999999</v>
      </c>
      <c r="G31" s="4">
        <f>1660/670</f>
        <v>2.4776119402985075</v>
      </c>
      <c r="H31" s="6">
        <v>17.3</v>
      </c>
      <c r="I31" s="4">
        <v>0.10299999999999999</v>
      </c>
      <c r="J31" s="8">
        <v>3</v>
      </c>
      <c r="K31" s="8">
        <v>4</v>
      </c>
    </row>
    <row r="32" spans="1:11" x14ac:dyDescent="0.25">
      <c r="A32" t="s">
        <v>124</v>
      </c>
      <c r="B32" t="s">
        <v>125</v>
      </c>
      <c r="C32" s="2">
        <v>3607</v>
      </c>
      <c r="D32" t="s">
        <v>126</v>
      </c>
      <c r="E32" s="4">
        <v>-0.17299999999999999</v>
      </c>
      <c r="F32" s="4">
        <v>0.10100000000000001</v>
      </c>
      <c r="G32" s="4">
        <f>655/316.4</f>
        <v>2.0701643489254109</v>
      </c>
      <c r="H32" s="6">
        <v>20.6</v>
      </c>
      <c r="I32" s="4">
        <v>8.6999999999999994E-2</v>
      </c>
      <c r="J32" s="8">
        <v>5</v>
      </c>
      <c r="K32" s="8">
        <v>4</v>
      </c>
    </row>
    <row r="33" spans="1:11" x14ac:dyDescent="0.25">
      <c r="A33" t="s">
        <v>28</v>
      </c>
      <c r="B33" t="s">
        <v>29</v>
      </c>
      <c r="C33" s="2">
        <v>2034</v>
      </c>
      <c r="D33" t="s">
        <v>30</v>
      </c>
      <c r="E33" s="4">
        <v>0.22900000000000001</v>
      </c>
      <c r="F33" s="4">
        <v>0.1</v>
      </c>
      <c r="G33" s="4">
        <f>374/226.1</f>
        <v>1.6541353383458648</v>
      </c>
      <c r="H33" s="6">
        <v>17.3</v>
      </c>
      <c r="I33" s="4">
        <v>0.114</v>
      </c>
      <c r="J33" s="8">
        <v>5</v>
      </c>
      <c r="K33" s="8">
        <v>3</v>
      </c>
    </row>
    <row r="34" spans="1:11" x14ac:dyDescent="0.25">
      <c r="A34" t="s">
        <v>109</v>
      </c>
      <c r="B34" t="s">
        <v>110</v>
      </c>
      <c r="C34" s="2">
        <v>3860</v>
      </c>
      <c r="D34" t="s">
        <v>111</v>
      </c>
      <c r="E34" s="4">
        <v>0.121</v>
      </c>
      <c r="F34" s="4">
        <v>0.1</v>
      </c>
      <c r="G34" s="4">
        <f>426.8/250.4</f>
        <v>1.7044728434504792</v>
      </c>
      <c r="H34" s="6">
        <v>15.4</v>
      </c>
      <c r="I34" s="4">
        <v>8.5999999999999993E-2</v>
      </c>
      <c r="J34" s="8">
        <v>2</v>
      </c>
      <c r="K34" s="8">
        <v>5</v>
      </c>
    </row>
    <row r="35" spans="1:11" x14ac:dyDescent="0.25">
      <c r="A35" t="s">
        <v>248</v>
      </c>
      <c r="B35" t="s">
        <v>249</v>
      </c>
      <c r="C35" s="2">
        <v>7190</v>
      </c>
      <c r="D35" t="s">
        <v>250</v>
      </c>
      <c r="E35" s="4">
        <v>0.28799999999999998</v>
      </c>
      <c r="F35" s="4">
        <v>9.9000000000000005E-2</v>
      </c>
      <c r="G35" s="4">
        <f>1500/663</f>
        <v>2.2624434389140271</v>
      </c>
      <c r="H35" s="6">
        <v>20.100000000000001</v>
      </c>
      <c r="I35" s="4">
        <v>0.10100000000000001</v>
      </c>
      <c r="J35" s="8">
        <v>5</v>
      </c>
      <c r="K35" s="8">
        <v>4</v>
      </c>
    </row>
    <row r="36" spans="1:11" x14ac:dyDescent="0.25">
      <c r="A36" t="s">
        <v>16</v>
      </c>
      <c r="B36" t="s">
        <v>17</v>
      </c>
      <c r="C36" s="2">
        <v>7089</v>
      </c>
      <c r="D36" t="s">
        <v>18</v>
      </c>
      <c r="E36" s="4">
        <v>0.25600000000000001</v>
      </c>
      <c r="F36" s="4">
        <v>9.8000000000000004E-2</v>
      </c>
      <c r="G36" s="4">
        <f>1720/574.8</f>
        <v>2.992345163535143</v>
      </c>
      <c r="H36" s="6">
        <v>20.399999999999999</v>
      </c>
      <c r="I36" s="4">
        <v>9.4E-2</v>
      </c>
      <c r="J36" s="8">
        <v>1</v>
      </c>
      <c r="K36" s="8">
        <v>5</v>
      </c>
    </row>
    <row r="37" spans="1:11" x14ac:dyDescent="0.25">
      <c r="A37" t="s">
        <v>171</v>
      </c>
      <c r="B37" t="s">
        <v>172</v>
      </c>
      <c r="C37" s="2">
        <v>4126</v>
      </c>
      <c r="D37" t="s">
        <v>173</v>
      </c>
      <c r="E37" s="4">
        <v>7.2999999999999995E-2</v>
      </c>
      <c r="F37" s="4">
        <v>9.8000000000000004E-2</v>
      </c>
      <c r="G37" s="4">
        <f>775.3/515.6</f>
        <v>1.5036850271528315</v>
      </c>
      <c r="H37" s="6">
        <v>13</v>
      </c>
      <c r="I37" s="4">
        <v>0.14599999999999999</v>
      </c>
      <c r="J37" s="8">
        <v>2</v>
      </c>
      <c r="K37" s="8">
        <v>5</v>
      </c>
    </row>
    <row r="38" spans="1:11" x14ac:dyDescent="0.25">
      <c r="A38" t="s">
        <v>230</v>
      </c>
      <c r="B38" t="s">
        <v>231</v>
      </c>
      <c r="C38" s="2">
        <v>4887</v>
      </c>
      <c r="D38" t="s">
        <v>232</v>
      </c>
      <c r="E38" s="4">
        <v>0.108</v>
      </c>
      <c r="F38" s="4">
        <v>9.8000000000000004E-2</v>
      </c>
      <c r="G38" s="4">
        <f>739.3/424.3</f>
        <v>1.7423992458166391</v>
      </c>
      <c r="H38" s="6">
        <v>17.899999999999999</v>
      </c>
      <c r="I38" s="4">
        <v>8.8999999999999996E-2</v>
      </c>
      <c r="J38" s="8">
        <v>5</v>
      </c>
      <c r="K38" s="8">
        <v>2</v>
      </c>
    </row>
    <row r="39" spans="1:11" x14ac:dyDescent="0.25">
      <c r="A39" t="s">
        <v>300</v>
      </c>
      <c r="B39" t="s">
        <v>301</v>
      </c>
      <c r="C39" s="2">
        <v>1749</v>
      </c>
      <c r="D39" t="s">
        <v>302</v>
      </c>
      <c r="E39" s="4">
        <v>0.125</v>
      </c>
      <c r="F39" s="4">
        <v>9.8000000000000004E-2</v>
      </c>
      <c r="G39" s="4">
        <f>318.7/157.8</f>
        <v>2.0196451204055763</v>
      </c>
      <c r="H39" s="6">
        <v>18.7</v>
      </c>
      <c r="I39" s="4">
        <v>9.2999999999999999E-2</v>
      </c>
      <c r="J39" s="8">
        <v>1</v>
      </c>
      <c r="K39" s="8">
        <v>1</v>
      </c>
    </row>
    <row r="40" spans="1:11" x14ac:dyDescent="0.25">
      <c r="A40" t="s">
        <v>51</v>
      </c>
      <c r="B40" t="s">
        <v>52</v>
      </c>
      <c r="C40" s="2">
        <v>2592</v>
      </c>
      <c r="D40" t="s">
        <v>53</v>
      </c>
      <c r="E40" s="4">
        <v>0.159</v>
      </c>
      <c r="F40" s="4">
        <v>9.7000000000000003E-2</v>
      </c>
      <c r="G40" s="4">
        <f>353/193</f>
        <v>1.8290155440414508</v>
      </c>
      <c r="H40" s="6">
        <v>16.2</v>
      </c>
      <c r="I40" s="4">
        <v>8.2000000000000003E-2</v>
      </c>
      <c r="J40" s="8">
        <v>5</v>
      </c>
      <c r="K40" s="8">
        <v>3</v>
      </c>
    </row>
    <row r="41" spans="1:11" x14ac:dyDescent="0.25">
      <c r="A41" t="s">
        <v>121</v>
      </c>
      <c r="B41" t="s">
        <v>122</v>
      </c>
      <c r="C41" s="2">
        <v>9061</v>
      </c>
      <c r="D41" t="s">
        <v>123</v>
      </c>
      <c r="E41" s="4">
        <v>0.12</v>
      </c>
      <c r="F41" s="4">
        <v>9.7000000000000003E-2</v>
      </c>
      <c r="G41" s="4">
        <f>2020/780</f>
        <v>2.5897435897435899</v>
      </c>
      <c r="H41" s="6">
        <v>17.5</v>
      </c>
      <c r="I41" s="4">
        <v>0.108</v>
      </c>
      <c r="J41" s="8">
        <v>4</v>
      </c>
      <c r="K41" s="8">
        <v>5</v>
      </c>
    </row>
    <row r="42" spans="1:11" x14ac:dyDescent="0.25">
      <c r="A42" t="s">
        <v>321</v>
      </c>
      <c r="B42" t="s">
        <v>322</v>
      </c>
      <c r="C42" s="2">
        <v>3381</v>
      </c>
      <c r="D42" t="s">
        <v>323</v>
      </c>
      <c r="E42" s="4">
        <v>0.38</v>
      </c>
      <c r="F42" s="4">
        <v>9.7000000000000003E-2</v>
      </c>
      <c r="G42" s="4">
        <f>612.4/275.6</f>
        <v>2.2220609579100143</v>
      </c>
      <c r="H42" s="6">
        <v>19.100000000000001</v>
      </c>
      <c r="I42" s="4">
        <v>8.6999999999999994E-2</v>
      </c>
      <c r="J42" s="8">
        <v>2</v>
      </c>
      <c r="K42" s="8">
        <v>2</v>
      </c>
    </row>
    <row r="43" spans="1:11" x14ac:dyDescent="0.25">
      <c r="A43" t="s">
        <v>253</v>
      </c>
      <c r="B43" t="s">
        <v>255</v>
      </c>
      <c r="C43" s="2">
        <v>2026</v>
      </c>
      <c r="D43" t="s">
        <v>254</v>
      </c>
      <c r="E43" s="4">
        <v>0.40400000000000003</v>
      </c>
      <c r="F43" s="4">
        <v>9.6000000000000002E-2</v>
      </c>
      <c r="G43" s="4">
        <f>395/173</f>
        <v>2.2832369942196533</v>
      </c>
      <c r="H43" s="6">
        <v>17.100000000000001</v>
      </c>
      <c r="I43" s="4">
        <v>0.108</v>
      </c>
      <c r="J43" s="8">
        <v>5</v>
      </c>
      <c r="K43" s="8">
        <v>4</v>
      </c>
    </row>
    <row r="44" spans="1:11" x14ac:dyDescent="0.25">
      <c r="A44" t="s">
        <v>31</v>
      </c>
      <c r="B44" t="s">
        <v>32</v>
      </c>
      <c r="C44" s="2">
        <v>3428</v>
      </c>
      <c r="D44" t="s">
        <v>33</v>
      </c>
      <c r="E44" s="4">
        <v>0.20899999999999999</v>
      </c>
      <c r="F44" s="4">
        <v>9.5000000000000001E-2</v>
      </c>
      <c r="G44" s="4">
        <f>461/217.6</f>
        <v>2.1185661764705883</v>
      </c>
      <c r="H44" s="6">
        <v>18.5</v>
      </c>
      <c r="I44" s="4">
        <v>8.8999999999999996E-2</v>
      </c>
      <c r="J44" s="8">
        <v>5</v>
      </c>
      <c r="K44" s="8">
        <v>3</v>
      </c>
    </row>
    <row r="45" spans="1:11" x14ac:dyDescent="0.25">
      <c r="A45" t="s">
        <v>48</v>
      </c>
      <c r="B45" t="s">
        <v>49</v>
      </c>
      <c r="C45" s="2">
        <v>3293</v>
      </c>
      <c r="D45" t="s">
        <v>50</v>
      </c>
      <c r="E45" s="4">
        <v>0.317</v>
      </c>
      <c r="F45" s="4">
        <v>9.5000000000000001E-2</v>
      </c>
      <c r="G45" s="4">
        <f>695/263.4</f>
        <v>2.6385725132877753</v>
      </c>
      <c r="H45" s="6">
        <v>19.5</v>
      </c>
      <c r="I45" s="4">
        <v>0.111</v>
      </c>
      <c r="J45" s="8">
        <v>5</v>
      </c>
      <c r="K45" s="8">
        <v>4</v>
      </c>
    </row>
    <row r="46" spans="1:11" x14ac:dyDescent="0.25">
      <c r="A46" t="s">
        <v>87</v>
      </c>
      <c r="B46" t="s">
        <v>88</v>
      </c>
      <c r="C46" s="2">
        <v>4034</v>
      </c>
      <c r="D46" t="s">
        <v>89</v>
      </c>
      <c r="E46" s="4">
        <v>0.154</v>
      </c>
      <c r="F46" s="4">
        <v>9.5000000000000001E-2</v>
      </c>
      <c r="G46" s="4">
        <f>746.5/442</f>
        <v>1.6889140271493213</v>
      </c>
      <c r="H46" s="6">
        <v>16.899999999999999</v>
      </c>
      <c r="I46" s="4">
        <v>0.127</v>
      </c>
      <c r="J46" s="8">
        <v>4</v>
      </c>
      <c r="K46" s="8">
        <v>2</v>
      </c>
    </row>
    <row r="47" spans="1:11" x14ac:dyDescent="0.25">
      <c r="A47" t="s">
        <v>152</v>
      </c>
      <c r="B47" t="s">
        <v>153</v>
      </c>
      <c r="C47" s="2">
        <v>2024</v>
      </c>
      <c r="D47" t="s">
        <v>154</v>
      </c>
      <c r="E47" s="4">
        <v>0.16600000000000001</v>
      </c>
      <c r="F47" s="4">
        <v>9.5000000000000001E-2</v>
      </c>
      <c r="G47" s="4">
        <f>345.3/150.6</f>
        <v>2.2928286852589643</v>
      </c>
      <c r="H47" s="6">
        <v>23.2</v>
      </c>
      <c r="I47" s="4">
        <v>7.5999999999999998E-2</v>
      </c>
      <c r="J47" s="8">
        <v>5</v>
      </c>
      <c r="K47" s="8">
        <v>2</v>
      </c>
    </row>
    <row r="48" spans="1:11" x14ac:dyDescent="0.25">
      <c r="A48" t="s">
        <v>203</v>
      </c>
      <c r="B48" t="s">
        <v>204</v>
      </c>
      <c r="C48" s="2">
        <v>5656</v>
      </c>
      <c r="D48" t="s">
        <v>205</v>
      </c>
      <c r="E48" s="4">
        <v>0.25900000000000001</v>
      </c>
      <c r="F48" s="4">
        <v>9.5000000000000001E-2</v>
      </c>
      <c r="G48" s="4">
        <f>985/435</f>
        <v>2.264367816091954</v>
      </c>
      <c r="H48" s="6">
        <v>19</v>
      </c>
      <c r="I48" s="4">
        <v>9.2999999999999999E-2</v>
      </c>
      <c r="J48" s="8">
        <v>5</v>
      </c>
      <c r="K48" s="8">
        <v>3</v>
      </c>
    </row>
    <row r="49" spans="1:11" x14ac:dyDescent="0.25">
      <c r="A49" t="s">
        <v>224</v>
      </c>
      <c r="B49" t="s">
        <v>225</v>
      </c>
      <c r="C49" s="2">
        <v>4528</v>
      </c>
      <c r="D49" t="s">
        <v>226</v>
      </c>
      <c r="E49" s="4">
        <v>0.30299999999999999</v>
      </c>
      <c r="F49" s="4">
        <v>9.4E-2</v>
      </c>
      <c r="G49" s="4">
        <f>787.8/416.2</f>
        <v>1.8928399807784719</v>
      </c>
      <c r="H49" s="6">
        <v>17.8</v>
      </c>
      <c r="I49" s="4">
        <v>0.106</v>
      </c>
      <c r="J49" s="8">
        <v>3</v>
      </c>
      <c r="K49" s="8">
        <v>4</v>
      </c>
    </row>
    <row r="50" spans="1:11" x14ac:dyDescent="0.25">
      <c r="A50" t="s">
        <v>306</v>
      </c>
      <c r="B50" t="s">
        <v>307</v>
      </c>
      <c r="C50" s="2">
        <v>3019</v>
      </c>
      <c r="D50" t="s">
        <v>294</v>
      </c>
      <c r="E50" s="4">
        <v>0.152</v>
      </c>
      <c r="F50" s="4">
        <v>9.4E-2</v>
      </c>
      <c r="G50" s="4">
        <f>528.4/290</f>
        <v>1.8220689655172413</v>
      </c>
      <c r="H50" s="6">
        <v>16.899999999999999</v>
      </c>
      <c r="I50" s="4">
        <v>0.111</v>
      </c>
      <c r="J50" s="8">
        <v>1</v>
      </c>
      <c r="K50" s="8">
        <v>4</v>
      </c>
    </row>
    <row r="51" spans="1:11" x14ac:dyDescent="0.25">
      <c r="A51" t="s">
        <v>69</v>
      </c>
      <c r="B51" t="s">
        <v>70</v>
      </c>
      <c r="C51" s="2">
        <v>5443</v>
      </c>
      <c r="D51" t="s">
        <v>71</v>
      </c>
      <c r="E51" s="4">
        <v>0.19500000000000001</v>
      </c>
      <c r="F51" s="4">
        <v>9.2999999999999999E-2</v>
      </c>
      <c r="G51" s="4">
        <f>949.4/507.6</f>
        <v>1.8703703703703702</v>
      </c>
      <c r="H51" s="6">
        <v>20.100000000000001</v>
      </c>
      <c r="I51" s="4">
        <v>9.4E-2</v>
      </c>
      <c r="J51" s="8">
        <v>1</v>
      </c>
      <c r="K51" s="8">
        <v>5</v>
      </c>
    </row>
    <row r="52" spans="1:11" x14ac:dyDescent="0.25">
      <c r="A52" t="s">
        <v>262</v>
      </c>
      <c r="B52" t="s">
        <v>267</v>
      </c>
      <c r="C52" s="2">
        <v>2957</v>
      </c>
      <c r="D52" t="s">
        <v>268</v>
      </c>
      <c r="E52" s="4">
        <v>0.17299999999999999</v>
      </c>
      <c r="F52" s="4">
        <v>9.2999999999999999E-2</v>
      </c>
      <c r="G52" s="4">
        <f>572.1/308.5</f>
        <v>1.8544570502431119</v>
      </c>
      <c r="H52" s="6">
        <v>16.5</v>
      </c>
      <c r="I52" s="4">
        <v>0.13900000000000001</v>
      </c>
      <c r="J52" s="8">
        <v>5</v>
      </c>
      <c r="K52" s="8">
        <v>2</v>
      </c>
    </row>
    <row r="53" spans="1:11" x14ac:dyDescent="0.25">
      <c r="A53" t="s">
        <v>339</v>
      </c>
      <c r="B53" t="s">
        <v>340</v>
      </c>
      <c r="C53" s="2">
        <v>2059</v>
      </c>
      <c r="D53" t="s">
        <v>341</v>
      </c>
      <c r="E53" s="4">
        <v>0.378</v>
      </c>
      <c r="F53" s="4">
        <v>9.2999999999999999E-2</v>
      </c>
      <c r="G53" s="4">
        <f>442.4/176.3</f>
        <v>2.5093590470788425</v>
      </c>
      <c r="H53" s="6">
        <v>24</v>
      </c>
      <c r="I53" s="4">
        <v>9.6000000000000002E-2</v>
      </c>
      <c r="J53" s="8">
        <v>3</v>
      </c>
      <c r="K53" s="8">
        <v>5</v>
      </c>
    </row>
    <row r="54" spans="1:11" x14ac:dyDescent="0.25">
      <c r="A54" t="s">
        <v>259</v>
      </c>
      <c r="B54" t="s">
        <v>260</v>
      </c>
      <c r="C54" s="2">
        <v>1801</v>
      </c>
      <c r="D54" t="s">
        <v>261</v>
      </c>
      <c r="E54" s="4">
        <v>0.216</v>
      </c>
      <c r="F54" s="4">
        <v>9.1999999999999998E-2</v>
      </c>
      <c r="G54" s="4">
        <f>200.2/151.4</f>
        <v>1.3223249669749009</v>
      </c>
      <c r="H54" s="6">
        <v>14.8</v>
      </c>
      <c r="I54" s="4">
        <v>9.0999999999999998E-2</v>
      </c>
      <c r="J54" s="8">
        <v>3</v>
      </c>
      <c r="K54" s="8">
        <v>3</v>
      </c>
    </row>
    <row r="55" spans="1:11" x14ac:dyDescent="0.25">
      <c r="A55" t="s">
        <v>143</v>
      </c>
      <c r="B55" t="s">
        <v>293</v>
      </c>
      <c r="C55" s="2">
        <v>2596</v>
      </c>
      <c r="D55" t="s">
        <v>294</v>
      </c>
      <c r="E55" s="4">
        <v>0.21</v>
      </c>
      <c r="F55" s="4">
        <v>9.0999999999999998E-2</v>
      </c>
      <c r="G55" s="4">
        <f>430/224.6</f>
        <v>1.9145146927871772</v>
      </c>
      <c r="H55" s="6">
        <v>18.2</v>
      </c>
      <c r="I55" s="4">
        <v>9.6000000000000002E-2</v>
      </c>
      <c r="J55" s="8">
        <v>1</v>
      </c>
      <c r="K55" s="8">
        <v>2</v>
      </c>
    </row>
    <row r="56" spans="1:11" x14ac:dyDescent="0.25">
      <c r="A56" t="s">
        <v>104</v>
      </c>
      <c r="B56" t="s">
        <v>105</v>
      </c>
      <c r="C56" s="2">
        <v>1682</v>
      </c>
      <c r="D56" t="s">
        <v>106</v>
      </c>
      <c r="E56" s="4">
        <v>0.223</v>
      </c>
      <c r="F56" s="4">
        <v>0.09</v>
      </c>
      <c r="G56" s="4">
        <f>290.3/187.7</f>
        <v>1.5466169419286095</v>
      </c>
      <c r="H56" s="6">
        <v>22.7</v>
      </c>
      <c r="I56" s="4">
        <v>0.11</v>
      </c>
      <c r="J56" s="8">
        <v>1</v>
      </c>
      <c r="K56" s="8">
        <v>4</v>
      </c>
    </row>
    <row r="57" spans="1:11" x14ac:dyDescent="0.25">
      <c r="A57" t="s">
        <v>192</v>
      </c>
      <c r="B57" t="s">
        <v>194</v>
      </c>
      <c r="C57" s="2">
        <v>5201</v>
      </c>
      <c r="D57" t="s">
        <v>193</v>
      </c>
      <c r="E57" s="4">
        <v>0.245</v>
      </c>
      <c r="F57" s="4">
        <v>0.09</v>
      </c>
      <c r="G57" s="4">
        <f>941/457</f>
        <v>2.0590809628008753</v>
      </c>
      <c r="H57" s="6">
        <v>20</v>
      </c>
      <c r="I57" s="4">
        <v>0.105</v>
      </c>
      <c r="J57" s="8">
        <v>2</v>
      </c>
      <c r="K57" s="8">
        <v>5</v>
      </c>
    </row>
    <row r="58" spans="1:11" x14ac:dyDescent="0.25">
      <c r="A58" t="s">
        <v>270</v>
      </c>
      <c r="B58" t="s">
        <v>269</v>
      </c>
      <c r="C58" s="2">
        <v>7326</v>
      </c>
      <c r="D58" t="s">
        <v>271</v>
      </c>
      <c r="E58" s="4">
        <v>0.38900000000000001</v>
      </c>
      <c r="F58" s="4">
        <v>0.09</v>
      </c>
      <c r="G58" s="4">
        <f>1600/450.9</f>
        <v>3.5484586382789978</v>
      </c>
      <c r="H58" s="6">
        <v>19.2</v>
      </c>
      <c r="I58" s="4">
        <v>0.125</v>
      </c>
      <c r="J58" s="8">
        <v>2</v>
      </c>
      <c r="K58" s="8">
        <v>4</v>
      </c>
    </row>
    <row r="59" spans="1:11" x14ac:dyDescent="0.25">
      <c r="A59" t="s">
        <v>315</v>
      </c>
      <c r="B59" t="s">
        <v>316</v>
      </c>
      <c r="C59" s="2">
        <v>2353</v>
      </c>
      <c r="D59" t="s">
        <v>317</v>
      </c>
      <c r="E59" s="4">
        <v>0.443</v>
      </c>
      <c r="F59" s="4">
        <v>0.09</v>
      </c>
      <c r="G59" s="4">
        <f>337.2/123.6</f>
        <v>2.7281553398058254</v>
      </c>
      <c r="H59" s="6">
        <v>20.399999999999999</v>
      </c>
      <c r="I59" s="4">
        <v>7.8E-2</v>
      </c>
      <c r="J59" s="8">
        <v>1</v>
      </c>
      <c r="K59" s="8">
        <v>2</v>
      </c>
    </row>
    <row r="60" spans="1:11" x14ac:dyDescent="0.25">
      <c r="A60" t="s">
        <v>143</v>
      </c>
      <c r="B60" t="s">
        <v>144</v>
      </c>
      <c r="C60" s="2">
        <v>7738</v>
      </c>
      <c r="D60" t="s">
        <v>145</v>
      </c>
      <c r="E60" s="4">
        <v>0.191</v>
      </c>
      <c r="F60" s="4">
        <v>8.8999999999999996E-2</v>
      </c>
      <c r="G60" s="4">
        <f>1760/646.9</f>
        <v>2.7206678002782501</v>
      </c>
      <c r="H60" s="6">
        <v>21.5</v>
      </c>
      <c r="I60" s="4">
        <v>0.112</v>
      </c>
      <c r="J60" s="8">
        <v>5</v>
      </c>
      <c r="K60" s="8">
        <v>5</v>
      </c>
    </row>
    <row r="61" spans="1:11" x14ac:dyDescent="0.25">
      <c r="A61" t="s">
        <v>45</v>
      </c>
      <c r="B61" t="s">
        <v>46</v>
      </c>
      <c r="C61" s="2">
        <v>4065</v>
      </c>
      <c r="D61" t="s">
        <v>47</v>
      </c>
      <c r="E61" s="4">
        <v>0.16300000000000001</v>
      </c>
      <c r="F61" s="4">
        <v>8.6999999999999994E-2</v>
      </c>
      <c r="G61" s="4">
        <f>638/318</f>
        <v>2.0062893081761008</v>
      </c>
      <c r="H61" s="6">
        <v>18.399999999999999</v>
      </c>
      <c r="I61" s="4">
        <v>0.10100000000000001</v>
      </c>
      <c r="J61" s="8">
        <v>5</v>
      </c>
      <c r="K61" s="8">
        <v>3</v>
      </c>
    </row>
    <row r="62" spans="1:11" x14ac:dyDescent="0.25">
      <c r="A62" t="s">
        <v>84</v>
      </c>
      <c r="B62" t="s">
        <v>85</v>
      </c>
      <c r="C62" s="2">
        <v>7618</v>
      </c>
      <c r="D62" t="s">
        <v>86</v>
      </c>
      <c r="E62" s="4">
        <v>0.17100000000000001</v>
      </c>
      <c r="F62" s="4">
        <v>8.6999999999999994E-2</v>
      </c>
      <c r="G62" s="4">
        <f>2790/677</f>
        <v>4.1211225997045791</v>
      </c>
      <c r="H62" s="6">
        <v>24.1</v>
      </c>
      <c r="I62" s="4">
        <v>0.13800000000000001</v>
      </c>
      <c r="J62" s="8">
        <v>5</v>
      </c>
      <c r="K62" s="8">
        <v>3</v>
      </c>
    </row>
    <row r="63" spans="1:11" x14ac:dyDescent="0.25">
      <c r="A63" t="s">
        <v>99</v>
      </c>
      <c r="B63" t="s">
        <v>100</v>
      </c>
      <c r="C63" s="2">
        <v>2572</v>
      </c>
      <c r="D63" t="s">
        <v>101</v>
      </c>
      <c r="E63" s="4">
        <v>0.35399999999999998</v>
      </c>
      <c r="F63" s="4">
        <v>8.6999999999999994E-2</v>
      </c>
      <c r="G63" s="4">
        <f>419/203.6</f>
        <v>2.0579567779960706</v>
      </c>
      <c r="H63" s="6">
        <v>19.2</v>
      </c>
      <c r="I63" s="4">
        <v>8.5000000000000006E-2</v>
      </c>
      <c r="J63" s="8">
        <v>5</v>
      </c>
      <c r="K63" s="8">
        <v>4</v>
      </c>
    </row>
    <row r="64" spans="1:11" x14ac:dyDescent="0.25">
      <c r="A64" t="s">
        <v>168</v>
      </c>
      <c r="B64" t="s">
        <v>169</v>
      </c>
      <c r="C64" s="2">
        <v>1766</v>
      </c>
      <c r="D64" t="s">
        <v>170</v>
      </c>
      <c r="E64" s="4">
        <v>0.42699999999999999</v>
      </c>
      <c r="F64" s="4">
        <v>8.6999999999999994E-2</v>
      </c>
      <c r="G64" s="4">
        <f>308.2/133.1</f>
        <v>2.3155522163786628</v>
      </c>
      <c r="H64" s="6">
        <v>20.2</v>
      </c>
      <c r="I64" s="4">
        <v>8.7999999999999995E-2</v>
      </c>
      <c r="J64" s="8">
        <v>3</v>
      </c>
      <c r="K64" s="8">
        <v>4</v>
      </c>
    </row>
    <row r="65" spans="1:11" x14ac:dyDescent="0.25">
      <c r="A65" t="s">
        <v>42</v>
      </c>
      <c r="B65" t="s">
        <v>43</v>
      </c>
      <c r="C65" s="2">
        <v>8215</v>
      </c>
      <c r="D65" t="s">
        <v>44</v>
      </c>
      <c r="E65" s="4">
        <v>0.17100000000000001</v>
      </c>
      <c r="F65" s="4">
        <v>8.5999999999999993E-2</v>
      </c>
      <c r="G65" s="4">
        <f>1270/614</f>
        <v>2.0684039087947883</v>
      </c>
      <c r="H65" s="6">
        <v>21.2</v>
      </c>
      <c r="I65" s="4">
        <v>9.6000000000000002E-2</v>
      </c>
      <c r="J65" s="8">
        <v>1</v>
      </c>
      <c r="K65" s="8">
        <v>3</v>
      </c>
    </row>
    <row r="66" spans="1:11" x14ac:dyDescent="0.25">
      <c r="A66" t="s">
        <v>159</v>
      </c>
      <c r="B66" t="s">
        <v>160</v>
      </c>
      <c r="C66" s="2">
        <v>8945</v>
      </c>
      <c r="D66" t="s">
        <v>161</v>
      </c>
      <c r="E66" s="4">
        <v>6.9000000000000006E-2</v>
      </c>
      <c r="F66" s="4">
        <v>8.5999999999999993E-2</v>
      </c>
      <c r="G66" s="4">
        <f>1560/646.6</f>
        <v>2.4126198577172904</v>
      </c>
      <c r="H66" s="6">
        <v>20.7</v>
      </c>
      <c r="I66" s="4">
        <v>0.10299999999999999</v>
      </c>
      <c r="J66" s="8">
        <v>5</v>
      </c>
      <c r="K66" s="8">
        <v>3</v>
      </c>
    </row>
    <row r="67" spans="1:11" x14ac:dyDescent="0.25">
      <c r="A67" t="s">
        <v>275</v>
      </c>
      <c r="B67" t="s">
        <v>276</v>
      </c>
      <c r="C67" s="2">
        <v>5501</v>
      </c>
      <c r="D67" t="s">
        <v>277</v>
      </c>
      <c r="E67" s="4">
        <v>0.36399999999999999</v>
      </c>
      <c r="F67" s="4">
        <v>8.5999999999999993E-2</v>
      </c>
      <c r="G67" s="4">
        <f>1220/601.9</f>
        <v>2.0269147698953316</v>
      </c>
      <c r="H67" s="6">
        <v>20.2</v>
      </c>
      <c r="I67" s="4">
        <v>0.123</v>
      </c>
      <c r="J67" s="8">
        <v>4</v>
      </c>
      <c r="K67" s="8">
        <v>3</v>
      </c>
    </row>
    <row r="68" spans="1:11" x14ac:dyDescent="0.25">
      <c r="A68" t="s">
        <v>81</v>
      </c>
      <c r="B68" t="s">
        <v>82</v>
      </c>
      <c r="C68" s="2">
        <v>1671</v>
      </c>
      <c r="D68" t="s">
        <v>83</v>
      </c>
      <c r="E68" s="4">
        <v>0.34200000000000003</v>
      </c>
      <c r="F68" s="4">
        <v>8.5000000000000006E-2</v>
      </c>
      <c r="G68" s="4">
        <f>228.3/155.6</f>
        <v>1.4672236503856042</v>
      </c>
      <c r="H68" s="6">
        <v>18</v>
      </c>
      <c r="I68" s="4">
        <v>9.6000000000000002E-2</v>
      </c>
      <c r="J68" s="8">
        <v>5</v>
      </c>
      <c r="K68" s="8">
        <v>2</v>
      </c>
    </row>
    <row r="69" spans="1:11" x14ac:dyDescent="0.25">
      <c r="A69" t="s">
        <v>189</v>
      </c>
      <c r="B69" t="s">
        <v>190</v>
      </c>
      <c r="C69" s="2">
        <v>7065</v>
      </c>
      <c r="D69" t="s">
        <v>191</v>
      </c>
      <c r="E69" s="4">
        <v>0.16700000000000001</v>
      </c>
      <c r="F69" s="4">
        <v>8.5000000000000006E-2</v>
      </c>
      <c r="G69" s="4">
        <f>1240/558</f>
        <v>2.2222222222222223</v>
      </c>
      <c r="H69" s="6">
        <v>17</v>
      </c>
      <c r="I69" s="4">
        <v>0.121</v>
      </c>
      <c r="J69" s="8">
        <v>3</v>
      </c>
      <c r="K69" s="8">
        <v>5</v>
      </c>
    </row>
    <row r="70" spans="1:11" x14ac:dyDescent="0.25">
      <c r="A70" t="s">
        <v>200</v>
      </c>
      <c r="B70" t="s">
        <v>201</v>
      </c>
      <c r="C70" s="2">
        <v>2000</v>
      </c>
      <c r="D70" t="s">
        <v>202</v>
      </c>
      <c r="E70" s="4">
        <v>0.27300000000000002</v>
      </c>
      <c r="F70" s="4">
        <v>8.5000000000000006E-2</v>
      </c>
      <c r="G70" s="4">
        <f>331.8/157.8</f>
        <v>2.1026615969581748</v>
      </c>
      <c r="H70" s="6">
        <v>19.3</v>
      </c>
      <c r="I70" s="4">
        <v>0.10100000000000001</v>
      </c>
      <c r="J70" s="8">
        <v>3</v>
      </c>
      <c r="K70" s="8">
        <v>4</v>
      </c>
    </row>
    <row r="71" spans="1:11" x14ac:dyDescent="0.25">
      <c r="A71" t="s">
        <v>303</v>
      </c>
      <c r="B71" t="s">
        <v>304</v>
      </c>
      <c r="C71" s="2">
        <v>4042</v>
      </c>
      <c r="D71" t="s">
        <v>305</v>
      </c>
      <c r="E71" s="4">
        <v>0.27600000000000002</v>
      </c>
      <c r="F71" s="4">
        <v>8.5000000000000006E-2</v>
      </c>
      <c r="G71" s="4">
        <f>814.8/349.7</f>
        <v>2.3299971404060624</v>
      </c>
      <c r="H71" s="6">
        <v>19.2</v>
      </c>
      <c r="I71" s="4">
        <v>0.11</v>
      </c>
      <c r="J71" s="8">
        <v>2</v>
      </c>
      <c r="K71" s="8">
        <v>4</v>
      </c>
    </row>
    <row r="72" spans="1:11" x14ac:dyDescent="0.25">
      <c r="A72" t="s">
        <v>256</v>
      </c>
      <c r="B72" t="s">
        <v>257</v>
      </c>
      <c r="C72" s="2">
        <v>5439</v>
      </c>
      <c r="D72" t="s">
        <v>258</v>
      </c>
      <c r="E72" s="4">
        <v>0.23</v>
      </c>
      <c r="F72" s="4">
        <v>8.4000000000000005E-2</v>
      </c>
      <c r="G72" s="4">
        <f>1090/463</f>
        <v>2.3542116630669545</v>
      </c>
      <c r="H72" s="6">
        <v>20.2</v>
      </c>
      <c r="I72" s="4">
        <v>0.11</v>
      </c>
      <c r="J72" s="8">
        <v>1</v>
      </c>
      <c r="K72" s="8">
        <v>4</v>
      </c>
    </row>
    <row r="73" spans="1:11" x14ac:dyDescent="0.25">
      <c r="A73" t="s">
        <v>324</v>
      </c>
      <c r="B73" t="s">
        <v>325</v>
      </c>
      <c r="C73" s="2">
        <v>8627</v>
      </c>
      <c r="D73" t="s">
        <v>326</v>
      </c>
      <c r="E73" s="4">
        <v>1.4E-2</v>
      </c>
      <c r="F73" s="4">
        <v>8.4000000000000005E-2</v>
      </c>
      <c r="G73" s="4">
        <f>1590/790</f>
        <v>2.0126582278481013</v>
      </c>
      <c r="H73" s="6">
        <v>16.899999999999999</v>
      </c>
      <c r="I73" s="4">
        <v>0.13700000000000001</v>
      </c>
      <c r="J73" s="8">
        <v>5</v>
      </c>
      <c r="K73" s="8">
        <v>5</v>
      </c>
    </row>
    <row r="74" spans="1:11" x14ac:dyDescent="0.25">
      <c r="A74" t="s">
        <v>180</v>
      </c>
      <c r="B74" t="s">
        <v>181</v>
      </c>
      <c r="C74" s="2">
        <v>3948</v>
      </c>
      <c r="D74" t="s">
        <v>182</v>
      </c>
      <c r="E74" s="4">
        <v>0.317</v>
      </c>
      <c r="F74" s="4">
        <v>8.2000000000000003E-2</v>
      </c>
      <c r="G74" s="4">
        <f>535.6/322.2</f>
        <v>1.6623215394165116</v>
      </c>
      <c r="H74" s="6">
        <v>18.8</v>
      </c>
      <c r="I74" s="4">
        <v>8.4000000000000005E-2</v>
      </c>
      <c r="J74" s="8">
        <v>5</v>
      </c>
      <c r="K74" s="8">
        <v>5</v>
      </c>
    </row>
    <row r="75" spans="1:11" x14ac:dyDescent="0.25">
      <c r="A75" t="s">
        <v>9</v>
      </c>
      <c r="B75" t="s">
        <v>10</v>
      </c>
      <c r="C75" s="2">
        <v>1716</v>
      </c>
      <c r="D75" t="s">
        <v>12</v>
      </c>
      <c r="E75" s="4">
        <v>0.34899999999999998</v>
      </c>
      <c r="F75" s="4">
        <v>8.1000000000000003E-2</v>
      </c>
      <c r="G75" s="4">
        <f>315.7/158.9</f>
        <v>1.9867841409691629</v>
      </c>
      <c r="H75" s="6">
        <v>20.3</v>
      </c>
      <c r="I75" s="4">
        <v>0.12</v>
      </c>
      <c r="J75" s="8">
        <v>5</v>
      </c>
      <c r="K75" s="8">
        <v>3</v>
      </c>
    </row>
    <row r="76" spans="1:11" x14ac:dyDescent="0.25">
      <c r="A76" t="s">
        <v>140</v>
      </c>
      <c r="B76" t="s">
        <v>141</v>
      </c>
      <c r="C76" s="2">
        <v>3886</v>
      </c>
      <c r="D76" t="s">
        <v>142</v>
      </c>
      <c r="E76" s="4">
        <v>0.371</v>
      </c>
      <c r="F76" s="4">
        <v>8.1000000000000003E-2</v>
      </c>
      <c r="G76" s="4">
        <f>758/363</f>
        <v>2.0881542699724518</v>
      </c>
      <c r="H76" s="6">
        <v>19.7</v>
      </c>
      <c r="I76" s="4">
        <v>0.124</v>
      </c>
      <c r="J76" s="8">
        <v>3</v>
      </c>
      <c r="K76" s="8">
        <v>4</v>
      </c>
    </row>
    <row r="77" spans="1:11" x14ac:dyDescent="0.25">
      <c r="A77" t="s">
        <v>227</v>
      </c>
      <c r="B77" t="s">
        <v>228</v>
      </c>
      <c r="C77" s="2">
        <v>4075</v>
      </c>
      <c r="D77" t="s">
        <v>229</v>
      </c>
      <c r="E77" s="4">
        <v>0.38900000000000001</v>
      </c>
      <c r="F77" s="4">
        <v>8.1000000000000003E-2</v>
      </c>
      <c r="G77" s="4">
        <f>682.3/286.2</f>
        <v>2.3839972047519216</v>
      </c>
      <c r="H77" s="6">
        <v>23.1</v>
      </c>
      <c r="I77" s="4">
        <v>0.09</v>
      </c>
      <c r="J77" s="9" t="s">
        <v>345</v>
      </c>
      <c r="K77" s="8">
        <v>5</v>
      </c>
    </row>
    <row r="78" spans="1:11" x14ac:dyDescent="0.25">
      <c r="A78" t="s">
        <v>206</v>
      </c>
      <c r="B78" t="s">
        <v>207</v>
      </c>
      <c r="C78" s="2">
        <v>4203</v>
      </c>
      <c r="D78" t="s">
        <v>24</v>
      </c>
      <c r="E78" s="4">
        <v>0.16400000000000001</v>
      </c>
      <c r="F78" s="4">
        <v>7.8E-2</v>
      </c>
      <c r="G78" s="4">
        <f>994/531</f>
        <v>1.871939736346516</v>
      </c>
      <c r="H78" s="6">
        <v>20.7</v>
      </c>
      <c r="I78" s="4">
        <v>0.14499999999999999</v>
      </c>
      <c r="J78" s="8">
        <v>4</v>
      </c>
      <c r="K78" s="8">
        <v>5</v>
      </c>
    </row>
    <row r="79" spans="1:11" x14ac:dyDescent="0.25">
      <c r="A79" t="s">
        <v>272</v>
      </c>
      <c r="B79" t="s">
        <v>273</v>
      </c>
      <c r="C79" s="2">
        <v>2849</v>
      </c>
      <c r="D79" t="s">
        <v>274</v>
      </c>
      <c r="E79" s="4">
        <v>0.29399999999999998</v>
      </c>
      <c r="F79" s="4">
        <v>7.8E-2</v>
      </c>
      <c r="G79" s="4">
        <f>428.6/220.6</f>
        <v>1.9428830462375342</v>
      </c>
      <c r="H79" s="6">
        <v>16.3</v>
      </c>
      <c r="I79" s="4">
        <v>9.7000000000000003E-2</v>
      </c>
      <c r="J79" s="8">
        <v>5</v>
      </c>
      <c r="K79" s="8">
        <v>3</v>
      </c>
    </row>
    <row r="80" spans="1:11" x14ac:dyDescent="0.25">
      <c r="A80" t="s">
        <v>66</v>
      </c>
      <c r="B80" t="s">
        <v>67</v>
      </c>
      <c r="C80" s="2">
        <v>5329</v>
      </c>
      <c r="D80" t="s">
        <v>68</v>
      </c>
      <c r="E80" s="4">
        <v>0.30499999999999999</v>
      </c>
      <c r="F80" s="4">
        <v>7.6999999999999999E-2</v>
      </c>
      <c r="G80" s="4">
        <f>1340/456.2</f>
        <v>2.9373081981587026</v>
      </c>
      <c r="H80" s="6">
        <v>19.600000000000001</v>
      </c>
      <c r="I80" s="4">
        <v>0.109</v>
      </c>
      <c r="J80" s="8">
        <v>2</v>
      </c>
      <c r="K80" s="8">
        <v>4</v>
      </c>
    </row>
    <row r="81" spans="1:12" x14ac:dyDescent="0.25">
      <c r="A81" t="s">
        <v>165</v>
      </c>
      <c r="B81" t="s">
        <v>166</v>
      </c>
      <c r="C81" s="2">
        <v>1513</v>
      </c>
      <c r="D81" t="s">
        <v>167</v>
      </c>
      <c r="E81" s="4">
        <v>0.223</v>
      </c>
      <c r="F81" s="4">
        <v>7.6999999999999999E-2</v>
      </c>
      <c r="G81" s="4">
        <f>210.4/173.2</f>
        <v>1.214780600461894</v>
      </c>
      <c r="H81" s="6">
        <v>15.1</v>
      </c>
      <c r="I81" s="4">
        <v>0.122</v>
      </c>
      <c r="J81" s="8">
        <v>5</v>
      </c>
      <c r="K81" s="8">
        <v>3</v>
      </c>
      <c r="L81" t="s">
        <v>156</v>
      </c>
    </row>
    <row r="82" spans="1:12" x14ac:dyDescent="0.25">
      <c r="A82" t="s">
        <v>233</v>
      </c>
      <c r="B82" t="s">
        <v>234</v>
      </c>
      <c r="C82" s="2">
        <v>8670</v>
      </c>
      <c r="D82" t="s">
        <v>235</v>
      </c>
      <c r="E82" s="4">
        <v>0.17899999999999999</v>
      </c>
      <c r="F82" s="4">
        <v>7.6999999999999999E-2</v>
      </c>
      <c r="G82" s="4">
        <f>1430/698.5</f>
        <v>2.0472440944881889</v>
      </c>
      <c r="H82" s="6">
        <v>18.600000000000001</v>
      </c>
      <c r="I82" s="4">
        <v>0.11899999999999999</v>
      </c>
      <c r="J82" s="8">
        <v>4</v>
      </c>
      <c r="K82" s="8">
        <v>4</v>
      </c>
    </row>
    <row r="83" spans="1:12" x14ac:dyDescent="0.25">
      <c r="A83" t="s">
        <v>162</v>
      </c>
      <c r="B83" t="s">
        <v>163</v>
      </c>
      <c r="C83" s="2">
        <v>2445</v>
      </c>
      <c r="D83" t="s">
        <v>164</v>
      </c>
      <c r="E83" s="4">
        <v>0.39100000000000001</v>
      </c>
      <c r="F83" s="4">
        <v>7.5999999999999998E-2</v>
      </c>
      <c r="G83" s="4">
        <f>500.5/199</f>
        <v>2.5150753768844223</v>
      </c>
      <c r="H83" s="6">
        <v>22.8</v>
      </c>
      <c r="I83" s="4">
        <v>0.11799999999999999</v>
      </c>
      <c r="J83" s="9" t="s">
        <v>345</v>
      </c>
      <c r="K83" s="9" t="s">
        <v>345</v>
      </c>
    </row>
    <row r="84" spans="1:12" x14ac:dyDescent="0.25">
      <c r="A84" t="s">
        <v>186</v>
      </c>
      <c r="B84" t="s">
        <v>187</v>
      </c>
      <c r="C84" s="2">
        <v>4665</v>
      </c>
      <c r="D84" t="s">
        <v>188</v>
      </c>
      <c r="E84" s="4">
        <v>7.8E-2</v>
      </c>
      <c r="F84" s="4">
        <v>7.5999999999999998E-2</v>
      </c>
      <c r="G84" s="4">
        <f>738/605</f>
        <v>1.2198347107438017</v>
      </c>
      <c r="H84" s="6">
        <v>15.5</v>
      </c>
      <c r="I84" s="4">
        <v>0.125</v>
      </c>
      <c r="J84" s="8">
        <v>5</v>
      </c>
      <c r="K84" s="8">
        <v>1</v>
      </c>
    </row>
    <row r="85" spans="1:12" x14ac:dyDescent="0.25">
      <c r="A85" t="s">
        <v>112</v>
      </c>
      <c r="B85" t="s">
        <v>113</v>
      </c>
      <c r="C85" s="2">
        <v>4442</v>
      </c>
      <c r="D85" t="s">
        <v>114</v>
      </c>
      <c r="E85" s="4">
        <v>0.48399999999999999</v>
      </c>
      <c r="F85" s="4">
        <v>7.4999999999999997E-2</v>
      </c>
      <c r="G85" s="4">
        <f>745.3/333.9</f>
        <v>2.232105420784666</v>
      </c>
      <c r="H85" s="6">
        <v>21.7</v>
      </c>
      <c r="I85" s="4">
        <v>0.10199999999999999</v>
      </c>
      <c r="J85" s="8">
        <v>3</v>
      </c>
      <c r="K85" s="8">
        <v>3</v>
      </c>
    </row>
    <row r="86" spans="1:12" x14ac:dyDescent="0.25">
      <c r="A86" t="s">
        <v>146</v>
      </c>
      <c r="B86" t="s">
        <v>147</v>
      </c>
      <c r="C86" s="2">
        <v>5248</v>
      </c>
      <c r="D86" t="s">
        <v>148</v>
      </c>
      <c r="E86" s="4">
        <v>0.28199999999999997</v>
      </c>
      <c r="F86" s="4">
        <v>7.4999999999999997E-2</v>
      </c>
      <c r="G86" s="4">
        <f>871/418.8</f>
        <v>2.079751671442216</v>
      </c>
      <c r="H86" s="6">
        <v>19.5</v>
      </c>
      <c r="I86" s="4">
        <v>0.108</v>
      </c>
      <c r="J86" s="8">
        <v>3</v>
      </c>
      <c r="K86" s="8">
        <v>4</v>
      </c>
    </row>
    <row r="87" spans="1:12" x14ac:dyDescent="0.25">
      <c r="A87" t="s">
        <v>25</v>
      </c>
      <c r="B87" t="s">
        <v>27</v>
      </c>
      <c r="C87" s="2">
        <v>2287</v>
      </c>
      <c r="D87" t="s">
        <v>26</v>
      </c>
      <c r="E87" s="4">
        <v>0.17299999999999999</v>
      </c>
      <c r="F87" s="4">
        <v>7.3999999999999996E-2</v>
      </c>
      <c r="G87" s="4">
        <f>281.9/156.9</f>
        <v>1.7966857871255575</v>
      </c>
      <c r="H87" s="6">
        <v>20.3</v>
      </c>
      <c r="I87" s="4">
        <v>7.4999999999999997E-2</v>
      </c>
      <c r="J87" s="9" t="s">
        <v>345</v>
      </c>
      <c r="K87" s="8">
        <v>5</v>
      </c>
    </row>
    <row r="88" spans="1:12" x14ac:dyDescent="0.25">
      <c r="A88" t="s">
        <v>117</v>
      </c>
      <c r="B88" t="s">
        <v>115</v>
      </c>
      <c r="C88" s="2">
        <v>2431</v>
      </c>
      <c r="D88" t="s">
        <v>116</v>
      </c>
      <c r="E88" s="4">
        <v>0.214</v>
      </c>
      <c r="F88" s="4">
        <v>7.3999999999999996E-2</v>
      </c>
      <c r="G88" s="4">
        <f>455.7/240.7</f>
        <v>1.8932280847528045</v>
      </c>
      <c r="H88" s="6">
        <v>17.600000000000001</v>
      </c>
      <c r="I88" s="4">
        <v>0.14199999999999999</v>
      </c>
      <c r="J88" s="8">
        <v>2</v>
      </c>
      <c r="K88" s="8">
        <v>2</v>
      </c>
    </row>
    <row r="89" spans="1:12" x14ac:dyDescent="0.25">
      <c r="A89" t="s">
        <v>183</v>
      </c>
      <c r="B89" t="s">
        <v>184</v>
      </c>
      <c r="C89" s="2">
        <v>8765</v>
      </c>
      <c r="D89" t="s">
        <v>185</v>
      </c>
      <c r="E89" s="4">
        <v>0.23899999999999999</v>
      </c>
      <c r="F89" s="4">
        <v>7.3999999999999996E-2</v>
      </c>
      <c r="G89" s="4">
        <f>1900/1075</f>
        <v>1.7674418604651163</v>
      </c>
      <c r="H89" s="6">
        <v>19.5</v>
      </c>
      <c r="I89" s="4">
        <v>0.14199999999999999</v>
      </c>
      <c r="J89" s="8">
        <v>4</v>
      </c>
      <c r="K89" s="8">
        <v>4</v>
      </c>
    </row>
    <row r="90" spans="1:12" x14ac:dyDescent="0.25">
      <c r="A90" t="s">
        <v>295</v>
      </c>
      <c r="B90" t="s">
        <v>296</v>
      </c>
      <c r="C90" s="2">
        <v>1761</v>
      </c>
      <c r="D90" t="s">
        <v>297</v>
      </c>
      <c r="E90" s="4">
        <v>8.9999999999999993E-3</v>
      </c>
      <c r="F90" s="4">
        <v>7.2999999999999995E-2</v>
      </c>
      <c r="G90" s="4">
        <f>218.5/142.4</f>
        <v>1.5344101123595506</v>
      </c>
      <c r="H90" s="6">
        <v>16</v>
      </c>
      <c r="I90" s="4">
        <v>0.108</v>
      </c>
      <c r="J90" s="8">
        <v>4</v>
      </c>
      <c r="K90" s="8">
        <v>3</v>
      </c>
    </row>
    <row r="91" spans="1:12" x14ac:dyDescent="0.25">
      <c r="A91" t="s">
        <v>174</v>
      </c>
      <c r="B91" t="s">
        <v>175</v>
      </c>
      <c r="C91" s="2">
        <v>2597</v>
      </c>
      <c r="D91" t="s">
        <v>176</v>
      </c>
      <c r="E91" s="4">
        <v>0.49099999999999999</v>
      </c>
      <c r="F91" s="4">
        <v>7.1999999999999995E-2</v>
      </c>
      <c r="G91" s="4">
        <f>561/196.7</f>
        <v>2.8520589730554144</v>
      </c>
      <c r="H91" s="6">
        <v>26.4</v>
      </c>
      <c r="I91" s="4">
        <v>0.108</v>
      </c>
      <c r="J91" s="8">
        <v>2</v>
      </c>
      <c r="K91" s="8">
        <v>5</v>
      </c>
    </row>
    <row r="92" spans="1:12" x14ac:dyDescent="0.25">
      <c r="A92" t="s">
        <v>318</v>
      </c>
      <c r="B92" t="s">
        <v>319</v>
      </c>
      <c r="C92" s="2">
        <v>3459</v>
      </c>
      <c r="D92" t="s">
        <v>320</v>
      </c>
      <c r="E92" s="4">
        <v>0.27100000000000002</v>
      </c>
      <c r="F92" s="4">
        <v>7.1999999999999995E-2</v>
      </c>
      <c r="G92" s="4">
        <f>575/297.5</f>
        <v>1.9327731092436975</v>
      </c>
      <c r="H92" s="6">
        <v>17.8</v>
      </c>
      <c r="I92" s="4">
        <v>0.127</v>
      </c>
      <c r="J92" s="8">
        <v>3</v>
      </c>
      <c r="K92" s="8">
        <v>3</v>
      </c>
    </row>
    <row r="93" spans="1:12" x14ac:dyDescent="0.25">
      <c r="A93" t="s">
        <v>330</v>
      </c>
      <c r="B93" t="s">
        <v>331</v>
      </c>
      <c r="C93" s="2">
        <v>2635</v>
      </c>
      <c r="D93" t="s">
        <v>332</v>
      </c>
      <c r="E93" s="4">
        <v>0.253</v>
      </c>
      <c r="F93" s="4">
        <v>7.1999999999999995E-2</v>
      </c>
      <c r="G93" s="4">
        <f>417.3/240.5</f>
        <v>1.7351351351351352</v>
      </c>
      <c r="H93" s="6">
        <v>16</v>
      </c>
      <c r="I93" s="4">
        <v>0.11</v>
      </c>
      <c r="J93" s="9" t="s">
        <v>345</v>
      </c>
      <c r="K93" s="9" t="s">
        <v>345</v>
      </c>
      <c r="L93" t="s">
        <v>156</v>
      </c>
    </row>
    <row r="94" spans="1:12" x14ac:dyDescent="0.25">
      <c r="A94" t="s">
        <v>213</v>
      </c>
      <c r="B94" t="s">
        <v>214</v>
      </c>
      <c r="C94" s="2">
        <v>1936</v>
      </c>
      <c r="D94" t="s">
        <v>71</v>
      </c>
      <c r="E94" s="4">
        <v>0.10199999999999999</v>
      </c>
      <c r="F94" s="4">
        <v>7.0999999999999994E-2</v>
      </c>
      <c r="G94" s="4">
        <f>288/225.1</f>
        <v>1.2794313638382941</v>
      </c>
      <c r="H94" s="6">
        <v>17.399999999999999</v>
      </c>
      <c r="I94" s="4">
        <v>0.122</v>
      </c>
      <c r="J94" s="8">
        <v>4</v>
      </c>
      <c r="K94" s="8">
        <v>4</v>
      </c>
      <c r="L94" t="s">
        <v>349</v>
      </c>
    </row>
    <row r="95" spans="1:12" x14ac:dyDescent="0.25">
      <c r="A95" t="s">
        <v>131</v>
      </c>
      <c r="B95" t="s">
        <v>132</v>
      </c>
      <c r="C95" s="2">
        <v>3400</v>
      </c>
      <c r="D95" t="s">
        <v>80</v>
      </c>
      <c r="E95" s="4">
        <v>0.379</v>
      </c>
      <c r="F95" s="4">
        <v>7.0000000000000007E-2</v>
      </c>
      <c r="G95" s="4">
        <f>753.5/287.8</f>
        <v>2.6181375955524668</v>
      </c>
      <c r="H95" s="6">
        <v>22.6</v>
      </c>
      <c r="I95" s="4">
        <v>0.105</v>
      </c>
      <c r="J95" s="8">
        <v>1</v>
      </c>
      <c r="K95" s="8">
        <v>5</v>
      </c>
    </row>
    <row r="96" spans="1:12" x14ac:dyDescent="0.25">
      <c r="A96" t="s">
        <v>290</v>
      </c>
      <c r="B96" t="s">
        <v>291</v>
      </c>
      <c r="C96" s="2">
        <v>3170</v>
      </c>
      <c r="D96" t="s">
        <v>292</v>
      </c>
      <c r="E96" s="4">
        <v>0.36699999999999999</v>
      </c>
      <c r="F96" s="4">
        <v>7.0000000000000007E-2</v>
      </c>
      <c r="G96" s="4">
        <f>416.7/261.5</f>
        <v>1.5934990439770553</v>
      </c>
      <c r="H96" s="6">
        <v>20.3</v>
      </c>
      <c r="I96" s="4">
        <v>0.109</v>
      </c>
      <c r="J96" s="8">
        <v>5</v>
      </c>
      <c r="K96" s="8">
        <v>1</v>
      </c>
    </row>
    <row r="97" spans="1:12" x14ac:dyDescent="0.25">
      <c r="A97" t="s">
        <v>333</v>
      </c>
      <c r="B97" t="s">
        <v>334</v>
      </c>
      <c r="C97" s="2">
        <v>1736</v>
      </c>
      <c r="D97" t="s">
        <v>335</v>
      </c>
      <c r="E97" s="4">
        <v>0.39300000000000002</v>
      </c>
      <c r="F97" s="4">
        <v>7.0000000000000007E-2</v>
      </c>
      <c r="G97" s="4">
        <f>192/123.8</f>
        <v>1.5508885298869144</v>
      </c>
      <c r="H97" s="6">
        <v>17.899999999999999</v>
      </c>
      <c r="I97" s="4">
        <v>8.6999999999999994E-2</v>
      </c>
      <c r="J97" s="8">
        <v>5</v>
      </c>
      <c r="K97" s="8">
        <v>1</v>
      </c>
    </row>
    <row r="98" spans="1:12" x14ac:dyDescent="0.25">
      <c r="A98" t="s">
        <v>195</v>
      </c>
      <c r="B98" t="s">
        <v>196</v>
      </c>
      <c r="C98" s="2">
        <v>4770</v>
      </c>
      <c r="D98" t="s">
        <v>197</v>
      </c>
      <c r="E98" s="4">
        <v>0.35099999999999998</v>
      </c>
      <c r="F98" s="4">
        <v>6.7000000000000004E-2</v>
      </c>
      <c r="G98" s="4">
        <f>1010/368.2</f>
        <v>2.7430744160782186</v>
      </c>
      <c r="H98" s="6">
        <v>27.9</v>
      </c>
      <c r="I98" s="4">
        <v>9.2999999999999999E-2</v>
      </c>
      <c r="J98" s="8">
        <v>1</v>
      </c>
      <c r="K98" s="8">
        <v>3</v>
      </c>
    </row>
    <row r="99" spans="1:12" x14ac:dyDescent="0.25">
      <c r="A99" t="s">
        <v>242</v>
      </c>
      <c r="B99" t="s">
        <v>243</v>
      </c>
      <c r="C99" s="2">
        <v>9801</v>
      </c>
      <c r="D99" t="s">
        <v>244</v>
      </c>
      <c r="E99" s="4">
        <v>0.13500000000000001</v>
      </c>
      <c r="F99" s="4">
        <v>6.5000000000000002E-2</v>
      </c>
      <c r="G99" s="4">
        <f>1670/767</f>
        <v>2.1773142112125163</v>
      </c>
      <c r="H99" s="6">
        <v>18.7</v>
      </c>
      <c r="I99" s="4">
        <v>0.13700000000000001</v>
      </c>
      <c r="J99" s="8">
        <v>3</v>
      </c>
      <c r="K99" s="8">
        <v>2</v>
      </c>
    </row>
    <row r="100" spans="1:12" x14ac:dyDescent="0.25">
      <c r="A100" t="s">
        <v>221</v>
      </c>
      <c r="B100" t="s">
        <v>222</v>
      </c>
      <c r="C100" s="2">
        <v>8174</v>
      </c>
      <c r="D100" t="s">
        <v>223</v>
      </c>
      <c r="E100" s="4">
        <v>0.157</v>
      </c>
      <c r="F100" s="4">
        <v>6.3E-2</v>
      </c>
      <c r="G100" s="4">
        <f>1800/787.9</f>
        <v>2.2845538773956084</v>
      </c>
      <c r="H100" s="6">
        <v>27.1</v>
      </c>
      <c r="I100" s="4">
        <v>0.13500000000000001</v>
      </c>
      <c r="J100" s="8">
        <v>4</v>
      </c>
      <c r="K100" s="8">
        <v>2</v>
      </c>
    </row>
    <row r="101" spans="1:12" x14ac:dyDescent="0.25">
      <c r="A101" t="s">
        <v>149</v>
      </c>
      <c r="B101" t="s">
        <v>150</v>
      </c>
      <c r="C101" s="2">
        <v>1932</v>
      </c>
      <c r="D101" t="s">
        <v>151</v>
      </c>
      <c r="E101" s="4">
        <v>0.52500000000000002</v>
      </c>
      <c r="F101" s="4">
        <v>6.2E-2</v>
      </c>
      <c r="G101" s="4">
        <f>834/226</f>
        <v>3.6902654867256639</v>
      </c>
      <c r="H101" s="6">
        <v>54.9</v>
      </c>
      <c r="I101" s="4">
        <v>0.127</v>
      </c>
      <c r="J101" s="9" t="s">
        <v>345</v>
      </c>
      <c r="K101" s="9" t="s">
        <v>345</v>
      </c>
    </row>
    <row r="102" spans="1:12" x14ac:dyDescent="0.25">
      <c r="A102" t="s">
        <v>327</v>
      </c>
      <c r="B102" t="s">
        <v>328</v>
      </c>
      <c r="C102" s="2">
        <v>2523</v>
      </c>
      <c r="D102" t="s">
        <v>329</v>
      </c>
      <c r="E102" s="4">
        <v>0.32100000000000001</v>
      </c>
      <c r="F102" s="4">
        <v>6.2E-2</v>
      </c>
      <c r="G102" s="4">
        <f>461.6/271.7</f>
        <v>1.6989326463010674</v>
      </c>
      <c r="H102" s="6">
        <v>22.1</v>
      </c>
      <c r="I102" s="4">
        <v>0.11600000000000001</v>
      </c>
      <c r="J102" s="8">
        <v>2</v>
      </c>
      <c r="K102" s="8">
        <v>4</v>
      </c>
      <c r="L102" t="s">
        <v>156</v>
      </c>
    </row>
    <row r="103" spans="1:12" x14ac:dyDescent="0.25">
      <c r="A103" t="s">
        <v>346</v>
      </c>
      <c r="B103" t="s">
        <v>347</v>
      </c>
      <c r="C103" s="2">
        <v>1805</v>
      </c>
      <c r="D103" t="s">
        <v>348</v>
      </c>
      <c r="E103" s="4">
        <v>0.34699999999999998</v>
      </c>
      <c r="F103" s="4">
        <v>6.0999999999999999E-2</v>
      </c>
      <c r="G103" s="4">
        <f>171.2/118.4</f>
        <v>1.4459459459459458</v>
      </c>
      <c r="H103" s="6">
        <v>25.2</v>
      </c>
      <c r="I103" s="4">
        <v>7.6999999999999999E-2</v>
      </c>
      <c r="J103" s="8">
        <v>5</v>
      </c>
      <c r="K103" s="8">
        <v>2</v>
      </c>
    </row>
    <row r="104" spans="1:12" x14ac:dyDescent="0.25">
      <c r="A104" t="s">
        <v>90</v>
      </c>
      <c r="B104" t="s">
        <v>91</v>
      </c>
      <c r="C104" s="2">
        <v>4461</v>
      </c>
      <c r="D104" t="s">
        <v>92</v>
      </c>
      <c r="E104" s="4">
        <v>0.20599999999999999</v>
      </c>
      <c r="F104" s="4">
        <v>5.8999999999999997E-2</v>
      </c>
      <c r="G104" s="4">
        <f>712.1/391.4</f>
        <v>1.8193663771078183</v>
      </c>
      <c r="H104" s="6">
        <v>21.6</v>
      </c>
      <c r="I104" s="4">
        <v>0.12</v>
      </c>
      <c r="J104" s="8">
        <v>4</v>
      </c>
      <c r="K104" s="8">
        <v>3</v>
      </c>
    </row>
    <row r="105" spans="1:12" x14ac:dyDescent="0.25">
      <c r="A105" t="s">
        <v>118</v>
      </c>
      <c r="B105" t="s">
        <v>119</v>
      </c>
      <c r="C105" s="2">
        <v>2640</v>
      </c>
      <c r="D105" t="s">
        <v>120</v>
      </c>
      <c r="E105" s="4">
        <v>0.373</v>
      </c>
      <c r="F105" s="4">
        <v>5.8000000000000003E-2</v>
      </c>
      <c r="G105" s="4">
        <f>395.7/250</f>
        <v>1.5828</v>
      </c>
      <c r="H105" s="6">
        <v>24.9</v>
      </c>
      <c r="I105" s="4">
        <v>9.1999999999999998E-2</v>
      </c>
      <c r="J105" s="9" t="s">
        <v>345</v>
      </c>
      <c r="K105" s="8">
        <v>5</v>
      </c>
    </row>
    <row r="106" spans="1:12" x14ac:dyDescent="0.25">
      <c r="A106" t="s">
        <v>177</v>
      </c>
      <c r="B106" t="s">
        <v>178</v>
      </c>
      <c r="C106" s="2">
        <v>3309</v>
      </c>
      <c r="D106" t="s">
        <v>179</v>
      </c>
      <c r="E106" s="4">
        <v>0.34499999999999997</v>
      </c>
      <c r="F106" s="4">
        <v>5.6000000000000001E-2</v>
      </c>
      <c r="G106" s="4">
        <f>612.6/287.4</f>
        <v>2.131524008350731</v>
      </c>
      <c r="H106" s="6">
        <v>26</v>
      </c>
      <c r="I106" s="4">
        <v>0.109</v>
      </c>
      <c r="J106" s="8">
        <v>1</v>
      </c>
      <c r="K106" s="8">
        <v>3</v>
      </c>
    </row>
    <row r="107" spans="1:12" x14ac:dyDescent="0.25">
      <c r="A107" t="s">
        <v>63</v>
      </c>
      <c r="B107" t="s">
        <v>64</v>
      </c>
      <c r="C107" s="2">
        <v>3137</v>
      </c>
      <c r="D107" t="s">
        <v>65</v>
      </c>
      <c r="E107" s="4">
        <v>0.11799999999999999</v>
      </c>
      <c r="F107" s="4">
        <v>4.4999999999999998E-2</v>
      </c>
      <c r="G107" s="4">
        <f>525/240.5</f>
        <v>2.182952182952183</v>
      </c>
      <c r="H107" s="6">
        <v>25.3</v>
      </c>
      <c r="I107" s="4">
        <v>0.12</v>
      </c>
      <c r="J107" s="8">
        <v>1</v>
      </c>
      <c r="K107" s="8">
        <v>3</v>
      </c>
    </row>
    <row r="108" spans="1:12" x14ac:dyDescent="0.25">
      <c r="A108" t="s">
        <v>22</v>
      </c>
      <c r="B108" t="s">
        <v>23</v>
      </c>
      <c r="C108" s="2">
        <v>2802</v>
      </c>
      <c r="D108" t="s">
        <v>24</v>
      </c>
      <c r="E108" s="4">
        <v>0.3</v>
      </c>
      <c r="F108" s="4">
        <v>4.3999999999999997E-2</v>
      </c>
      <c r="G108" s="4">
        <f>475.8/281.8</f>
        <v>1.6884315117104329</v>
      </c>
      <c r="H108" s="6">
        <v>32.700000000000003</v>
      </c>
      <c r="I108" s="4">
        <v>0.111</v>
      </c>
      <c r="J108" s="9" t="s">
        <v>345</v>
      </c>
      <c r="K108" s="9" t="s">
        <v>345</v>
      </c>
    </row>
    <row r="109" spans="1:12" x14ac:dyDescent="0.25">
      <c r="A109" t="s">
        <v>155</v>
      </c>
      <c r="B109" t="s">
        <v>157</v>
      </c>
      <c r="C109" s="2">
        <v>1935</v>
      </c>
      <c r="D109" t="s">
        <v>158</v>
      </c>
      <c r="E109" s="4">
        <v>9.9000000000000005E-2</v>
      </c>
      <c r="F109" s="4">
        <v>4.3999999999999997E-2</v>
      </c>
      <c r="G109" s="4">
        <f>178.2/169.7</f>
        <v>1.0500883912787271</v>
      </c>
      <c r="H109" s="6">
        <v>26.2</v>
      </c>
      <c r="I109" s="4">
        <v>0.11</v>
      </c>
      <c r="J109" s="8">
        <v>3</v>
      </c>
      <c r="K109" s="8">
        <v>1</v>
      </c>
      <c r="L109" t="s">
        <v>156</v>
      </c>
    </row>
    <row r="110" spans="1:12" x14ac:dyDescent="0.25">
      <c r="A110" t="s">
        <v>60</v>
      </c>
      <c r="B110" t="s">
        <v>61</v>
      </c>
      <c r="C110" s="2">
        <v>2896</v>
      </c>
      <c r="D110" t="s">
        <v>62</v>
      </c>
      <c r="E110" s="4">
        <v>0.29699999999999999</v>
      </c>
      <c r="F110" s="4">
        <v>4.2999999999999997E-2</v>
      </c>
      <c r="G110" s="4">
        <f>329.6/193.3</f>
        <v>1.7051215726849458</v>
      </c>
      <c r="H110" s="6">
        <v>27.4</v>
      </c>
      <c r="I110" s="4">
        <v>9.7000000000000003E-2</v>
      </c>
      <c r="J110" s="8">
        <v>2</v>
      </c>
      <c r="K110" s="8">
        <v>2</v>
      </c>
    </row>
    <row r="111" spans="1:12" x14ac:dyDescent="0.25">
      <c r="A111" t="s">
        <v>308</v>
      </c>
      <c r="B111" t="s">
        <v>309</v>
      </c>
      <c r="C111" s="2">
        <v>4728</v>
      </c>
      <c r="D111" t="s">
        <v>310</v>
      </c>
      <c r="E111" s="4">
        <v>0.33700000000000002</v>
      </c>
      <c r="F111" s="4">
        <v>4.2999999999999997E-2</v>
      </c>
      <c r="G111" s="4">
        <f>845/472.4</f>
        <v>1.7887383573243014</v>
      </c>
      <c r="H111" s="6">
        <v>28.3</v>
      </c>
      <c r="I111" s="4">
        <v>0.11700000000000001</v>
      </c>
      <c r="J111" s="9" t="s">
        <v>345</v>
      </c>
      <c r="K111" s="8">
        <v>3</v>
      </c>
    </row>
    <row r="112" spans="1:12" x14ac:dyDescent="0.25">
      <c r="A112" t="s">
        <v>236</v>
      </c>
      <c r="B112" t="s">
        <v>237</v>
      </c>
      <c r="C112" s="2">
        <v>4274</v>
      </c>
      <c r="D112" t="s">
        <v>238</v>
      </c>
      <c r="E112" s="4">
        <v>0.25900000000000001</v>
      </c>
      <c r="F112" s="4">
        <v>3.9E-2</v>
      </c>
      <c r="G112" s="4">
        <f>777.2/323.4</f>
        <v>2.4032158317872607</v>
      </c>
      <c r="H112" s="6">
        <v>31.2</v>
      </c>
      <c r="I112" s="4">
        <v>0.11899999999999999</v>
      </c>
      <c r="J112" s="8">
        <v>4</v>
      </c>
      <c r="K112" s="8">
        <v>3</v>
      </c>
    </row>
    <row r="113" spans="1:11" x14ac:dyDescent="0.25">
      <c r="A113" t="s">
        <v>210</v>
      </c>
      <c r="B113" t="s">
        <v>211</v>
      </c>
      <c r="C113" s="2">
        <v>2256</v>
      </c>
      <c r="D113" t="s">
        <v>212</v>
      </c>
      <c r="E113" s="4">
        <v>5.1999999999999998E-2</v>
      </c>
      <c r="F113" s="4">
        <v>2.8000000000000001E-2</v>
      </c>
      <c r="G113" s="4">
        <f>460.3/234</f>
        <v>1.9670940170940172</v>
      </c>
      <c r="H113" s="6">
        <v>54.7</v>
      </c>
      <c r="I113" s="4">
        <v>0.14099999999999999</v>
      </c>
      <c r="J113" s="8">
        <v>1</v>
      </c>
      <c r="K113" s="8">
        <v>1</v>
      </c>
    </row>
    <row r="114" spans="1:11" x14ac:dyDescent="0.25">
      <c r="A114" t="s">
        <v>34</v>
      </c>
      <c r="B114" t="s">
        <v>36</v>
      </c>
      <c r="C114" s="2">
        <v>5860</v>
      </c>
      <c r="D114" t="s">
        <v>35</v>
      </c>
      <c r="E114" s="4">
        <v>0</v>
      </c>
      <c r="F114" s="4">
        <v>2.5000000000000001E-2</v>
      </c>
      <c r="G114" s="4">
        <f>1130/795</f>
        <v>1.421383647798742</v>
      </c>
      <c r="H114" s="6">
        <v>40.6</v>
      </c>
      <c r="I114" s="4">
        <v>0.17699999999999999</v>
      </c>
      <c r="J114" s="8">
        <v>2</v>
      </c>
      <c r="K114" s="8">
        <v>5</v>
      </c>
    </row>
    <row r="115" spans="1:11" x14ac:dyDescent="0.25">
      <c r="A115" t="s">
        <v>37</v>
      </c>
      <c r="B115" t="s">
        <v>39</v>
      </c>
      <c r="C115" s="2">
        <v>2497</v>
      </c>
      <c r="D115" t="s">
        <v>38</v>
      </c>
      <c r="E115" s="4">
        <v>0.104</v>
      </c>
      <c r="F115" s="4">
        <v>2.1999999999999999E-2</v>
      </c>
      <c r="G115" s="4">
        <f>470/377.8</f>
        <v>1.2440444679724723</v>
      </c>
      <c r="H115" s="6">
        <v>30.9</v>
      </c>
      <c r="I115" s="4">
        <v>0.157</v>
      </c>
      <c r="J115" s="9" t="s">
        <v>345</v>
      </c>
      <c r="K115" s="9" t="s">
        <v>345</v>
      </c>
    </row>
    <row r="118" spans="1:11" s="11" customFormat="1" x14ac:dyDescent="0.25">
      <c r="A118" s="11" t="s">
        <v>353</v>
      </c>
      <c r="C118" s="12"/>
      <c r="E118" s="13">
        <f>AVERAGE(E3:E117)</f>
        <v>0.2305221238938053</v>
      </c>
      <c r="F118" s="13">
        <f t="shared" ref="F118:I118" si="0">AVERAGE(F3:F117)</f>
        <v>8.6672566371681373E-2</v>
      </c>
      <c r="G118" s="13">
        <f t="shared" si="0"/>
        <v>2.1379291020932341</v>
      </c>
      <c r="H118" s="14">
        <f t="shared" si="0"/>
        <v>20.757522123893803</v>
      </c>
      <c r="I118" s="13">
        <f t="shared" si="0"/>
        <v>0.10721238938053099</v>
      </c>
      <c r="J118" s="15"/>
      <c r="K118" s="15"/>
    </row>
    <row r="119" spans="1:11" x14ac:dyDescent="0.25">
      <c r="A119" t="s">
        <v>354</v>
      </c>
      <c r="E119" s="4">
        <f>AVERAGE(E3:E103)</f>
        <v>0.23325742574257427</v>
      </c>
      <c r="F119" s="4">
        <f t="shared" ref="F119:I119" si="1">AVERAGE(F3:F103)</f>
        <v>9.1960396039603931E-2</v>
      </c>
      <c r="G119" s="4">
        <f t="shared" si="1"/>
        <v>2.1841705759452852</v>
      </c>
      <c r="H119" s="6">
        <f>AVERAGE(H3:H103)</f>
        <v>19.562376237623763</v>
      </c>
      <c r="I119" s="4">
        <f t="shared" si="1"/>
        <v>0.10539603960396042</v>
      </c>
    </row>
    <row r="120" spans="1:11" x14ac:dyDescent="0.25">
      <c r="A120" t="s">
        <v>355</v>
      </c>
      <c r="E120" s="4">
        <f>AVERAGE(E104:E115)</f>
        <v>0.20749999999999999</v>
      </c>
      <c r="F120" s="4">
        <f t="shared" ref="F120:I120" si="2">AVERAGE(F104:F115)</f>
        <v>4.2166666666666658E-2</v>
      </c>
      <c r="G120" s="4">
        <f t="shared" si="2"/>
        <v>1.7487300305051361</v>
      </c>
      <c r="H120" s="6">
        <f t="shared" si="2"/>
        <v>30.816666666666666</v>
      </c>
      <c r="I120" s="4">
        <f t="shared" si="2"/>
        <v>0.1225</v>
      </c>
    </row>
    <row r="122" spans="1:11" x14ac:dyDescent="0.25">
      <c r="A122" t="s">
        <v>11</v>
      </c>
    </row>
    <row r="123" spans="1:11" x14ac:dyDescent="0.25">
      <c r="A123" t="s">
        <v>13</v>
      </c>
    </row>
    <row r="124" spans="1:11" x14ac:dyDescent="0.25">
      <c r="A124" t="s">
        <v>14</v>
      </c>
    </row>
    <row r="125" spans="1:11" x14ac:dyDescent="0.25">
      <c r="A125" t="s">
        <v>136</v>
      </c>
    </row>
    <row r="126" spans="1:11" x14ac:dyDescent="0.25">
      <c r="A126" t="s">
        <v>15</v>
      </c>
    </row>
    <row r="127" spans="1:11" x14ac:dyDescent="0.25">
      <c r="A127" t="s">
        <v>350</v>
      </c>
    </row>
    <row r="128" spans="1:11" x14ac:dyDescent="0.25">
      <c r="A128" t="s">
        <v>351</v>
      </c>
    </row>
    <row r="129" spans="1:1" x14ac:dyDescent="0.25">
      <c r="A129" t="s">
        <v>352</v>
      </c>
    </row>
  </sheetData>
  <sortState ref="A3:M115">
    <sortCondition descending="1" ref="F3:F11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Blum</dc:creator>
  <cp:lastModifiedBy>Jeremy Blum</cp:lastModifiedBy>
  <dcterms:created xsi:type="dcterms:W3CDTF">2017-06-24T22:03:03Z</dcterms:created>
  <dcterms:modified xsi:type="dcterms:W3CDTF">2017-06-27T16:50:31Z</dcterms:modified>
</cp:coreProperties>
</file>